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604_Minergie_GL\01_Dokumentenstruktur_Web\Archiv_Minergie_ECO\D_Hilfsmittel_Graue_Energie\"/>
    </mc:Choice>
  </mc:AlternateContent>
  <workbookProtection workbookPassword="CDC8" lockStructure="1"/>
  <bookViews>
    <workbookView xWindow="0" yWindow="0" windowWidth="28800" windowHeight="14010" tabRatio="801" firstSheet="2" activeTab="2"/>
  </bookViews>
  <sheets>
    <sheet name="Dokumentation" sheetId="29" state="hidden" r:id="rId1"/>
    <sheet name="Objektdaten_Neubau" sheetId="1" state="hidden" r:id="rId2"/>
    <sheet name="Objektdaten_Modernisierung" sheetId="25" r:id="rId3"/>
    <sheet name="Bauteile_Neubau" sheetId="2" state="hidden" r:id="rId4"/>
    <sheet name="Bauteile_Modernisierung" sheetId="26" r:id="rId5"/>
    <sheet name="Konstruktionen" sheetId="3" state="hidden" r:id="rId6"/>
    <sheet name="Eingriffe_Modernisierung" sheetId="27" state="hidden" r:id="rId7"/>
    <sheet name="Graphiken Bauteile" sheetId="28" state="hidden" r:id="rId8"/>
    <sheet name="Rechnungsblatt GE" sheetId="7" state="hidden" r:id="rId9"/>
    <sheet name="Rechnungsblatt THGE" sheetId="8" state="hidden" r:id="rId10"/>
    <sheet name="Rechnungsblatt UBP" sheetId="9" state="hidden" r:id="rId11"/>
    <sheet name="Referenzblatt" sheetId="10" state="hidden" r:id="rId12"/>
    <sheet name="Berechnung Grenzwerte" sheetId="11" state="hidden" r:id="rId13"/>
    <sheet name="KBOBBaumaterialien" sheetId="4" state="hidden" r:id="rId14"/>
    <sheet name="KBOBTransporte" sheetId="23" state="hidden" r:id="rId15"/>
    <sheet name="KBOBGebäudetechnik" sheetId="24" state="hidden" r:id="rId16"/>
  </sheets>
  <externalReferences>
    <externalReference r:id="rId17"/>
  </externalReferences>
  <definedNames>
    <definedName name="Abluftanlagen">Objektdaten_Modernisierung!$E$38</definedName>
    <definedName name="Ae">Objektdaten_Neubau!$E$14</definedName>
    <definedName name="Ae_mod">Objektdaten_Modernisierung!$E$12</definedName>
    <definedName name="AFU">Objektdaten_Neubau!$E$24</definedName>
    <definedName name="AFU_mod">Objektdaten_Modernisierung!$E$16</definedName>
    <definedName name="Air_Selection">[1]Overview!$C$23</definedName>
    <definedName name="array_Deckenstärke_GE">Referenzblatt!$A$16:$D$16</definedName>
    <definedName name="array_Deckenstärke_THGE">Referenzblatt!$A$57:$D$57</definedName>
    <definedName name="array_Deckenstärke_UBP">Referenzblatt!$A$98:$D$98</definedName>
    <definedName name="array_Eingriffstiefe_GE">Referenzblatt!$I$8:$R$8</definedName>
    <definedName name="array_Eingriffstiefe_THGE">Referenzblatt!$I$58:$R$58</definedName>
    <definedName name="array_Eingriffstiefe_UBP">Referenzblatt!$I$108:$R$108</definedName>
    <definedName name="array_Haustechnik_GE_mod">Referenzblatt!$I$28:$J$28</definedName>
    <definedName name="array_Haustechnik_THGE_mod">Referenzblatt!$I$78:$J$78</definedName>
    <definedName name="array_Haustechnik_UBP_mod">Referenzblatt!$I$128:$J$128</definedName>
    <definedName name="array_MINERGIE_GE_mod">Referenzblatt!$M$42:$Q$42</definedName>
    <definedName name="array_MINERGIE_THGE_mod">Referenzblatt!$N$91:$Q$91</definedName>
    <definedName name="Auswahl_Bauteilkategorie">Konstruktionen!$A$4:$A$9</definedName>
    <definedName name="Auswahl_Bauteilkategorie_mod">Konstruktionen!$A$4:$A$8</definedName>
    <definedName name="Auswahl_Eingriffstiefe">Konstruktionen!$E$4:$E$6</definedName>
    <definedName name="Auswahl_Energiestandard">Konstruktionen!$C$4:$C$6</definedName>
    <definedName name="Auswahl_Energiestandard_mod">Konstruktionen!$C$3:$C$6</definedName>
    <definedName name="Auswahl_Grundrisstyp">Konstruktionen!$F$4:$F$6</definedName>
    <definedName name="Auswahl_Haustechnik">Konstruktionen!$D$4:$D$5</definedName>
    <definedName name="Auswahl_Konstruktionstyp">Konstruktionen!$G$4:$G$6</definedName>
    <definedName name="AW_Erdsonde">Konstruktionen!$K$4:$K$5</definedName>
    <definedName name="AW_Minergie">Konstruktionen!$J$4:$J$5</definedName>
    <definedName name="AW_Wandtyp_GE">Referenzblatt!$A$4:$A$6</definedName>
    <definedName name="AW_Wandtyp_THGE">Referenzblatt!$A$44:$A$46</definedName>
    <definedName name="AW_Wandtyp_UBP">Referenzblatt!$A$84:$A$86</definedName>
    <definedName name="AW_Wandtyp1_GE">Referenzblatt!$A$4:$A$6</definedName>
    <definedName name="AW_Wandtyp1_THGE">Referenzblatt!$A$44:$A$45</definedName>
    <definedName name="AW_Wandtyp1_UBP">Referenzblatt!$A$84:$A$85</definedName>
    <definedName name="_xlnm.Print_Area" localSheetId="4">Bauteile_Modernisierung!$A$1:$J$46</definedName>
    <definedName name="_xlnm.Print_Area" localSheetId="3">Bauteile_Neubau!$A$1:$J$47</definedName>
    <definedName name="_xlnm.Print_Area" localSheetId="13">KBOBBaumaterialien!$B$1:$Q$170</definedName>
    <definedName name="_xlnm.Print_Area" localSheetId="15">KBOBGebäudetechnik!$B$1:$R$103</definedName>
    <definedName name="_xlnm.Print_Area" localSheetId="14">KBOBTransporte!$B$1:$V$58</definedName>
    <definedName name="_xlnm.Print_Area" localSheetId="2">Objektdaten_Modernisierung!$A$1:$G$48</definedName>
    <definedName name="_xlnm.Print_Titles" localSheetId="13">KBOBBaumaterialien!$1:$8</definedName>
    <definedName name="_xlnm.Print_Titles" localSheetId="15">KBOBGebäudetechnik!$1:$8</definedName>
    <definedName name="_xlnm.Print_Titles" localSheetId="14">KBOBTransporte!$1:$8</definedName>
    <definedName name="EBF">'Berechnung Grenzwerte'!$C$53</definedName>
    <definedName name="EBF_mod">'Berechnung Grenzwerte'!$C$77</definedName>
    <definedName name="Eingriffstiefe">Objektdaten_Modernisierung!$E$25</definedName>
    <definedName name="Elektro">Objektdaten_Modernisierung!$E$42</definedName>
    <definedName name="Erdregister">Objektdaten_Modernisierung!$E$36</definedName>
    <definedName name="Erdsonde">Objektdaten_Neubau!$E$10</definedName>
    <definedName name="Erdsonde_mod">Objektdaten_Modernisierung!$E$48</definedName>
    <definedName name="Gf">Objektdaten_Neubau!$E$16</definedName>
    <definedName name="Gf_mod">Objektdaten_Modernisierung!$E$14</definedName>
    <definedName name="GF_ST">Objektdaten_Neubau!$E$22</definedName>
    <definedName name="Grundrisstyp_mod">Objektdaten_Modernisierung!#REF!</definedName>
    <definedName name="H">Objektdaten_Neubau!$E$12</definedName>
    <definedName name="H_mod">Objektdaten_Modernisierung!$E$10</definedName>
    <definedName name="IW_BT">Konstruktionen!$G$128:$AP$130</definedName>
    <definedName name="IW_Konstruktion">Bauteile_Neubau!$E$26</definedName>
    <definedName name="IW_Konstruktion_mod">Bauteile_Modernisierung!$E$25</definedName>
    <definedName name="K_Fläche_Tür">Referenzblatt!$J$47</definedName>
    <definedName name="K_Länge_Sturz">Referenzblatt!$J$45</definedName>
    <definedName name="K_Rahmenbreite">Referenzblatt!$J$41</definedName>
    <definedName name="K_Rahmenhöhe">Referenzblatt!$J$42</definedName>
    <definedName name="K_Rahmentiefe">Referenzblatt!$J$40</definedName>
    <definedName name="K_Tiefe_Sturz">Referenzblatt!$J$46</definedName>
    <definedName name="K_Türumfang1">Referenzblatt!$J$43</definedName>
    <definedName name="K_Türumfang2">Referenzblatt!$J$44</definedName>
    <definedName name="KBOB">KBOBBaumaterialien!$B$10:$P$171</definedName>
    <definedName name="KBOB_Baustoffe_2012">KBOBBaumaterialien!$B:$Q</definedName>
    <definedName name="KBOB_Gebäudetechnik_2012">KBOBGebäudetechnik!$B$2:$R$103</definedName>
    <definedName name="KBOB_Transporte">KBOBTransporte!$B$10:$T$59</definedName>
    <definedName name="keine_BE_mod">Eingriffe_Modernisierung!$D$96:$D$100</definedName>
    <definedName name="keine_Bu_mod">Eingriffe_Modernisierung!$D$76:$D$80</definedName>
    <definedName name="keine_D_mod">Eingriffe_Modernisierung!$D$8:$D$12</definedName>
    <definedName name="keine_Fe_mod">Eingriffe_Modernisierung!$D$116:$D$118</definedName>
    <definedName name="keine_Wu_mod">Eingriffe_Modernisierung!$D$56:$D$60</definedName>
    <definedName name="keine_Wü_mod">Eingriffe_Modernisierung!$D$28:$D$34</definedName>
    <definedName name="Konstruktionen">Konstruktionen!$A$35:$AP$124</definedName>
    <definedName name="Konstruktionen_2">Konstruktionen!$H$35:$AP$124</definedName>
    <definedName name="Konstruktionen_2_mod">Eingriffe_Modernisierung!$E$8:$H$127</definedName>
    <definedName name="Konstruktionen_mod">Eingriffe_Modernisierung!$A$8:$H$127</definedName>
    <definedName name="Lüftung">Objektdaten_Modernisierung!$E$34</definedName>
    <definedName name="Minergie">Objektdaten_Neubau!$E$8</definedName>
    <definedName name="MINERGIE_BE">Konstruktionen!$G$106:$G$110</definedName>
    <definedName name="MINERGIE_BE_mod">Eingriffe_Modernisierung!$D$106:$D$110</definedName>
    <definedName name="MINERGIE_Bu">Konstruktionen!$G$91:$G$95</definedName>
    <definedName name="MINERGIE_Bu_mod">Eingriffe_Modernisierung!$D$86:$D$90</definedName>
    <definedName name="MINERGIE_D">Konstruktionen!$G$40:$G$44</definedName>
    <definedName name="MINERGIE_D_mod">Eingriffe_Modernisierung!$D$18:$D$22</definedName>
    <definedName name="MINERGIE_Fe">Konstruktionen!$G$119:$G$121</definedName>
    <definedName name="MINERGIE_Fe_mod">Eingriffe_Modernisierung!$D$122:$D$124</definedName>
    <definedName name="MINERGIE_mod">Objektdaten_Modernisierung!#REF!</definedName>
    <definedName name="MINERGIE_P_BE">Konstruktionen!$G$111:$G$115</definedName>
    <definedName name="MINERGIE_P_BE_mod">Eingriffe_Modernisierung!$D$111:$D$115</definedName>
    <definedName name="MINERGIE_P_Bu">Konstruktionen!$G$96:$G$100</definedName>
    <definedName name="MINERGIE_P_Bu_mod">Eingriffe_Modernisierung!$D$91:$D$95</definedName>
    <definedName name="MINERGIE_P_D">Konstruktionen!$G$45:$G$49</definedName>
    <definedName name="MINERGIE_P_D_mod">Eingriffe_Modernisierung!$D$23:$D$27</definedName>
    <definedName name="MINERGIE_P_Fe">Konstruktionen!$G$122:$G$124</definedName>
    <definedName name="MINERGIE_P_Fe_mod">Eingriffe_Modernisierung!$D$125:$D$127</definedName>
    <definedName name="MINERGIE_P_Wu">Konstruktionen!$G$81:$G$85</definedName>
    <definedName name="MINERGIE_P_Wü">Konstruktionen!$G$64:$G$70</definedName>
    <definedName name="MINERGIE_P_Wu_mod">Eingriffe_Modernisierung!$D$71:$D$75</definedName>
    <definedName name="MINERGIE_P_Wü_mod">Eingriffe_Modernisierung!$D$49:$D$55</definedName>
    <definedName name="MINERGIE_Wu">Konstruktionen!$G$76:$G$80</definedName>
    <definedName name="MINERGIE_Wü">Konstruktionen!$G$57:$G$63</definedName>
    <definedName name="MINERGIE_Wu_mod">Eingriffe_Modernisierung!$D$66:$D$70</definedName>
    <definedName name="MINERGIE_Wü_mod">Eingriffe_Modernisierung!$D$42:$D$48</definedName>
    <definedName name="MuKen_BE">Konstruktionen!$G$101:$G$105</definedName>
    <definedName name="MuKen_BE_mod">Eingriffe_Modernisierung!$D$101:$D$105</definedName>
    <definedName name="MuKen_Bu">Konstruktionen!$G$86:$G$90</definedName>
    <definedName name="MuKen_D">Konstruktionen!$G$35:$G$39</definedName>
    <definedName name="MuKen_D_mod">Eingriffe_Modernisierung!$D$13:$D$17</definedName>
    <definedName name="MuKen_Fe">Konstruktionen!$G$116:$G$118</definedName>
    <definedName name="MuKen_Fe_mod">Eingriffe_Modernisierung!$D$119:$D$121</definedName>
    <definedName name="MuKen_Nu_mod">Eingriffe_Modernisierung!$D$81:$D$85</definedName>
    <definedName name="MuKen_Wu">Konstruktionen!$G$71:$G$75</definedName>
    <definedName name="MuKen_Wü">Konstruktionen!$G$50:$G$56</definedName>
    <definedName name="MuKen_Wu_mod">Eingriffe_Modernisierung!$D$61:$D$65</definedName>
    <definedName name="MuKen_Wü_mod">Eingriffe_Modernisierung!$D$35:$D$41</definedName>
    <definedName name="NF_ST">Objektdaten_Neubau!$E$20</definedName>
    <definedName name="NF_UB">Objektdaten_Neubau!$E$18</definedName>
    <definedName name="PV_Fläche">Objektdaten_Neubau!$E$26</definedName>
    <definedName name="PV_Fläche_mod">Objektdaten_Modernisierung!$E$29</definedName>
    <definedName name="Resource_selection">[1]Overview!$C$4</definedName>
    <definedName name="Sanitär">Objektdaten_Modernisierung!$E$40</definedName>
    <definedName name="SK_Fläche">Objektdaten_Neubau!$E$28</definedName>
    <definedName name="SK_Fläche_mod">Objektdaten_Modernisierung!$E$31</definedName>
    <definedName name="Soil_Selection">[1]Overview!$C$94</definedName>
    <definedName name="tbl_Deckenstärke_GE">Referenzblatt!$A$16:$D$17</definedName>
    <definedName name="tbl_Deckenstärke_THGE">Referenzblatt!$A$57:$D$58</definedName>
    <definedName name="tbl_Deckenstärke_UBP">Referenzblatt!$A$98:$D$99</definedName>
    <definedName name="tbl_Eingriffstiefe_GE">Referenzblatt!$I$17:$R$19</definedName>
    <definedName name="tbl_Eingriffstiefe_THGE">Referenzblatt!$I$67:$R$69</definedName>
    <definedName name="tbl_Eingriffstiefe_UBP">Referenzblatt!$I$117:$R$119</definedName>
    <definedName name="tbl_Grundrisstyp_GE">Referenzblatt!$A$8:$B$9</definedName>
    <definedName name="tbl_Grundrisstyp_THGE">Referenzblatt!$A$49:$B$50</definedName>
    <definedName name="tbl_Grundrisstyp_UBP">Referenzblatt!$A$89:$B$90</definedName>
    <definedName name="tbl_Haustechnik_GE">Referenzblatt!$A$19:$B$24</definedName>
    <definedName name="tbl_Haustechnik_GE_mod">Referenzblatt!$I$28:$J$35</definedName>
    <definedName name="tbl_Haustechnik_THGE">Referenzblatt!$A$60:$B$65</definedName>
    <definedName name="tbl_Haustechnik_THGE_mod">Referenzblatt!$I$78:$J$85</definedName>
    <definedName name="tbl_Haustechnik_UBP">Referenzblatt!$A$100:$B$105</definedName>
    <definedName name="tbl_Haustechnik_UBP_mod">Referenzblatt!$I$128:$J$135</definedName>
    <definedName name="tbl_Konstanten_GE">Referenzblatt!$I$39:$K$47</definedName>
    <definedName name="tbl_Konstanten_THGE">Referenzblatt!$I$89:$K$97</definedName>
    <definedName name="tbl_Konstanten_UBP">Referenzblatt!$I$139:$K$147</definedName>
    <definedName name="tbl_Konstruktionstyp_GE">Referenzblatt!$A$3:$C$6</definedName>
    <definedName name="tbl_Konstruktionstyp_mod_GE">Referenzblatt!$I$22:$K$25</definedName>
    <definedName name="tbl_Konstruktionstyp_mod_THGE">Referenzblatt!$I$72:$K$75</definedName>
    <definedName name="tbl_Konstruktionstyp_mod_UBP">Referenzblatt!$I$122:$K$125</definedName>
    <definedName name="tbl_Konstruktionstyp_THGE">Referenzblatt!$A$43:$C$45</definedName>
    <definedName name="tbl_Konstruktionstyp_UBP">Referenzblatt!$A$83:$C$85</definedName>
    <definedName name="tbl_Minergie_GE">Referenzblatt!$A$30:$C$32</definedName>
    <definedName name="tbl_Minergie_GE_mod">Referenzblatt!$M$42:$Q$45</definedName>
    <definedName name="tbl_Minergie_THGE">Referenzblatt!$A$71:$C$73</definedName>
    <definedName name="tbl_Minergie_UBP">Referenzblatt!$A$111:$C$113</definedName>
    <definedName name="UBF">'Berechnung Grenzwerte'!$C$54</definedName>
    <definedName name="Wärmeerzeugung">Objektdaten_Modernisierung!$E$44</definedName>
    <definedName name="Wärmeverteilung">Objektdaten_Modernisierung!$E$46</definedName>
    <definedName name="Water_Selection">[1]Overview!$C$67</definedName>
    <definedName name="Z_EC51EC7F_3C0B_4CF9_8F20_C7FD08174DA8_.wvu.PrintArea" localSheetId="13" hidden="1">KBOBBaumaterialien!$B$1:$Q$170</definedName>
    <definedName name="Z_EC51EC7F_3C0B_4CF9_8F20_C7FD08174DA8_.wvu.PrintArea" localSheetId="15" hidden="1">KBOBGebäudetechnik!$B$1:$R$103</definedName>
    <definedName name="Z_EC51EC7F_3C0B_4CF9_8F20_C7FD08174DA8_.wvu.PrintArea" localSheetId="14" hidden="1">KBOBTransporte!$B$1:$V$58</definedName>
    <definedName name="Z_EC51EC7F_3C0B_4CF9_8F20_C7FD08174DA8_.wvu.PrintTitles" localSheetId="13" hidden="1">KBOBBaumaterialien!$1:$8</definedName>
    <definedName name="Z_EC51EC7F_3C0B_4CF9_8F20_C7FD08174DA8_.wvu.PrintTitles" localSheetId="15" hidden="1">KBOBGebäudetechnik!$1:$8</definedName>
    <definedName name="Z_EC51EC7F_3C0B_4CF9_8F20_C7FD08174DA8_.wvu.PrintTitles" localSheetId="14" hidden="1">KBOBTransporte!$1:$8</definedName>
    <definedName name="ZD_BT">Konstruktionen!$G$135:$AP$137</definedName>
    <definedName name="ZD_Konstruktion">Bauteile_Neubau!$E$27</definedName>
    <definedName name="ZD_Konstruktion_mod">Bauteile_Modernisierung!$E$26</definedName>
  </definedNames>
  <calcPr calcId="162913"/>
</workbook>
</file>

<file path=xl/calcChain.xml><?xml version="1.0" encoding="utf-8"?>
<calcChain xmlns="http://schemas.openxmlformats.org/spreadsheetml/2006/main">
  <c r="A78" i="24" l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77" i="24"/>
  <c r="A37" i="24"/>
  <c r="A38" i="24" s="1"/>
  <c r="A39" i="24" s="1"/>
  <c r="A40" i="24" s="1"/>
  <c r="A41" i="24" s="1"/>
  <c r="A42" i="24" s="1"/>
  <c r="A43" i="24" s="1"/>
  <c r="A44" i="24" s="1"/>
  <c r="A45" i="24" s="1"/>
  <c r="A36" i="24"/>
  <c r="A26" i="24"/>
  <c r="A27" i="24" s="1"/>
  <c r="A28" i="24" s="1"/>
  <c r="A29" i="24" s="1"/>
  <c r="A30" i="24" s="1"/>
  <c r="A31" i="24" s="1"/>
  <c r="A32" i="24" s="1"/>
  <c r="A33" i="24" s="1"/>
  <c r="A34" i="24" s="1"/>
  <c r="O19" i="24"/>
  <c r="K19" i="24"/>
  <c r="L19" i="24" s="1"/>
  <c r="H19" i="24"/>
  <c r="I19" i="24" s="1"/>
  <c r="E19" i="24"/>
  <c r="F19" i="24" s="1"/>
  <c r="O18" i="24"/>
  <c r="K18" i="24"/>
  <c r="L18" i="24" s="1"/>
  <c r="H18" i="24"/>
  <c r="I18" i="24" s="1"/>
  <c r="E18" i="24"/>
  <c r="F18" i="24" s="1"/>
  <c r="O17" i="24"/>
  <c r="K17" i="24"/>
  <c r="L17" i="24" s="1"/>
  <c r="H17" i="24"/>
  <c r="I17" i="24" s="1"/>
  <c r="E17" i="24"/>
  <c r="F17" i="24" s="1"/>
  <c r="O16" i="24"/>
  <c r="K16" i="24"/>
  <c r="L16" i="24" s="1"/>
  <c r="H16" i="24"/>
  <c r="I16" i="24" s="1"/>
  <c r="E16" i="24"/>
  <c r="F16" i="24" s="1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10" i="24"/>
  <c r="F58" i="23"/>
  <c r="E58" i="23"/>
  <c r="H57" i="23"/>
  <c r="F57" i="23"/>
  <c r="E57" i="23"/>
  <c r="E56" i="23"/>
  <c r="F55" i="23"/>
  <c r="E55" i="23"/>
  <c r="F51" i="23"/>
  <c r="E51" i="23"/>
  <c r="H50" i="23"/>
  <c r="F50" i="23"/>
  <c r="E50" i="23"/>
  <c r="F49" i="23"/>
  <c r="E49" i="23"/>
  <c r="F48" i="23"/>
  <c r="E48" i="23"/>
  <c r="H47" i="23"/>
  <c r="F47" i="23"/>
  <c r="E47" i="23"/>
  <c r="H46" i="23"/>
  <c r="F46" i="23"/>
  <c r="E46" i="23"/>
  <c r="A46" i="23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32" i="23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E24" i="23"/>
  <c r="N21" i="23"/>
  <c r="M21" i="23"/>
  <c r="J21" i="23"/>
  <c r="F21" i="23"/>
  <c r="E21" i="23"/>
  <c r="A19" i="23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18" i="23"/>
  <c r="A10" i="23"/>
  <c r="A11" i="23" s="1"/>
  <c r="A12" i="23" s="1"/>
  <c r="A13" i="23" s="1"/>
  <c r="A14" i="23" s="1"/>
  <c r="A15" i="23" s="1"/>
  <c r="A16" i="23" s="1"/>
  <c r="A167" i="4"/>
  <c r="A168" i="4" s="1"/>
  <c r="A169" i="4" s="1"/>
  <c r="A170" i="4" s="1"/>
  <c r="A166" i="4"/>
  <c r="A158" i="4"/>
  <c r="A159" i="4" s="1"/>
  <c r="A160" i="4" s="1"/>
  <c r="A161" i="4" s="1"/>
  <c r="A162" i="4" s="1"/>
  <c r="A163" i="4" s="1"/>
  <c r="A164" i="4" s="1"/>
  <c r="A157" i="4"/>
  <c r="A155" i="4"/>
  <c r="A153" i="4"/>
  <c r="A154" i="4" s="1"/>
  <c r="A152" i="4"/>
  <c r="A148" i="4"/>
  <c r="A149" i="4" s="1"/>
  <c r="A150" i="4" s="1"/>
  <c r="A147" i="4"/>
  <c r="A121" i="4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19" i="4"/>
  <c r="A120" i="4" s="1"/>
  <c r="N116" i="4"/>
  <c r="K116" i="4"/>
  <c r="H116" i="4"/>
  <c r="E116" i="4"/>
  <c r="A108" i="4"/>
  <c r="A109" i="4" s="1"/>
  <c r="A110" i="4" s="1"/>
  <c r="A111" i="4" s="1"/>
  <c r="A112" i="4" s="1"/>
  <c r="A113" i="4" s="1"/>
  <c r="A114" i="4" s="1"/>
  <c r="A115" i="4" s="1"/>
  <c r="A116" i="4" s="1"/>
  <c r="A117" i="4" s="1"/>
  <c r="A99" i="4"/>
  <c r="A100" i="4" s="1"/>
  <c r="A101" i="4" s="1"/>
  <c r="A102" i="4" s="1"/>
  <c r="A103" i="4" s="1"/>
  <c r="A104" i="4" s="1"/>
  <c r="A105" i="4" s="1"/>
  <c r="A106" i="4" s="1"/>
  <c r="A94" i="4"/>
  <c r="A95" i="4" s="1"/>
  <c r="A96" i="4" s="1"/>
  <c r="A97" i="4" s="1"/>
  <c r="A93" i="4"/>
  <c r="A76" i="4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74" i="4"/>
  <c r="A75" i="4" s="1"/>
  <c r="A73" i="4"/>
  <c r="A59" i="4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50" i="4"/>
  <c r="A51" i="4" s="1"/>
  <c r="A52" i="4" s="1"/>
  <c r="A53" i="4" s="1"/>
  <c r="A54" i="4" s="1"/>
  <c r="A55" i="4" s="1"/>
  <c r="A56" i="4" s="1"/>
  <c r="A57" i="4" s="1"/>
  <c r="A41" i="4"/>
  <c r="A42" i="4" s="1"/>
  <c r="A43" i="4" s="1"/>
  <c r="A44" i="4" s="1"/>
  <c r="A45" i="4" s="1"/>
  <c r="A46" i="4" s="1"/>
  <c r="A47" i="4" s="1"/>
  <c r="A48" i="4" s="1"/>
  <c r="A40" i="4"/>
  <c r="A24" i="4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23" i="4"/>
  <c r="A15" i="4"/>
  <c r="A16" i="4" s="1"/>
  <c r="A17" i="4" s="1"/>
  <c r="A18" i="4" s="1"/>
  <c r="A19" i="4" s="1"/>
  <c r="A20" i="4" s="1"/>
  <c r="A21" i="4" s="1"/>
  <c r="A10" i="4"/>
  <c r="A11" i="4" s="1"/>
  <c r="A12" i="4" s="1"/>
  <c r="A13" i="4" s="1"/>
  <c r="R98" i="11"/>
  <c r="J98" i="11"/>
  <c r="R97" i="11"/>
  <c r="J97" i="11"/>
  <c r="R96" i="11"/>
  <c r="J96" i="11"/>
  <c r="R95" i="11"/>
  <c r="J95" i="11"/>
  <c r="R94" i="11"/>
  <c r="J94" i="11"/>
  <c r="R93" i="11"/>
  <c r="J93" i="11"/>
  <c r="R92" i="11"/>
  <c r="J92" i="11"/>
  <c r="R91" i="11"/>
  <c r="R99" i="11" s="1"/>
  <c r="J91" i="11"/>
  <c r="R85" i="11"/>
  <c r="J85" i="11"/>
  <c r="R84" i="11"/>
  <c r="J84" i="11"/>
  <c r="C84" i="11"/>
  <c r="R83" i="11"/>
  <c r="J83" i="11"/>
  <c r="C83" i="11"/>
  <c r="R82" i="11"/>
  <c r="J82" i="11"/>
  <c r="C82" i="11"/>
  <c r="R81" i="11"/>
  <c r="J81" i="11"/>
  <c r="C81" i="11"/>
  <c r="R80" i="11"/>
  <c r="J80" i="11"/>
  <c r="J86" i="11" s="1"/>
  <c r="C80" i="11"/>
  <c r="R79" i="11"/>
  <c r="J79" i="11"/>
  <c r="C79" i="11"/>
  <c r="R78" i="11"/>
  <c r="R86" i="11" s="1"/>
  <c r="J78" i="11"/>
  <c r="C78" i="11"/>
  <c r="C77" i="11"/>
  <c r="L61" i="11"/>
  <c r="T60" i="11"/>
  <c r="T61" i="11" s="1"/>
  <c r="S60" i="11"/>
  <c r="S61" i="11" s="1"/>
  <c r="R60" i="11"/>
  <c r="R61" i="11" s="1"/>
  <c r="L60" i="11"/>
  <c r="K60" i="11"/>
  <c r="K61" i="11" s="1"/>
  <c r="J60" i="11"/>
  <c r="J61" i="11" s="1"/>
  <c r="C56" i="11"/>
  <c r="R55" i="11"/>
  <c r="C55" i="11"/>
  <c r="T54" i="11"/>
  <c r="T55" i="11" s="1"/>
  <c r="S54" i="11"/>
  <c r="S55" i="11" s="1"/>
  <c r="R54" i="11"/>
  <c r="L54" i="11"/>
  <c r="L55" i="11" s="1"/>
  <c r="K54" i="11"/>
  <c r="K55" i="11" s="1"/>
  <c r="J54" i="11"/>
  <c r="J55" i="11" s="1"/>
  <c r="C54" i="11"/>
  <c r="C53" i="11"/>
  <c r="G38" i="11"/>
  <c r="T35" i="11"/>
  <c r="S35" i="11"/>
  <c r="R35" i="11"/>
  <c r="Q35" i="11"/>
  <c r="P35" i="11"/>
  <c r="O35" i="11"/>
  <c r="N35" i="11"/>
  <c r="M35" i="11"/>
  <c r="L35" i="11"/>
  <c r="K35" i="11"/>
  <c r="G14" i="11"/>
  <c r="T13" i="11"/>
  <c r="S13" i="11"/>
  <c r="R13" i="11"/>
  <c r="Q13" i="11"/>
  <c r="P13" i="11"/>
  <c r="O13" i="11"/>
  <c r="N13" i="11"/>
  <c r="M13" i="11"/>
  <c r="L13" i="11"/>
  <c r="K13" i="11"/>
  <c r="J147" i="10"/>
  <c r="J146" i="10"/>
  <c r="P145" i="10"/>
  <c r="O145" i="10"/>
  <c r="J145" i="10"/>
  <c r="P144" i="10"/>
  <c r="O144" i="10"/>
  <c r="J144" i="10"/>
  <c r="P143" i="10"/>
  <c r="O143" i="10"/>
  <c r="J143" i="10"/>
  <c r="W142" i="10"/>
  <c r="V142" i="10"/>
  <c r="AB142" i="10" s="1"/>
  <c r="AB143" i="10" s="1"/>
  <c r="I40" i="9" s="1"/>
  <c r="I42" i="9" s="1"/>
  <c r="U142" i="10"/>
  <c r="J142" i="10"/>
  <c r="J141" i="10"/>
  <c r="J140" i="10"/>
  <c r="W139" i="10"/>
  <c r="V139" i="10"/>
  <c r="U139" i="10"/>
  <c r="Y139" i="10" s="1"/>
  <c r="AB139" i="10" s="1"/>
  <c r="Y135" i="10"/>
  <c r="W135" i="10"/>
  <c r="V135" i="10"/>
  <c r="AB135" i="10" s="1"/>
  <c r="U135" i="10"/>
  <c r="J135" i="10"/>
  <c r="W134" i="10"/>
  <c r="V134" i="10"/>
  <c r="AB134" i="10" s="1"/>
  <c r="AB136" i="10" s="1"/>
  <c r="U134" i="10"/>
  <c r="J134" i="10"/>
  <c r="J133" i="10"/>
  <c r="J132" i="10"/>
  <c r="X131" i="10"/>
  <c r="W131" i="10"/>
  <c r="V131" i="10"/>
  <c r="U131" i="10"/>
  <c r="Y131" i="10" s="1"/>
  <c r="AB131" i="10" s="1"/>
  <c r="J131" i="10"/>
  <c r="J130" i="10"/>
  <c r="J129" i="10"/>
  <c r="AB127" i="10"/>
  <c r="W127" i="10"/>
  <c r="V127" i="10"/>
  <c r="U127" i="10"/>
  <c r="W126" i="10"/>
  <c r="V126" i="10"/>
  <c r="U126" i="10"/>
  <c r="Y126" i="10" s="1"/>
  <c r="AB126" i="10" s="1"/>
  <c r="W125" i="10"/>
  <c r="V125" i="10"/>
  <c r="U125" i="10"/>
  <c r="Y125" i="10" s="1"/>
  <c r="AB125" i="10" s="1"/>
  <c r="I125" i="10"/>
  <c r="I124" i="10"/>
  <c r="I123" i="10"/>
  <c r="W121" i="10"/>
  <c r="V121" i="10"/>
  <c r="U121" i="10"/>
  <c r="Y121" i="10" s="1"/>
  <c r="AB121" i="10" s="1"/>
  <c r="Y120" i="10"/>
  <c r="AB120" i="10" s="1"/>
  <c r="AB122" i="10" s="1"/>
  <c r="W120" i="10"/>
  <c r="V120" i="10"/>
  <c r="U120" i="10"/>
  <c r="N119" i="10"/>
  <c r="N118" i="10"/>
  <c r="C113" i="10"/>
  <c r="B113" i="10"/>
  <c r="Y112" i="10"/>
  <c r="AB112" i="10" s="1"/>
  <c r="W112" i="10"/>
  <c r="V112" i="10"/>
  <c r="U112" i="10"/>
  <c r="C112" i="10"/>
  <c r="B112" i="10"/>
  <c r="W111" i="10"/>
  <c r="V111" i="10"/>
  <c r="U111" i="10"/>
  <c r="Y111" i="10" s="1"/>
  <c r="AB111" i="10" s="1"/>
  <c r="Y110" i="10"/>
  <c r="AB110" i="10" s="1"/>
  <c r="W110" i="10"/>
  <c r="V110" i="10"/>
  <c r="U110" i="10"/>
  <c r="Y109" i="10"/>
  <c r="AB109" i="10" s="1"/>
  <c r="W109" i="10"/>
  <c r="V109" i="10"/>
  <c r="U109" i="10"/>
  <c r="Y108" i="10"/>
  <c r="W108" i="10"/>
  <c r="V108" i="10"/>
  <c r="AB108" i="10" s="1"/>
  <c r="U108" i="10"/>
  <c r="B105" i="10"/>
  <c r="B104" i="10"/>
  <c r="B103" i="10"/>
  <c r="B102" i="10"/>
  <c r="B101" i="10"/>
  <c r="B108" i="10" s="1"/>
  <c r="B109" i="10" s="1"/>
  <c r="C29" i="9" s="1"/>
  <c r="J97" i="10"/>
  <c r="J96" i="10"/>
  <c r="J95" i="10"/>
  <c r="P94" i="10"/>
  <c r="M43" i="11" s="1"/>
  <c r="O94" i="10"/>
  <c r="M40" i="11" s="1"/>
  <c r="J94" i="10"/>
  <c r="P93" i="10"/>
  <c r="T43" i="11" s="1"/>
  <c r="O93" i="10"/>
  <c r="T40" i="11" s="1"/>
  <c r="J93" i="10"/>
  <c r="W92" i="10"/>
  <c r="V92" i="10"/>
  <c r="AB92" i="10" s="1"/>
  <c r="AB93" i="10" s="1"/>
  <c r="I40" i="8" s="1"/>
  <c r="I42" i="8" s="1"/>
  <c r="U92" i="10"/>
  <c r="P92" i="10"/>
  <c r="S43" i="11" s="1"/>
  <c r="O92" i="10"/>
  <c r="S40" i="11" s="1"/>
  <c r="J92" i="10"/>
  <c r="J91" i="10"/>
  <c r="J90" i="10"/>
  <c r="W89" i="10"/>
  <c r="V89" i="10"/>
  <c r="U89" i="10"/>
  <c r="Y89" i="10" s="1"/>
  <c r="AB89" i="10" s="1"/>
  <c r="I38" i="8" s="1"/>
  <c r="A86" i="10"/>
  <c r="Y85" i="10"/>
  <c r="W85" i="10"/>
  <c r="V85" i="10"/>
  <c r="AB85" i="10" s="1"/>
  <c r="U85" i="10"/>
  <c r="J85" i="10"/>
  <c r="L40" i="11" s="1"/>
  <c r="L43" i="11" s="1"/>
  <c r="A85" i="10"/>
  <c r="W84" i="10"/>
  <c r="V84" i="10"/>
  <c r="U84" i="10"/>
  <c r="AB84" i="10" s="1"/>
  <c r="J84" i="10"/>
  <c r="K40" i="11" s="1"/>
  <c r="A84" i="10"/>
  <c r="J83" i="10"/>
  <c r="R40" i="11" s="1"/>
  <c r="R43" i="11" s="1"/>
  <c r="J82" i="10"/>
  <c r="Q40" i="11" s="1"/>
  <c r="Q43" i="11" s="1"/>
  <c r="X81" i="10"/>
  <c r="W81" i="10"/>
  <c r="V81" i="10"/>
  <c r="U81" i="10"/>
  <c r="J81" i="10"/>
  <c r="P40" i="11" s="1"/>
  <c r="P43" i="11" s="1"/>
  <c r="J80" i="10"/>
  <c r="O40" i="11" s="1"/>
  <c r="O43" i="11" s="1"/>
  <c r="J79" i="10"/>
  <c r="N40" i="11" s="1"/>
  <c r="N43" i="11" s="1"/>
  <c r="AB77" i="10"/>
  <c r="W77" i="10"/>
  <c r="V77" i="10"/>
  <c r="U77" i="10"/>
  <c r="W76" i="10"/>
  <c r="V76" i="10"/>
  <c r="U76" i="10"/>
  <c r="Y76" i="10" s="1"/>
  <c r="AB76" i="10" s="1"/>
  <c r="W75" i="10"/>
  <c r="V75" i="10"/>
  <c r="U75" i="10"/>
  <c r="Y75" i="10" s="1"/>
  <c r="AB75" i="10" s="1"/>
  <c r="I75" i="10"/>
  <c r="I74" i="10"/>
  <c r="I73" i="10"/>
  <c r="C73" i="10"/>
  <c r="B73" i="10"/>
  <c r="F38" i="11" s="1"/>
  <c r="C72" i="10"/>
  <c r="B72" i="10"/>
  <c r="E38" i="11" s="1"/>
  <c r="W71" i="10"/>
  <c r="V71" i="10"/>
  <c r="U71" i="10"/>
  <c r="Y71" i="10" s="1"/>
  <c r="AB71" i="10" s="1"/>
  <c r="Y70" i="10"/>
  <c r="AB70" i="10" s="1"/>
  <c r="AB72" i="10" s="1"/>
  <c r="W70" i="10"/>
  <c r="V70" i="10"/>
  <c r="U70" i="10"/>
  <c r="N69" i="10"/>
  <c r="N68" i="10"/>
  <c r="B65" i="10"/>
  <c r="D38" i="11" s="1"/>
  <c r="B64" i="10"/>
  <c r="C38" i="11" s="1"/>
  <c r="Q67" i="11" s="1"/>
  <c r="B63" i="10"/>
  <c r="W62" i="10"/>
  <c r="V62" i="10"/>
  <c r="U62" i="10"/>
  <c r="Y62" i="10" s="1"/>
  <c r="AB62" i="10" s="1"/>
  <c r="B62" i="10"/>
  <c r="Y61" i="10"/>
  <c r="AB61" i="10" s="1"/>
  <c r="W61" i="10"/>
  <c r="V61" i="10"/>
  <c r="U61" i="10"/>
  <c r="B61" i="10"/>
  <c r="W60" i="10"/>
  <c r="V60" i="10"/>
  <c r="U60" i="10"/>
  <c r="Y60" i="10" s="1"/>
  <c r="Y59" i="10"/>
  <c r="AB59" i="10" s="1"/>
  <c r="W59" i="10"/>
  <c r="V59" i="10"/>
  <c r="U59" i="10"/>
  <c r="Y58" i="10"/>
  <c r="AB58" i="10" s="1"/>
  <c r="W58" i="10"/>
  <c r="V58" i="10"/>
  <c r="U58" i="10"/>
  <c r="A46" i="10"/>
  <c r="P45" i="10"/>
  <c r="M21" i="11" s="1"/>
  <c r="O45" i="10"/>
  <c r="M18" i="11" s="1"/>
  <c r="A45" i="10"/>
  <c r="P44" i="10"/>
  <c r="T21" i="11" s="1"/>
  <c r="O44" i="10"/>
  <c r="T18" i="11" s="1"/>
  <c r="A44" i="10"/>
  <c r="P43" i="10"/>
  <c r="S21" i="11" s="1"/>
  <c r="O43" i="10"/>
  <c r="S18" i="11" s="1"/>
  <c r="W42" i="10"/>
  <c r="V42" i="10"/>
  <c r="AB42" i="10" s="1"/>
  <c r="AB43" i="10" s="1"/>
  <c r="I40" i="7" s="1"/>
  <c r="I42" i="7" s="1"/>
  <c r="U42" i="10"/>
  <c r="Y39" i="10"/>
  <c r="AB39" i="10" s="1"/>
  <c r="I38" i="7" s="1"/>
  <c r="W39" i="10"/>
  <c r="V39" i="10"/>
  <c r="U39" i="10"/>
  <c r="Y35" i="10"/>
  <c r="W35" i="10"/>
  <c r="V35" i="10"/>
  <c r="AB35" i="10" s="1"/>
  <c r="U35" i="10"/>
  <c r="J35" i="10"/>
  <c r="L18" i="11" s="1"/>
  <c r="L21" i="11" s="1"/>
  <c r="W34" i="10"/>
  <c r="V34" i="10"/>
  <c r="AB34" i="10" s="1"/>
  <c r="AB36" i="10" s="1"/>
  <c r="I30" i="7" s="1"/>
  <c r="U34" i="10"/>
  <c r="J34" i="10"/>
  <c r="K18" i="11" s="1"/>
  <c r="K21" i="11" s="1"/>
  <c r="J33" i="10"/>
  <c r="R18" i="11" s="1"/>
  <c r="R21" i="11" s="1"/>
  <c r="J32" i="10"/>
  <c r="Q18" i="11" s="1"/>
  <c r="Q21" i="11" s="1"/>
  <c r="C32" i="10"/>
  <c r="B32" i="10"/>
  <c r="F14" i="11" s="1"/>
  <c r="X31" i="10"/>
  <c r="W31" i="10"/>
  <c r="V31" i="10"/>
  <c r="U31" i="10"/>
  <c r="Y31" i="10" s="1"/>
  <c r="AB31" i="10" s="1"/>
  <c r="I27" i="7" s="1"/>
  <c r="I28" i="7" s="1"/>
  <c r="J31" i="10"/>
  <c r="P18" i="11" s="1"/>
  <c r="P21" i="11" s="1"/>
  <c r="C31" i="10"/>
  <c r="B31" i="10"/>
  <c r="E14" i="11" s="1"/>
  <c r="J30" i="10"/>
  <c r="O18" i="11" s="1"/>
  <c r="O21" i="11" s="1"/>
  <c r="J29" i="10"/>
  <c r="N18" i="11" s="1"/>
  <c r="N21" i="11" s="1"/>
  <c r="AB27" i="10"/>
  <c r="W27" i="10"/>
  <c r="V27" i="10"/>
  <c r="U27" i="10"/>
  <c r="Y26" i="10"/>
  <c r="AB26" i="10" s="1"/>
  <c r="W26" i="10"/>
  <c r="V26" i="10"/>
  <c r="U26" i="10"/>
  <c r="Y25" i="10"/>
  <c r="AB25" i="10" s="1"/>
  <c r="W25" i="10"/>
  <c r="V25" i="10"/>
  <c r="U25" i="10"/>
  <c r="I25" i="10"/>
  <c r="I24" i="7" s="1"/>
  <c r="I25" i="7" s="1"/>
  <c r="I24" i="10"/>
  <c r="B24" i="10"/>
  <c r="I23" i="10"/>
  <c r="B23" i="10"/>
  <c r="C14" i="11" s="1"/>
  <c r="AB22" i="10"/>
  <c r="B22" i="10"/>
  <c r="Y21" i="10"/>
  <c r="AB21" i="10" s="1"/>
  <c r="W21" i="10"/>
  <c r="V21" i="10"/>
  <c r="U21" i="10"/>
  <c r="B21" i="10"/>
  <c r="AB20" i="10"/>
  <c r="W20" i="10"/>
  <c r="V20" i="10"/>
  <c r="U20" i="10"/>
  <c r="Y20" i="10" s="1"/>
  <c r="B20" i="10"/>
  <c r="B27" i="10" s="1"/>
  <c r="B28" i="10" s="1"/>
  <c r="C29" i="7" s="1"/>
  <c r="N19" i="10"/>
  <c r="N18" i="10"/>
  <c r="Y12" i="10"/>
  <c r="AB12" i="10" s="1"/>
  <c r="W12" i="10"/>
  <c r="V12" i="10"/>
  <c r="U12" i="10"/>
  <c r="W11" i="10"/>
  <c r="V11" i="10"/>
  <c r="U11" i="10"/>
  <c r="Y11" i="10" s="1"/>
  <c r="AB11" i="10" s="1"/>
  <c r="Y10" i="10"/>
  <c r="W10" i="10"/>
  <c r="V10" i="10"/>
  <c r="U10" i="10"/>
  <c r="Y9" i="10"/>
  <c r="AB9" i="10" s="1"/>
  <c r="W9" i="10"/>
  <c r="V9" i="10"/>
  <c r="U9" i="10"/>
  <c r="Y8" i="10"/>
  <c r="W8" i="10"/>
  <c r="V8" i="10"/>
  <c r="AB8" i="10" s="1"/>
  <c r="U8" i="10"/>
  <c r="A6" i="10"/>
  <c r="A5" i="10"/>
  <c r="A4" i="10"/>
  <c r="I55" i="9"/>
  <c r="I54" i="9"/>
  <c r="I53" i="9"/>
  <c r="I52" i="9"/>
  <c r="I51" i="9"/>
  <c r="I50" i="9"/>
  <c r="I49" i="9"/>
  <c r="I48" i="9"/>
  <c r="I47" i="9"/>
  <c r="I56" i="9" s="1"/>
  <c r="I46" i="9"/>
  <c r="I38" i="9"/>
  <c r="C32" i="9"/>
  <c r="C31" i="9"/>
  <c r="I30" i="9"/>
  <c r="C30" i="9"/>
  <c r="C33" i="9" s="1"/>
  <c r="I27" i="9"/>
  <c r="C25" i="9"/>
  <c r="I24" i="9"/>
  <c r="C21" i="9"/>
  <c r="C20" i="9"/>
  <c r="I19" i="9"/>
  <c r="C12" i="9"/>
  <c r="C11" i="9"/>
  <c r="C7" i="9"/>
  <c r="C6" i="9"/>
  <c r="C8" i="9" s="1"/>
  <c r="I5" i="9"/>
  <c r="C5" i="9"/>
  <c r="I55" i="8"/>
  <c r="I54" i="8"/>
  <c r="I53" i="8"/>
  <c r="I52" i="8"/>
  <c r="I51" i="8"/>
  <c r="I50" i="8"/>
  <c r="I49" i="8"/>
  <c r="I48" i="8"/>
  <c r="I47" i="8"/>
  <c r="I46" i="8"/>
  <c r="C32" i="8"/>
  <c r="C31" i="8"/>
  <c r="C30" i="8"/>
  <c r="I25" i="8"/>
  <c r="C25" i="8"/>
  <c r="I24" i="8"/>
  <c r="C21" i="8"/>
  <c r="I20" i="8"/>
  <c r="C20" i="8"/>
  <c r="I19" i="8"/>
  <c r="I15" i="8"/>
  <c r="I16" i="8" s="1"/>
  <c r="I14" i="8"/>
  <c r="C11" i="8"/>
  <c r="C12" i="8" s="1"/>
  <c r="C7" i="8"/>
  <c r="I5" i="8"/>
  <c r="I6" i="8" s="1"/>
  <c r="C5" i="8"/>
  <c r="C6" i="8" s="1"/>
  <c r="C8" i="8" s="1"/>
  <c r="I54" i="7"/>
  <c r="I53" i="7"/>
  <c r="I52" i="7"/>
  <c r="I51" i="7"/>
  <c r="I50" i="7"/>
  <c r="I49" i="7"/>
  <c r="I48" i="7"/>
  <c r="I47" i="7"/>
  <c r="I46" i="7"/>
  <c r="C31" i="7"/>
  <c r="C30" i="7"/>
  <c r="C25" i="7"/>
  <c r="C21" i="7"/>
  <c r="C20" i="7"/>
  <c r="I19" i="7"/>
  <c r="C11" i="7"/>
  <c r="C12" i="7" s="1"/>
  <c r="C7" i="7"/>
  <c r="I6" i="7"/>
  <c r="I20" i="7" s="1"/>
  <c r="I5" i="7"/>
  <c r="C5" i="7"/>
  <c r="C6" i="7" s="1"/>
  <c r="C8" i="7" s="1"/>
  <c r="E127" i="27"/>
  <c r="E126" i="27"/>
  <c r="E125" i="27"/>
  <c r="E124" i="27"/>
  <c r="E123" i="27"/>
  <c r="E122" i="27"/>
  <c r="E121" i="27"/>
  <c r="E120" i="27"/>
  <c r="E119" i="27"/>
  <c r="H118" i="27"/>
  <c r="G118" i="27"/>
  <c r="F118" i="27"/>
  <c r="E118" i="27"/>
  <c r="H117" i="27"/>
  <c r="G117" i="27"/>
  <c r="F117" i="27"/>
  <c r="E117" i="27"/>
  <c r="H116" i="27"/>
  <c r="G116" i="27"/>
  <c r="F116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H80" i="27"/>
  <c r="G80" i="27"/>
  <c r="F80" i="27"/>
  <c r="E80" i="27"/>
  <c r="H79" i="27"/>
  <c r="G79" i="27"/>
  <c r="F79" i="27"/>
  <c r="E79" i="27"/>
  <c r="H78" i="27"/>
  <c r="G78" i="27"/>
  <c r="F78" i="27"/>
  <c r="E78" i="27"/>
  <c r="H77" i="27"/>
  <c r="G77" i="27"/>
  <c r="F77" i="27"/>
  <c r="E77" i="27"/>
  <c r="H76" i="27"/>
  <c r="G76" i="27"/>
  <c r="F76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H56" i="27"/>
  <c r="G56" i="27"/>
  <c r="F56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H34" i="27"/>
  <c r="G34" i="27"/>
  <c r="F34" i="27"/>
  <c r="E34" i="27"/>
  <c r="H33" i="27"/>
  <c r="G33" i="27"/>
  <c r="F33" i="27"/>
  <c r="E33" i="27"/>
  <c r="H32" i="27"/>
  <c r="G32" i="27"/>
  <c r="F32" i="27"/>
  <c r="E32" i="27"/>
  <c r="H31" i="27"/>
  <c r="G31" i="27"/>
  <c r="F31" i="27"/>
  <c r="E31" i="27"/>
  <c r="H30" i="27"/>
  <c r="G30" i="27"/>
  <c r="F30" i="27"/>
  <c r="E30" i="27"/>
  <c r="H29" i="27"/>
  <c r="G29" i="27"/>
  <c r="F29" i="27"/>
  <c r="E29" i="27"/>
  <c r="H28" i="27"/>
  <c r="G28" i="27"/>
  <c r="F28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H12" i="27"/>
  <c r="G12" i="27"/>
  <c r="F12" i="27"/>
  <c r="E12" i="27"/>
  <c r="H11" i="27"/>
  <c r="G11" i="27"/>
  <c r="F11" i="27"/>
  <c r="E11" i="27"/>
  <c r="H10" i="27"/>
  <c r="G10" i="27"/>
  <c r="F10" i="27"/>
  <c r="E10" i="27"/>
  <c r="H9" i="27"/>
  <c r="G9" i="27"/>
  <c r="F9" i="27"/>
  <c r="E9" i="27"/>
  <c r="H8" i="27"/>
  <c r="G8" i="27"/>
  <c r="F8" i="27"/>
  <c r="E8" i="27"/>
  <c r="R150" i="3"/>
  <c r="O150" i="3"/>
  <c r="AP150" i="3" s="1"/>
  <c r="L150" i="3"/>
  <c r="AO150" i="3" s="1"/>
  <c r="I150" i="3"/>
  <c r="AN150" i="3" s="1"/>
  <c r="O146" i="3"/>
  <c r="L146" i="3"/>
  <c r="I146" i="3"/>
  <c r="AN146" i="3" s="1"/>
  <c r="E13" i="10" s="1"/>
  <c r="C16" i="7" s="1"/>
  <c r="C19" i="7" s="1"/>
  <c r="C22" i="7" s="1"/>
  <c r="X145" i="3"/>
  <c r="U145" i="3"/>
  <c r="R145" i="3"/>
  <c r="O145" i="3"/>
  <c r="L145" i="3"/>
  <c r="AN145" i="3" s="1"/>
  <c r="E12" i="10" s="1"/>
  <c r="C17" i="7" s="1"/>
  <c r="I145" i="3"/>
  <c r="AP145" i="3" s="1"/>
  <c r="E93" i="10" s="1"/>
  <c r="C17" i="9" s="1"/>
  <c r="AO141" i="3"/>
  <c r="E50" i="10" s="1"/>
  <c r="C26" i="8" s="1"/>
  <c r="AN141" i="3"/>
  <c r="E9" i="10" s="1"/>
  <c r="L141" i="3"/>
  <c r="I141" i="3"/>
  <c r="AP141" i="3" s="1"/>
  <c r="AJ137" i="3"/>
  <c r="AG137" i="3"/>
  <c r="AD137" i="3"/>
  <c r="AA137" i="3"/>
  <c r="X137" i="3"/>
  <c r="U137" i="3"/>
  <c r="R137" i="3"/>
  <c r="AO137" i="3" s="1"/>
  <c r="D58" i="10" s="1"/>
  <c r="O137" i="3"/>
  <c r="L137" i="3"/>
  <c r="I137" i="3"/>
  <c r="AN137" i="3" s="1"/>
  <c r="D17" i="10" s="1"/>
  <c r="U136" i="3"/>
  <c r="R136" i="3"/>
  <c r="AP136" i="3" s="1"/>
  <c r="C98" i="10" s="1"/>
  <c r="O136" i="3"/>
  <c r="L136" i="3"/>
  <c r="I136" i="3"/>
  <c r="AO136" i="3" s="1"/>
  <c r="C58" i="10" s="1"/>
  <c r="AD135" i="3"/>
  <c r="AA135" i="3"/>
  <c r="X135" i="3"/>
  <c r="U135" i="3"/>
  <c r="R135" i="3"/>
  <c r="O135" i="3"/>
  <c r="AP135" i="3" s="1"/>
  <c r="B98" i="10" s="1"/>
  <c r="L135" i="3"/>
  <c r="AO135" i="3" s="1"/>
  <c r="B58" i="10" s="1"/>
  <c r="I135" i="3"/>
  <c r="AN135" i="3" s="1"/>
  <c r="B17" i="10" s="1"/>
  <c r="X130" i="3"/>
  <c r="U130" i="3"/>
  <c r="R130" i="3"/>
  <c r="AO130" i="3" s="1"/>
  <c r="B46" i="10" s="1"/>
  <c r="J75" i="10" s="1"/>
  <c r="O130" i="3"/>
  <c r="L130" i="3"/>
  <c r="I130" i="3"/>
  <c r="AN130" i="3" s="1"/>
  <c r="B6" i="10" s="1"/>
  <c r="J25" i="10" s="1"/>
  <c r="O129" i="3"/>
  <c r="L129" i="3"/>
  <c r="AP129" i="3" s="1"/>
  <c r="B85" i="10" s="1"/>
  <c r="J124" i="10" s="1"/>
  <c r="I129" i="3"/>
  <c r="AO129" i="3" s="1"/>
  <c r="B45" i="10" s="1"/>
  <c r="J74" i="10" s="1"/>
  <c r="AN128" i="3"/>
  <c r="B4" i="10" s="1"/>
  <c r="J23" i="10" s="1"/>
  <c r="O128" i="3"/>
  <c r="L128" i="3"/>
  <c r="I128" i="3"/>
  <c r="AP128" i="3" s="1"/>
  <c r="B84" i="10" s="1"/>
  <c r="J123" i="10" s="1"/>
  <c r="AT124" i="3"/>
  <c r="H127" i="27" s="1"/>
  <c r="AS124" i="3"/>
  <c r="G127" i="27" s="1"/>
  <c r="AR124" i="3"/>
  <c r="F127" i="27" s="1"/>
  <c r="AP124" i="3"/>
  <c r="AO124" i="3"/>
  <c r="AN124" i="3"/>
  <c r="H124" i="3"/>
  <c r="AT123" i="3"/>
  <c r="H126" i="27" s="1"/>
  <c r="AS123" i="3"/>
  <c r="G126" i="27" s="1"/>
  <c r="AR123" i="3"/>
  <c r="F126" i="27" s="1"/>
  <c r="AP123" i="3"/>
  <c r="AO123" i="3"/>
  <c r="AN123" i="3"/>
  <c r="H123" i="3"/>
  <c r="AT122" i="3"/>
  <c r="H125" i="27" s="1"/>
  <c r="AS122" i="3"/>
  <c r="G125" i="27" s="1"/>
  <c r="AR122" i="3"/>
  <c r="F125" i="27" s="1"/>
  <c r="AP122" i="3"/>
  <c r="AO122" i="3"/>
  <c r="AN122" i="3"/>
  <c r="H122" i="3"/>
  <c r="AT121" i="3"/>
  <c r="H124" i="27" s="1"/>
  <c r="AS121" i="3"/>
  <c r="G124" i="27" s="1"/>
  <c r="AR121" i="3"/>
  <c r="F124" i="27" s="1"/>
  <c r="AP121" i="3"/>
  <c r="AO121" i="3"/>
  <c r="AN121" i="3"/>
  <c r="H121" i="3"/>
  <c r="AT120" i="3"/>
  <c r="H123" i="27" s="1"/>
  <c r="AS120" i="3"/>
  <c r="G123" i="27" s="1"/>
  <c r="AR120" i="3"/>
  <c r="F123" i="27" s="1"/>
  <c r="AP120" i="3"/>
  <c r="AO120" i="3"/>
  <c r="AN120" i="3"/>
  <c r="H120" i="3"/>
  <c r="AT119" i="3"/>
  <c r="H122" i="27" s="1"/>
  <c r="AS119" i="3"/>
  <c r="G122" i="27" s="1"/>
  <c r="AR119" i="3"/>
  <c r="F122" i="27" s="1"/>
  <c r="AP119" i="3"/>
  <c r="AO119" i="3"/>
  <c r="AN119" i="3"/>
  <c r="H119" i="3"/>
  <c r="AT118" i="3"/>
  <c r="H121" i="27" s="1"/>
  <c r="AS118" i="3"/>
  <c r="G121" i="27" s="1"/>
  <c r="AR118" i="3"/>
  <c r="F121" i="27" s="1"/>
  <c r="AP118" i="3"/>
  <c r="AO118" i="3"/>
  <c r="AN118" i="3"/>
  <c r="H118" i="3"/>
  <c r="AT117" i="3"/>
  <c r="H120" i="27" s="1"/>
  <c r="AS117" i="3"/>
  <c r="G120" i="27" s="1"/>
  <c r="AR117" i="3"/>
  <c r="F120" i="27" s="1"/>
  <c r="AP117" i="3"/>
  <c r="AO117" i="3"/>
  <c r="AN117" i="3"/>
  <c r="H117" i="3"/>
  <c r="AT116" i="3"/>
  <c r="H119" i="27" s="1"/>
  <c r="AS116" i="3"/>
  <c r="G119" i="27" s="1"/>
  <c r="AR116" i="3"/>
  <c r="F119" i="27" s="1"/>
  <c r="AP116" i="3"/>
  <c r="AO116" i="3"/>
  <c r="AN116" i="3"/>
  <c r="H116" i="3"/>
  <c r="AP115" i="3"/>
  <c r="AO115" i="3"/>
  <c r="AN115" i="3"/>
  <c r="H115" i="3"/>
  <c r="AP114" i="3"/>
  <c r="AO114" i="3"/>
  <c r="AN114" i="3"/>
  <c r="H114" i="3"/>
  <c r="AP113" i="3"/>
  <c r="AO113" i="3"/>
  <c r="AN113" i="3"/>
  <c r="H113" i="3"/>
  <c r="AP112" i="3"/>
  <c r="AO112" i="3"/>
  <c r="AN112" i="3"/>
  <c r="H112" i="3"/>
  <c r="AP111" i="3"/>
  <c r="AO111" i="3"/>
  <c r="AN111" i="3"/>
  <c r="H111" i="3"/>
  <c r="AP110" i="3"/>
  <c r="AO110" i="3"/>
  <c r="AN110" i="3"/>
  <c r="H110" i="3"/>
  <c r="AP109" i="3"/>
  <c r="AO109" i="3"/>
  <c r="AN109" i="3"/>
  <c r="H109" i="3"/>
  <c r="AP108" i="3"/>
  <c r="AO108" i="3"/>
  <c r="AN108" i="3"/>
  <c r="H108" i="3"/>
  <c r="AP107" i="3"/>
  <c r="AO107" i="3"/>
  <c r="AN107" i="3"/>
  <c r="H107" i="3"/>
  <c r="AP106" i="3"/>
  <c r="AO106" i="3"/>
  <c r="AN106" i="3"/>
  <c r="H106" i="3"/>
  <c r="AP105" i="3"/>
  <c r="AO105" i="3"/>
  <c r="AN105" i="3"/>
  <c r="H105" i="3"/>
  <c r="AP104" i="3"/>
  <c r="AO104" i="3"/>
  <c r="AN104" i="3"/>
  <c r="H104" i="3"/>
  <c r="AP103" i="3"/>
  <c r="AO103" i="3"/>
  <c r="AN103" i="3"/>
  <c r="H103" i="3"/>
  <c r="AP102" i="3"/>
  <c r="AO102" i="3"/>
  <c r="AN102" i="3"/>
  <c r="H102" i="3"/>
  <c r="AP101" i="3"/>
  <c r="AO101" i="3"/>
  <c r="AN101" i="3"/>
  <c r="H101" i="3"/>
  <c r="AT100" i="3"/>
  <c r="H95" i="27" s="1"/>
  <c r="AS100" i="3"/>
  <c r="G95" i="27" s="1"/>
  <c r="AR100" i="3"/>
  <c r="F95" i="27" s="1"/>
  <c r="AP100" i="3"/>
  <c r="AO100" i="3"/>
  <c r="AN100" i="3"/>
  <c r="H100" i="3"/>
  <c r="AT99" i="3"/>
  <c r="H94" i="27" s="1"/>
  <c r="AS99" i="3"/>
  <c r="G94" i="27" s="1"/>
  <c r="AR99" i="3"/>
  <c r="F94" i="27" s="1"/>
  <c r="AP99" i="3"/>
  <c r="AO99" i="3"/>
  <c r="AN99" i="3"/>
  <c r="H99" i="3"/>
  <c r="AT98" i="3"/>
  <c r="H93" i="27" s="1"/>
  <c r="AS98" i="3"/>
  <c r="G93" i="27" s="1"/>
  <c r="AR98" i="3"/>
  <c r="F93" i="27" s="1"/>
  <c r="AP98" i="3"/>
  <c r="AO98" i="3"/>
  <c r="AN98" i="3"/>
  <c r="H98" i="3"/>
  <c r="AT97" i="3"/>
  <c r="H92" i="27" s="1"/>
  <c r="AS97" i="3"/>
  <c r="G92" i="27" s="1"/>
  <c r="AR97" i="3"/>
  <c r="F92" i="27" s="1"/>
  <c r="AP97" i="3"/>
  <c r="AO97" i="3"/>
  <c r="AN97" i="3"/>
  <c r="H97" i="3"/>
  <c r="AT96" i="3"/>
  <c r="H91" i="27" s="1"/>
  <c r="AS96" i="3"/>
  <c r="G91" i="27" s="1"/>
  <c r="AR96" i="3"/>
  <c r="F91" i="27" s="1"/>
  <c r="AP96" i="3"/>
  <c r="AO96" i="3"/>
  <c r="AN96" i="3"/>
  <c r="H96" i="3"/>
  <c r="AT95" i="3"/>
  <c r="H90" i="27" s="1"/>
  <c r="AS95" i="3"/>
  <c r="G90" i="27" s="1"/>
  <c r="AR95" i="3"/>
  <c r="F90" i="27" s="1"/>
  <c r="AP95" i="3"/>
  <c r="AO95" i="3"/>
  <c r="AN95" i="3"/>
  <c r="H95" i="3"/>
  <c r="AT94" i="3"/>
  <c r="H89" i="27" s="1"/>
  <c r="AS94" i="3"/>
  <c r="G89" i="27" s="1"/>
  <c r="AR94" i="3"/>
  <c r="F89" i="27" s="1"/>
  <c r="AP94" i="3"/>
  <c r="AO94" i="3"/>
  <c r="AN94" i="3"/>
  <c r="H94" i="3"/>
  <c r="AT93" i="3"/>
  <c r="H88" i="27" s="1"/>
  <c r="AS93" i="3"/>
  <c r="G88" i="27" s="1"/>
  <c r="AR93" i="3"/>
  <c r="F88" i="27" s="1"/>
  <c r="AP93" i="3"/>
  <c r="AO93" i="3"/>
  <c r="AN93" i="3"/>
  <c r="H93" i="3"/>
  <c r="AT92" i="3"/>
  <c r="H87" i="27" s="1"/>
  <c r="AS92" i="3"/>
  <c r="G87" i="27" s="1"/>
  <c r="AR92" i="3"/>
  <c r="F87" i="27" s="1"/>
  <c r="AP92" i="3"/>
  <c r="AO92" i="3"/>
  <c r="AN92" i="3"/>
  <c r="H92" i="3"/>
  <c r="AT91" i="3"/>
  <c r="H86" i="27" s="1"/>
  <c r="AS91" i="3"/>
  <c r="G86" i="27" s="1"/>
  <c r="AR91" i="3"/>
  <c r="F86" i="27" s="1"/>
  <c r="AP91" i="3"/>
  <c r="AO91" i="3"/>
  <c r="AN91" i="3"/>
  <c r="H91" i="3"/>
  <c r="AT90" i="3"/>
  <c r="H85" i="27" s="1"/>
  <c r="AS90" i="3"/>
  <c r="G85" i="27" s="1"/>
  <c r="AR90" i="3"/>
  <c r="F85" i="27" s="1"/>
  <c r="AP90" i="3"/>
  <c r="AO90" i="3"/>
  <c r="AN90" i="3"/>
  <c r="H90" i="3"/>
  <c r="AT89" i="3"/>
  <c r="H84" i="27" s="1"/>
  <c r="AS89" i="3"/>
  <c r="G84" i="27" s="1"/>
  <c r="AR89" i="3"/>
  <c r="F84" i="27" s="1"/>
  <c r="AP89" i="3"/>
  <c r="AO89" i="3"/>
  <c r="AN89" i="3"/>
  <c r="H89" i="3"/>
  <c r="AT88" i="3"/>
  <c r="H83" i="27" s="1"/>
  <c r="AS88" i="3"/>
  <c r="G83" i="27" s="1"/>
  <c r="AR88" i="3"/>
  <c r="F83" i="27" s="1"/>
  <c r="AP88" i="3"/>
  <c r="AO88" i="3"/>
  <c r="AN88" i="3"/>
  <c r="H88" i="3"/>
  <c r="AT87" i="3"/>
  <c r="H82" i="27" s="1"/>
  <c r="AS87" i="3"/>
  <c r="G82" i="27" s="1"/>
  <c r="AR87" i="3"/>
  <c r="F82" i="27" s="1"/>
  <c r="AP87" i="3"/>
  <c r="AO87" i="3"/>
  <c r="AN87" i="3"/>
  <c r="H87" i="3"/>
  <c r="AT86" i="3"/>
  <c r="H81" i="27" s="1"/>
  <c r="AS86" i="3"/>
  <c r="G81" i="27" s="1"/>
  <c r="AR86" i="3"/>
  <c r="F81" i="27" s="1"/>
  <c r="AP86" i="3"/>
  <c r="AO86" i="3"/>
  <c r="AN86" i="3"/>
  <c r="H86" i="3"/>
  <c r="AS85" i="3"/>
  <c r="G75" i="27" s="1"/>
  <c r="AR85" i="3"/>
  <c r="F75" i="27" s="1"/>
  <c r="AP85" i="3"/>
  <c r="AO85" i="3"/>
  <c r="AN85" i="3"/>
  <c r="H85" i="3"/>
  <c r="AT84" i="3"/>
  <c r="H74" i="27" s="1"/>
  <c r="AS84" i="3"/>
  <c r="G74" i="27" s="1"/>
  <c r="AR84" i="3"/>
  <c r="F74" i="27" s="1"/>
  <c r="AP84" i="3"/>
  <c r="AO84" i="3"/>
  <c r="AN84" i="3"/>
  <c r="H84" i="3"/>
  <c r="AS83" i="3"/>
  <c r="G73" i="27" s="1"/>
  <c r="AR83" i="3"/>
  <c r="F73" i="27" s="1"/>
  <c r="AP83" i="3"/>
  <c r="AO83" i="3"/>
  <c r="AN83" i="3"/>
  <c r="H83" i="3"/>
  <c r="AS82" i="3"/>
  <c r="G72" i="27" s="1"/>
  <c r="AR82" i="3"/>
  <c r="F72" i="27" s="1"/>
  <c r="AP82" i="3"/>
  <c r="AO82" i="3"/>
  <c r="AN82" i="3"/>
  <c r="H82" i="3"/>
  <c r="AS81" i="3"/>
  <c r="G71" i="27" s="1"/>
  <c r="AR81" i="3"/>
  <c r="F71" i="27" s="1"/>
  <c r="AP81" i="3"/>
  <c r="AO81" i="3"/>
  <c r="AN81" i="3"/>
  <c r="H81" i="3"/>
  <c r="AT80" i="3"/>
  <c r="H70" i="27" s="1"/>
  <c r="AS80" i="3"/>
  <c r="G70" i="27" s="1"/>
  <c r="AR80" i="3"/>
  <c r="F70" i="27" s="1"/>
  <c r="AP80" i="3"/>
  <c r="AO80" i="3"/>
  <c r="AN80" i="3"/>
  <c r="H80" i="3"/>
  <c r="AS79" i="3"/>
  <c r="G69" i="27" s="1"/>
  <c r="AR79" i="3"/>
  <c r="F69" i="27" s="1"/>
  <c r="AP79" i="3"/>
  <c r="AO79" i="3"/>
  <c r="AN79" i="3"/>
  <c r="H79" i="3"/>
  <c r="AS78" i="3"/>
  <c r="G68" i="27" s="1"/>
  <c r="AR78" i="3"/>
  <c r="F68" i="27" s="1"/>
  <c r="AP78" i="3"/>
  <c r="AO78" i="3"/>
  <c r="AN78" i="3"/>
  <c r="H78" i="3"/>
  <c r="AT77" i="3"/>
  <c r="H67" i="27" s="1"/>
  <c r="AS77" i="3"/>
  <c r="G67" i="27" s="1"/>
  <c r="AR77" i="3"/>
  <c r="F67" i="27" s="1"/>
  <c r="AP77" i="3"/>
  <c r="AO77" i="3"/>
  <c r="AN77" i="3"/>
  <c r="H77" i="3"/>
  <c r="AT76" i="3"/>
  <c r="H66" i="27" s="1"/>
  <c r="AS76" i="3"/>
  <c r="G66" i="27" s="1"/>
  <c r="AR76" i="3"/>
  <c r="F66" i="27" s="1"/>
  <c r="AP76" i="3"/>
  <c r="AO76" i="3"/>
  <c r="AN76" i="3"/>
  <c r="H76" i="3"/>
  <c r="AS75" i="3"/>
  <c r="G65" i="27" s="1"/>
  <c r="AR75" i="3"/>
  <c r="F65" i="27" s="1"/>
  <c r="AP75" i="3"/>
  <c r="AO75" i="3"/>
  <c r="AN75" i="3"/>
  <c r="H75" i="3"/>
  <c r="AS74" i="3"/>
  <c r="G64" i="27" s="1"/>
  <c r="AR74" i="3"/>
  <c r="F64" i="27" s="1"/>
  <c r="AP74" i="3"/>
  <c r="AO74" i="3"/>
  <c r="AN74" i="3"/>
  <c r="H74" i="3"/>
  <c r="AT73" i="3"/>
  <c r="H63" i="27" s="1"/>
  <c r="AS73" i="3"/>
  <c r="G63" i="27" s="1"/>
  <c r="AR73" i="3"/>
  <c r="F63" i="27" s="1"/>
  <c r="AP73" i="3"/>
  <c r="AO73" i="3"/>
  <c r="AN73" i="3"/>
  <c r="H73" i="3"/>
  <c r="AT72" i="3"/>
  <c r="H62" i="27" s="1"/>
  <c r="AS72" i="3"/>
  <c r="G62" i="27" s="1"/>
  <c r="AR72" i="3"/>
  <c r="F62" i="27" s="1"/>
  <c r="AP72" i="3"/>
  <c r="AO72" i="3"/>
  <c r="AN72" i="3"/>
  <c r="H72" i="3"/>
  <c r="AS71" i="3"/>
  <c r="G61" i="27" s="1"/>
  <c r="AR71" i="3"/>
  <c r="F61" i="27" s="1"/>
  <c r="AP71" i="3"/>
  <c r="AO71" i="3"/>
  <c r="AN71" i="3"/>
  <c r="H71" i="3"/>
  <c r="AT70" i="3"/>
  <c r="H55" i="27" s="1"/>
  <c r="AS70" i="3"/>
  <c r="G55" i="27" s="1"/>
  <c r="AR70" i="3"/>
  <c r="F55" i="27" s="1"/>
  <c r="AP70" i="3"/>
  <c r="AO70" i="3"/>
  <c r="AN70" i="3"/>
  <c r="H70" i="3"/>
  <c r="AT69" i="3"/>
  <c r="H54" i="27" s="1"/>
  <c r="AS69" i="3"/>
  <c r="G54" i="27" s="1"/>
  <c r="AR69" i="3"/>
  <c r="F54" i="27" s="1"/>
  <c r="AP69" i="3"/>
  <c r="AO69" i="3"/>
  <c r="AN69" i="3"/>
  <c r="H69" i="3"/>
  <c r="AT68" i="3"/>
  <c r="H53" i="27" s="1"/>
  <c r="AS68" i="3"/>
  <c r="G53" i="27" s="1"/>
  <c r="AR68" i="3"/>
  <c r="F53" i="27" s="1"/>
  <c r="AP68" i="3"/>
  <c r="AO68" i="3"/>
  <c r="AN68" i="3"/>
  <c r="H68" i="3"/>
  <c r="AT67" i="3"/>
  <c r="H52" i="27" s="1"/>
  <c r="AS67" i="3"/>
  <c r="G52" i="27" s="1"/>
  <c r="AR67" i="3"/>
  <c r="F52" i="27" s="1"/>
  <c r="AP67" i="3"/>
  <c r="AO67" i="3"/>
  <c r="AN67" i="3"/>
  <c r="H67" i="3"/>
  <c r="AT66" i="3"/>
  <c r="H51" i="27" s="1"/>
  <c r="AS66" i="3"/>
  <c r="G51" i="27" s="1"/>
  <c r="AR66" i="3"/>
  <c r="F51" i="27" s="1"/>
  <c r="AP66" i="3"/>
  <c r="AO66" i="3"/>
  <c r="AN66" i="3"/>
  <c r="H66" i="3"/>
  <c r="AT65" i="3"/>
  <c r="H50" i="27" s="1"/>
  <c r="AS65" i="3"/>
  <c r="G50" i="27" s="1"/>
  <c r="AR65" i="3"/>
  <c r="F50" i="27" s="1"/>
  <c r="AP65" i="3"/>
  <c r="AO65" i="3"/>
  <c r="AN65" i="3"/>
  <c r="H65" i="3"/>
  <c r="AT64" i="3"/>
  <c r="H49" i="27" s="1"/>
  <c r="AS64" i="3"/>
  <c r="G49" i="27" s="1"/>
  <c r="AR64" i="3"/>
  <c r="F49" i="27" s="1"/>
  <c r="AP64" i="3"/>
  <c r="AO64" i="3"/>
  <c r="AN64" i="3"/>
  <c r="H64" i="3"/>
  <c r="AT63" i="3"/>
  <c r="H48" i="27" s="1"/>
  <c r="AS63" i="3"/>
  <c r="G48" i="27" s="1"/>
  <c r="AR63" i="3"/>
  <c r="F48" i="27" s="1"/>
  <c r="AP63" i="3"/>
  <c r="AO63" i="3"/>
  <c r="AN63" i="3"/>
  <c r="H63" i="3"/>
  <c r="AT62" i="3"/>
  <c r="H47" i="27" s="1"/>
  <c r="AS62" i="3"/>
  <c r="G47" i="27" s="1"/>
  <c r="AR62" i="3"/>
  <c r="F47" i="27" s="1"/>
  <c r="AP62" i="3"/>
  <c r="AO62" i="3"/>
  <c r="AN62" i="3"/>
  <c r="H62" i="3"/>
  <c r="AT61" i="3"/>
  <c r="H46" i="27" s="1"/>
  <c r="AS61" i="3"/>
  <c r="G46" i="27" s="1"/>
  <c r="AR61" i="3"/>
  <c r="F46" i="27" s="1"/>
  <c r="AP61" i="3"/>
  <c r="AO61" i="3"/>
  <c r="AN61" i="3"/>
  <c r="H61" i="3"/>
  <c r="AT60" i="3"/>
  <c r="H45" i="27" s="1"/>
  <c r="AS60" i="3"/>
  <c r="G45" i="27" s="1"/>
  <c r="AR60" i="3"/>
  <c r="F45" i="27" s="1"/>
  <c r="AP60" i="3"/>
  <c r="AO60" i="3"/>
  <c r="AN60" i="3"/>
  <c r="H60" i="3"/>
  <c r="AT59" i="3"/>
  <c r="H44" i="27" s="1"/>
  <c r="AS59" i="3"/>
  <c r="G44" i="27" s="1"/>
  <c r="AR59" i="3"/>
  <c r="F44" i="27" s="1"/>
  <c r="AP59" i="3"/>
  <c r="AO59" i="3"/>
  <c r="AN59" i="3"/>
  <c r="H59" i="3"/>
  <c r="AT58" i="3"/>
  <c r="H43" i="27" s="1"/>
  <c r="AS58" i="3"/>
  <c r="G43" i="27" s="1"/>
  <c r="AR58" i="3"/>
  <c r="F43" i="27" s="1"/>
  <c r="AP58" i="3"/>
  <c r="AO58" i="3"/>
  <c r="AN58" i="3"/>
  <c r="H58" i="3"/>
  <c r="AT57" i="3"/>
  <c r="H42" i="27" s="1"/>
  <c r="AS57" i="3"/>
  <c r="G42" i="27" s="1"/>
  <c r="AR57" i="3"/>
  <c r="F42" i="27" s="1"/>
  <c r="AP57" i="3"/>
  <c r="AO57" i="3"/>
  <c r="AN57" i="3"/>
  <c r="H57" i="3"/>
  <c r="AT56" i="3"/>
  <c r="H41" i="27" s="1"/>
  <c r="AS56" i="3"/>
  <c r="G41" i="27" s="1"/>
  <c r="AR56" i="3"/>
  <c r="F41" i="27" s="1"/>
  <c r="AP56" i="3"/>
  <c r="AO56" i="3"/>
  <c r="AN56" i="3"/>
  <c r="H56" i="3"/>
  <c r="AT55" i="3"/>
  <c r="H40" i="27" s="1"/>
  <c r="AS55" i="3"/>
  <c r="G40" i="27" s="1"/>
  <c r="AR55" i="3"/>
  <c r="F40" i="27" s="1"/>
  <c r="AP55" i="3"/>
  <c r="AO55" i="3"/>
  <c r="AN55" i="3"/>
  <c r="H55" i="3"/>
  <c r="AT54" i="3"/>
  <c r="H39" i="27" s="1"/>
  <c r="AS54" i="3"/>
  <c r="G39" i="27" s="1"/>
  <c r="AR54" i="3"/>
  <c r="F39" i="27" s="1"/>
  <c r="AP54" i="3"/>
  <c r="AO54" i="3"/>
  <c r="AN54" i="3"/>
  <c r="H54" i="3"/>
  <c r="AT53" i="3"/>
  <c r="H38" i="27" s="1"/>
  <c r="AS53" i="3"/>
  <c r="G38" i="27" s="1"/>
  <c r="AR53" i="3"/>
  <c r="F38" i="27" s="1"/>
  <c r="AP53" i="3"/>
  <c r="AO53" i="3"/>
  <c r="AN53" i="3"/>
  <c r="H53" i="3"/>
  <c r="AT52" i="3"/>
  <c r="H37" i="27" s="1"/>
  <c r="AS52" i="3"/>
  <c r="G37" i="27" s="1"/>
  <c r="AR52" i="3"/>
  <c r="F37" i="27" s="1"/>
  <c r="AP52" i="3"/>
  <c r="AO52" i="3"/>
  <c r="AN52" i="3"/>
  <c r="H52" i="3"/>
  <c r="AT51" i="3"/>
  <c r="H36" i="27" s="1"/>
  <c r="AS51" i="3"/>
  <c r="G36" i="27" s="1"/>
  <c r="AR51" i="3"/>
  <c r="F36" i="27" s="1"/>
  <c r="AP51" i="3"/>
  <c r="AO51" i="3"/>
  <c r="AN51" i="3"/>
  <c r="H51" i="3"/>
  <c r="AT50" i="3"/>
  <c r="H35" i="27" s="1"/>
  <c r="AS50" i="3"/>
  <c r="G35" i="27" s="1"/>
  <c r="AR50" i="3"/>
  <c r="F35" i="27" s="1"/>
  <c r="AP50" i="3"/>
  <c r="AO50" i="3"/>
  <c r="AN50" i="3"/>
  <c r="H50" i="3"/>
  <c r="AT49" i="3"/>
  <c r="H27" i="27" s="1"/>
  <c r="AS49" i="3"/>
  <c r="G27" i="27" s="1"/>
  <c r="AR49" i="3"/>
  <c r="F27" i="27" s="1"/>
  <c r="AP49" i="3"/>
  <c r="AO49" i="3"/>
  <c r="AN49" i="3"/>
  <c r="AT48" i="3"/>
  <c r="H26" i="27" s="1"/>
  <c r="AS48" i="3"/>
  <c r="G26" i="27" s="1"/>
  <c r="AR48" i="3"/>
  <c r="F26" i="27" s="1"/>
  <c r="AP48" i="3"/>
  <c r="AO48" i="3"/>
  <c r="AN48" i="3"/>
  <c r="AT47" i="3"/>
  <c r="H25" i="27" s="1"/>
  <c r="AS47" i="3"/>
  <c r="G25" i="27" s="1"/>
  <c r="AR47" i="3"/>
  <c r="F25" i="27" s="1"/>
  <c r="AP47" i="3"/>
  <c r="AO47" i="3"/>
  <c r="AN47" i="3"/>
  <c r="AT46" i="3"/>
  <c r="H24" i="27" s="1"/>
  <c r="AS46" i="3"/>
  <c r="G24" i="27" s="1"/>
  <c r="AR46" i="3"/>
  <c r="F24" i="27" s="1"/>
  <c r="AP46" i="3"/>
  <c r="AO46" i="3"/>
  <c r="AN46" i="3"/>
  <c r="AT45" i="3"/>
  <c r="H23" i="27" s="1"/>
  <c r="AS45" i="3"/>
  <c r="G23" i="27" s="1"/>
  <c r="AR45" i="3"/>
  <c r="F23" i="27" s="1"/>
  <c r="AP45" i="3"/>
  <c r="AO45" i="3"/>
  <c r="AN45" i="3"/>
  <c r="AT44" i="3"/>
  <c r="H22" i="27" s="1"/>
  <c r="AS44" i="3"/>
  <c r="G22" i="27" s="1"/>
  <c r="AR44" i="3"/>
  <c r="F22" i="27" s="1"/>
  <c r="AP44" i="3"/>
  <c r="AO44" i="3"/>
  <c r="AN44" i="3"/>
  <c r="AT43" i="3"/>
  <c r="H21" i="27" s="1"/>
  <c r="AS43" i="3"/>
  <c r="G21" i="27" s="1"/>
  <c r="AR43" i="3"/>
  <c r="F21" i="27" s="1"/>
  <c r="AP43" i="3"/>
  <c r="AO43" i="3"/>
  <c r="AN43" i="3"/>
  <c r="AT42" i="3"/>
  <c r="H20" i="27" s="1"/>
  <c r="AS42" i="3"/>
  <c r="G20" i="27" s="1"/>
  <c r="AR42" i="3"/>
  <c r="F20" i="27" s="1"/>
  <c r="AP42" i="3"/>
  <c r="AO42" i="3"/>
  <c r="AN42" i="3"/>
  <c r="AT41" i="3"/>
  <c r="H19" i="27" s="1"/>
  <c r="AS41" i="3"/>
  <c r="G19" i="27" s="1"/>
  <c r="AR41" i="3"/>
  <c r="F19" i="27" s="1"/>
  <c r="AP41" i="3"/>
  <c r="AO41" i="3"/>
  <c r="AN41" i="3"/>
  <c r="AT40" i="3"/>
  <c r="H18" i="27" s="1"/>
  <c r="AS40" i="3"/>
  <c r="G18" i="27" s="1"/>
  <c r="AR40" i="3"/>
  <c r="F18" i="27" s="1"/>
  <c r="AP40" i="3"/>
  <c r="AO40" i="3"/>
  <c r="AN40" i="3"/>
  <c r="AT39" i="3"/>
  <c r="H17" i="27" s="1"/>
  <c r="AS39" i="3"/>
  <c r="G17" i="27" s="1"/>
  <c r="AR39" i="3"/>
  <c r="F17" i="27" s="1"/>
  <c r="AP39" i="3"/>
  <c r="AO39" i="3"/>
  <c r="AN39" i="3"/>
  <c r="H39" i="3"/>
  <c r="AT38" i="3"/>
  <c r="H16" i="27" s="1"/>
  <c r="AS38" i="3"/>
  <c r="G16" i="27" s="1"/>
  <c r="AR38" i="3"/>
  <c r="F16" i="27" s="1"/>
  <c r="AP38" i="3"/>
  <c r="AO38" i="3"/>
  <c r="AN38" i="3"/>
  <c r="H38" i="3"/>
  <c r="AT37" i="3"/>
  <c r="H15" i="27" s="1"/>
  <c r="AS37" i="3"/>
  <c r="G15" i="27" s="1"/>
  <c r="AR37" i="3"/>
  <c r="F15" i="27" s="1"/>
  <c r="AP37" i="3"/>
  <c r="AO37" i="3"/>
  <c r="AN37" i="3"/>
  <c r="AT36" i="3"/>
  <c r="H14" i="27" s="1"/>
  <c r="AS36" i="3"/>
  <c r="G14" i="27" s="1"/>
  <c r="AR36" i="3"/>
  <c r="F14" i="27" s="1"/>
  <c r="AP36" i="3"/>
  <c r="AO36" i="3"/>
  <c r="AN36" i="3"/>
  <c r="AT35" i="3"/>
  <c r="H13" i="27" s="1"/>
  <c r="AS35" i="3"/>
  <c r="G13" i="27" s="1"/>
  <c r="AR35" i="3"/>
  <c r="F13" i="27" s="1"/>
  <c r="AP35" i="3"/>
  <c r="AO35" i="3"/>
  <c r="AN35" i="3"/>
  <c r="H35" i="3"/>
  <c r="B35" i="3"/>
  <c r="H47" i="3" s="1"/>
  <c r="A9" i="3"/>
  <c r="A8" i="3"/>
  <c r="AD7" i="3"/>
  <c r="A7" i="3"/>
  <c r="G6" i="3"/>
  <c r="C6" i="3"/>
  <c r="A6" i="3"/>
  <c r="G5" i="3"/>
  <c r="C5" i="3"/>
  <c r="A5" i="3"/>
  <c r="G4" i="3"/>
  <c r="C4" i="3"/>
  <c r="A4" i="3"/>
  <c r="I35" i="26"/>
  <c r="H35" i="26"/>
  <c r="I34" i="26"/>
  <c r="H34" i="26"/>
  <c r="J27" i="26"/>
  <c r="J26" i="26"/>
  <c r="J28" i="26" s="1"/>
  <c r="I26" i="26"/>
  <c r="H26" i="26"/>
  <c r="J25" i="26"/>
  <c r="I25" i="26"/>
  <c r="H25" i="26"/>
  <c r="G21" i="26"/>
  <c r="J19" i="26"/>
  <c r="I19" i="26"/>
  <c r="H19" i="26"/>
  <c r="F19" i="26"/>
  <c r="D19" i="26"/>
  <c r="J18" i="26"/>
  <c r="I18" i="26"/>
  <c r="H18" i="26"/>
  <c r="F18" i="26"/>
  <c r="D18" i="26"/>
  <c r="J17" i="26"/>
  <c r="I17" i="26"/>
  <c r="H17" i="26"/>
  <c r="D17" i="26"/>
  <c r="F17" i="26" s="1"/>
  <c r="J16" i="26"/>
  <c r="I16" i="26"/>
  <c r="H16" i="26"/>
  <c r="D16" i="26"/>
  <c r="F16" i="26" s="1"/>
  <c r="J15" i="26"/>
  <c r="I15" i="26"/>
  <c r="H15" i="26"/>
  <c r="F15" i="26"/>
  <c r="D15" i="26"/>
  <c r="J14" i="26"/>
  <c r="I14" i="26"/>
  <c r="H14" i="26"/>
  <c r="F14" i="26"/>
  <c r="D14" i="26"/>
  <c r="J13" i="26"/>
  <c r="I13" i="26"/>
  <c r="H13" i="26"/>
  <c r="D13" i="26"/>
  <c r="F13" i="26" s="1"/>
  <c r="J12" i="26"/>
  <c r="I12" i="26"/>
  <c r="H12" i="26"/>
  <c r="D12" i="26"/>
  <c r="F12" i="26" s="1"/>
  <c r="J11" i="26"/>
  <c r="I11" i="26"/>
  <c r="H11" i="26"/>
  <c r="F11" i="26"/>
  <c r="D11" i="26"/>
  <c r="J10" i="26"/>
  <c r="I10" i="26"/>
  <c r="H10" i="26"/>
  <c r="F10" i="26"/>
  <c r="D10" i="26"/>
  <c r="J9" i="26"/>
  <c r="I9" i="26"/>
  <c r="H9" i="26"/>
  <c r="D9" i="26"/>
  <c r="F9" i="26" s="1"/>
  <c r="J8" i="26"/>
  <c r="I8" i="26"/>
  <c r="H8" i="26"/>
  <c r="D8" i="26"/>
  <c r="F8" i="26" s="1"/>
  <c r="J7" i="26"/>
  <c r="J21" i="26" s="1"/>
  <c r="J30" i="26" s="1"/>
  <c r="I7" i="26"/>
  <c r="H7" i="26"/>
  <c r="F7" i="26"/>
  <c r="D7" i="26"/>
  <c r="J6" i="26"/>
  <c r="I6" i="26"/>
  <c r="H6" i="26"/>
  <c r="D6" i="26"/>
  <c r="J5" i="26"/>
  <c r="I5" i="26"/>
  <c r="I21" i="26" s="1"/>
  <c r="H5" i="26"/>
  <c r="H21" i="26" s="1"/>
  <c r="D5" i="26"/>
  <c r="I36" i="2"/>
  <c r="H36" i="2"/>
  <c r="I35" i="2"/>
  <c r="H35" i="2"/>
  <c r="H29" i="2"/>
  <c r="J28" i="2"/>
  <c r="J27" i="2"/>
  <c r="I27" i="2"/>
  <c r="H27" i="2"/>
  <c r="J26" i="2"/>
  <c r="I26" i="2"/>
  <c r="H26" i="2"/>
  <c r="I25" i="2"/>
  <c r="G25" i="2"/>
  <c r="G21" i="2"/>
  <c r="J19" i="2"/>
  <c r="I19" i="2"/>
  <c r="H19" i="2"/>
  <c r="D19" i="2"/>
  <c r="F19" i="2" s="1"/>
  <c r="J18" i="2"/>
  <c r="I18" i="2"/>
  <c r="H18" i="2"/>
  <c r="D18" i="2"/>
  <c r="F18" i="2" s="1"/>
  <c r="J17" i="2"/>
  <c r="I17" i="2"/>
  <c r="H17" i="2"/>
  <c r="F17" i="2"/>
  <c r="D17" i="2"/>
  <c r="J16" i="2"/>
  <c r="I16" i="2"/>
  <c r="H16" i="2"/>
  <c r="F16" i="2"/>
  <c r="D16" i="2"/>
  <c r="J15" i="2"/>
  <c r="I15" i="2"/>
  <c r="H15" i="2"/>
  <c r="D15" i="2"/>
  <c r="F15" i="2" s="1"/>
  <c r="J14" i="2"/>
  <c r="I14" i="2"/>
  <c r="H14" i="2"/>
  <c r="D14" i="2"/>
  <c r="F14" i="2" s="1"/>
  <c r="J13" i="2"/>
  <c r="I13" i="2"/>
  <c r="H13" i="2"/>
  <c r="F13" i="2"/>
  <c r="D13" i="2"/>
  <c r="J12" i="2"/>
  <c r="I12" i="2"/>
  <c r="H12" i="2"/>
  <c r="F12" i="2"/>
  <c r="D12" i="2"/>
  <c r="J11" i="2"/>
  <c r="I11" i="2"/>
  <c r="H11" i="2"/>
  <c r="D11" i="2"/>
  <c r="F11" i="2" s="1"/>
  <c r="J10" i="2"/>
  <c r="I10" i="2"/>
  <c r="H10" i="2"/>
  <c r="D10" i="2"/>
  <c r="F10" i="2" s="1"/>
  <c r="J9" i="2"/>
  <c r="I9" i="2"/>
  <c r="H9" i="2"/>
  <c r="F9" i="2"/>
  <c r="D9" i="2"/>
  <c r="J8" i="2"/>
  <c r="I8" i="2"/>
  <c r="H8" i="2"/>
  <c r="F8" i="2"/>
  <c r="D8" i="2"/>
  <c r="J7" i="2"/>
  <c r="I7" i="2"/>
  <c r="I21" i="2" s="1"/>
  <c r="H7" i="2"/>
  <c r="D7" i="2"/>
  <c r="F7" i="2" s="1"/>
  <c r="J6" i="2"/>
  <c r="J21" i="2" s="1"/>
  <c r="I6" i="2"/>
  <c r="H6" i="2"/>
  <c r="D6" i="2"/>
  <c r="F6" i="2" s="1"/>
  <c r="J5" i="2"/>
  <c r="I5" i="2"/>
  <c r="H5" i="2"/>
  <c r="H21" i="2" s="1"/>
  <c r="F5" i="2"/>
  <c r="D5" i="2"/>
  <c r="F16" i="25"/>
  <c r="F14" i="25"/>
  <c r="F24" i="1"/>
  <c r="F16" i="1"/>
  <c r="F14" i="1"/>
  <c r="AB28" i="10" l="1"/>
  <c r="AB16" i="10"/>
  <c r="AB17" i="10" s="1"/>
  <c r="I11" i="7" s="1"/>
  <c r="I12" i="7" s="1"/>
  <c r="I33" i="7"/>
  <c r="I31" i="7"/>
  <c r="I34" i="7" s="1"/>
  <c r="H42" i="3"/>
  <c r="H46" i="3"/>
  <c r="H37" i="3"/>
  <c r="H41" i="3"/>
  <c r="H45" i="3"/>
  <c r="H49" i="3"/>
  <c r="AB78" i="10"/>
  <c r="AB66" i="10"/>
  <c r="AB67" i="10" s="1"/>
  <c r="I11" i="8" s="1"/>
  <c r="I12" i="8" s="1"/>
  <c r="H36" i="3"/>
  <c r="H40" i="3"/>
  <c r="H44" i="3"/>
  <c r="H48" i="3"/>
  <c r="AB116" i="10"/>
  <c r="AB117" i="10" s="1"/>
  <c r="I11" i="9" s="1"/>
  <c r="AB128" i="10"/>
  <c r="H43" i="3"/>
  <c r="E90" i="10"/>
  <c r="C26" i="9" s="1"/>
  <c r="J25" i="2" s="1"/>
  <c r="AT82" i="3"/>
  <c r="H72" i="27" s="1"/>
  <c r="AT78" i="3"/>
  <c r="H68" i="27" s="1"/>
  <c r="AT74" i="3"/>
  <c r="H64" i="27" s="1"/>
  <c r="AT83" i="3"/>
  <c r="H73" i="27" s="1"/>
  <c r="AT79" i="3"/>
  <c r="H69" i="27" s="1"/>
  <c r="AT75" i="3"/>
  <c r="H65" i="27" s="1"/>
  <c r="AT71" i="3"/>
  <c r="H61" i="27" s="1"/>
  <c r="AT85" i="3"/>
  <c r="H75" i="27" s="1"/>
  <c r="AT81" i="3"/>
  <c r="H71" i="27" s="1"/>
  <c r="AO146" i="3"/>
  <c r="E54" i="10" s="1"/>
  <c r="C16" i="8" s="1"/>
  <c r="C19" i="8" s="1"/>
  <c r="C22" i="8" s="1"/>
  <c r="I29" i="2" s="1"/>
  <c r="I18" i="7"/>
  <c r="I21" i="7" s="1"/>
  <c r="I22" i="7" s="1"/>
  <c r="I56" i="8"/>
  <c r="I27" i="26" s="1"/>
  <c r="I28" i="26" s="1"/>
  <c r="I30" i="26" s="1"/>
  <c r="H39" i="26" s="1"/>
  <c r="AO128" i="3"/>
  <c r="B44" i="10" s="1"/>
  <c r="J73" i="10" s="1"/>
  <c r="AP130" i="3"/>
  <c r="B86" i="10" s="1"/>
  <c r="J125" i="10" s="1"/>
  <c r="AP137" i="3"/>
  <c r="D98" i="10" s="1"/>
  <c r="AP146" i="3"/>
  <c r="E94" i="10" s="1"/>
  <c r="C16" i="9" s="1"/>
  <c r="C19" i="9" s="1"/>
  <c r="C22" i="9" s="1"/>
  <c r="J29" i="2" s="1"/>
  <c r="J30" i="2" s="1"/>
  <c r="J32" i="2" s="1"/>
  <c r="I33" i="9"/>
  <c r="I107" i="11"/>
  <c r="A46" i="24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47" i="24"/>
  <c r="AN129" i="3"/>
  <c r="B5" i="10" s="1"/>
  <c r="J24" i="10" s="1"/>
  <c r="AN136" i="3"/>
  <c r="C17" i="10" s="1"/>
  <c r="AO145" i="3"/>
  <c r="E53" i="10" s="1"/>
  <c r="C17" i="8" s="1"/>
  <c r="I14" i="7"/>
  <c r="I15" i="7" s="1"/>
  <c r="I16" i="7" s="1"/>
  <c r="C26" i="7"/>
  <c r="H25" i="2" s="1"/>
  <c r="I18" i="8"/>
  <c r="I21" i="8" s="1"/>
  <c r="I22" i="8" s="1"/>
  <c r="B68" i="10"/>
  <c r="B69" i="10" s="1"/>
  <c r="C29" i="8" s="1"/>
  <c r="C33" i="8" s="1"/>
  <c r="I28" i="2" s="1"/>
  <c r="I30" i="2" s="1"/>
  <c r="I32" i="2" s="1"/>
  <c r="H40" i="2" s="1"/>
  <c r="K43" i="11"/>
  <c r="S107" i="11" s="1"/>
  <c r="Q107" i="11"/>
  <c r="I6" i="9"/>
  <c r="I31" i="9" s="1"/>
  <c r="I34" i="9" s="1"/>
  <c r="AB10" i="10"/>
  <c r="AB13" i="10" s="1"/>
  <c r="I8" i="7" s="1"/>
  <c r="I9" i="7" s="1"/>
  <c r="I55" i="7"/>
  <c r="I56" i="7" s="1"/>
  <c r="H27" i="26" s="1"/>
  <c r="H28" i="26" s="1"/>
  <c r="H30" i="26" s="1"/>
  <c r="C32" i="7"/>
  <c r="C33" i="7" s="1"/>
  <c r="H28" i="2" s="1"/>
  <c r="H30" i="2" s="1"/>
  <c r="D14" i="11"/>
  <c r="I67" i="11" s="1"/>
  <c r="AB60" i="10"/>
  <c r="AB63" i="10" s="1"/>
  <c r="I8" i="8" s="1"/>
  <c r="I9" i="8" s="1"/>
  <c r="Y81" i="10"/>
  <c r="AB81" i="10" s="1"/>
  <c r="I27" i="8" s="1"/>
  <c r="I28" i="8" s="1"/>
  <c r="AB86" i="10"/>
  <c r="I30" i="8" s="1"/>
  <c r="AB113" i="10"/>
  <c r="I8" i="9" s="1"/>
  <c r="T67" i="11"/>
  <c r="L67" i="11"/>
  <c r="S67" i="11"/>
  <c r="R67" i="11"/>
  <c r="J67" i="11"/>
  <c r="J99" i="11"/>
  <c r="L107" i="11" s="1"/>
  <c r="J107" i="11"/>
  <c r="R107" i="11"/>
  <c r="K107" i="11"/>
  <c r="H38" i="26" l="1"/>
  <c r="B41" i="26"/>
  <c r="I25" i="9"/>
  <c r="K67" i="11"/>
  <c r="T107" i="11"/>
  <c r="I12" i="9"/>
  <c r="I33" i="8"/>
  <c r="I31" i="8"/>
  <c r="I34" i="8" s="1"/>
  <c r="I20" i="9"/>
  <c r="I18" i="9"/>
  <c r="I21" i="9" s="1"/>
  <c r="I22" i="9" s="1"/>
  <c r="H32" i="2"/>
  <c r="I14" i="9"/>
  <c r="I15" i="9" s="1"/>
  <c r="I16" i="9" s="1"/>
  <c r="I9" i="9"/>
  <c r="I28" i="9"/>
  <c r="H39" i="2" l="1"/>
  <c r="B42" i="2"/>
</calcChain>
</file>

<file path=xl/comments1.xml><?xml version="1.0" encoding="utf-8"?>
<comments xmlns="http://schemas.openxmlformats.org/spreadsheetml/2006/main">
  <authors>
    <author>Victor, Katrin</author>
  </authors>
  <commentList>
    <comment ref="E25" authorId="0" shapeId="0">
      <text>
        <r>
          <rPr>
            <sz val="9"/>
            <color indexed="81"/>
            <rFont val="Tahoma"/>
            <family val="2"/>
          </rPr>
          <t xml:space="preserve">klein: ca. 95% der IW bleiben bestehen, wenige Öffnungen für Türen erstellen
mittel: ca. 80% der IW bleiben bestehen, 20% tragender und nicht tragender IW werden entfernt oder neue Öffnungen erstellt
gross: ca. 50% der IW bleiben bestehen, 50% tragender und nicht tragender IW werden entfernt oder neue Öffnungen erstellt
</t>
        </r>
      </text>
    </comment>
  </commentList>
</comments>
</file>

<file path=xl/comments2.xml><?xml version="1.0" encoding="utf-8"?>
<comments xmlns="http://schemas.openxmlformats.org/spreadsheetml/2006/main">
  <authors>
    <author>Aurelia Kollros</author>
    <author>Victor, Katrin</author>
  </authors>
  <commentList>
    <comment ref="G34" authorId="0" shapeId="0">
      <text>
        <r>
          <rPr>
            <b/>
            <sz val="9"/>
            <color indexed="81"/>
            <rFont val="Tahoma"/>
            <family val="2"/>
          </rPr>
          <t>Aurelia Kollros:</t>
        </r>
        <r>
          <rPr>
            <sz val="9"/>
            <color indexed="81"/>
            <rFont val="Tahoma"/>
            <family val="2"/>
          </rPr>
          <t xml:space="preserve">
Dieser Name erscheint als Auswahlfeld für den Benutzer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Aurelia Kollros:</t>
        </r>
        <r>
          <rPr>
            <sz val="9"/>
            <color indexed="81"/>
            <rFont val="Tahoma"/>
            <family val="2"/>
          </rPr>
          <t xml:space="preserve">
1. Genaue Bezeichnungen der KBOB Liste verwenden
2. Falls nicht 10 Materialien gebraucht werden, so muss unter Material ein "-" stehen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Aurelia Kollros:</t>
        </r>
        <r>
          <rPr>
            <sz val="9"/>
            <color indexed="81"/>
            <rFont val="Tahoma"/>
            <family val="2"/>
          </rPr>
          <t xml:space="preserve">
Falls nicht 10 Materialien gebraucht werden, so muss bei Amortisationszeit "1" ausgewählt werden</t>
        </r>
      </text>
    </comment>
    <comment ref="AJ35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36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37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D38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Werden Bauteilkonstruktionen neu hinzugefügt, so ist die Modernisierung immer anzupassen.</t>
        </r>
      </text>
    </comment>
    <comment ref="AJ38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39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44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49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  <comment ref="AJ50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Aussenanstrich</t>
        </r>
      </text>
    </comment>
    <comment ref="AG51" authorId="1" shapeId="0">
      <text>
        <r>
          <rPr>
            <b/>
            <sz val="9"/>
            <color indexed="81"/>
            <rFont val="Tahoma"/>
            <family val="2"/>
          </rPr>
          <t>Victor, Katrin:</t>
        </r>
        <r>
          <rPr>
            <sz val="9"/>
            <color indexed="81"/>
            <rFont val="Tahoma"/>
            <family val="2"/>
          </rPr>
          <t xml:space="preserve">
Innenanstrich</t>
        </r>
      </text>
    </comment>
  </commentList>
</comments>
</file>

<file path=xl/sharedStrings.xml><?xml version="1.0" encoding="utf-8"?>
<sst xmlns="http://schemas.openxmlformats.org/spreadsheetml/2006/main" count="4856" uniqueCount="1257">
  <si>
    <t>Ökobilanzdaten im Baubereich</t>
  </si>
  <si>
    <t>KBOB / eco-bau / IPB  2009/1</t>
  </si>
  <si>
    <t>Données des écobilans dans la construction</t>
  </si>
  <si>
    <t>Etat de juillet 2012</t>
  </si>
  <si>
    <t>ID-Nummer</t>
  </si>
  <si>
    <t>BAUMATERIALIEN</t>
  </si>
  <si>
    <t>Rohdichte/
Flächen-masse</t>
  </si>
  <si>
    <r>
      <t xml:space="preserve">Bezug
</t>
    </r>
    <r>
      <rPr>
        <b/>
        <i/>
        <sz val="9"/>
        <color rgb="FFFF0000"/>
        <rFont val="Arial"/>
        <family val="2"/>
      </rPr>
      <t>Référence</t>
    </r>
  </si>
  <si>
    <t>UBP</t>
  </si>
  <si>
    <r>
      <t xml:space="preserve">Primärenergie 
</t>
    </r>
    <r>
      <rPr>
        <b/>
        <i/>
        <sz val="9"/>
        <rFont val="Arial"/>
        <family val="2"/>
      </rPr>
      <t>Energie primaire</t>
    </r>
  </si>
  <si>
    <t>Treibhaus-
gasemissionen</t>
  </si>
  <si>
    <r>
      <rPr>
        <b/>
        <i/>
        <sz val="14"/>
        <rFont val="Arial"/>
        <family val="2"/>
      </rPr>
      <t>MATÉRIAUX</t>
    </r>
    <r>
      <rPr>
        <b/>
        <i/>
        <sz val="11"/>
        <rFont val="Arial"/>
        <family val="2"/>
      </rPr>
      <t xml:space="preserve">
</t>
    </r>
    <r>
      <rPr>
        <sz val="10"/>
        <rFont val="Arial"/>
        <family val="2"/>
      </rPr>
      <t>[Bibliographie EMPA, version 2.2]</t>
    </r>
  </si>
  <si>
    <t>No d'identification</t>
  </si>
  <si>
    <t>gesamt</t>
  </si>
  <si>
    <t>nicht erneuerbar</t>
  </si>
  <si>
    <t>Emissions de gaz</t>
  </si>
  <si>
    <t>Masse volumique/  surface</t>
  </si>
  <si>
    <t>globale</t>
  </si>
  <si>
    <t>non renouvelable</t>
  </si>
  <si>
    <t>à effet de serre</t>
  </si>
  <si>
    <t xml:space="preserve"> </t>
  </si>
  <si>
    <t>Total</t>
  </si>
  <si>
    <t>Herstellung</t>
  </si>
  <si>
    <t>Entsorgung</t>
  </si>
  <si>
    <t>total</t>
  </si>
  <si>
    <t>Fabrication</t>
  </si>
  <si>
    <t>Elimination</t>
  </si>
  <si>
    <t>-</t>
  </si>
  <si>
    <t>MJ</t>
  </si>
  <si>
    <t>kg</t>
  </si>
  <si>
    <t>Beton (ohne Bewehrung)</t>
  </si>
  <si>
    <r>
      <t>kg/m</t>
    </r>
    <r>
      <rPr>
        <b/>
        <vertAlign val="superscript"/>
        <sz val="10"/>
        <color rgb="FFFF0000"/>
        <rFont val="Arial"/>
        <family val="2"/>
      </rPr>
      <t>3</t>
    </r>
  </si>
  <si>
    <t>Béton (sans armature)</t>
  </si>
  <si>
    <t>Beton C 8/10 (Magerbeton)</t>
  </si>
  <si>
    <t>Béton C 8/10 (béton maigre)</t>
  </si>
  <si>
    <t>Beton C 25/30 speziell für Fundamente / Bodenplatten</t>
  </si>
  <si>
    <t>Béton C 25/30 spécialement pour fondations / dalles</t>
  </si>
  <si>
    <t>Beton C 30/37</t>
  </si>
  <si>
    <t>Béton C 30/37</t>
  </si>
  <si>
    <t>Beton C 50/60 (hoch belastbar)</t>
  </si>
  <si>
    <t>Béton C 50/60 (pour charge élevée)</t>
  </si>
  <si>
    <t>Mauersteine</t>
  </si>
  <si>
    <t/>
  </si>
  <si>
    <t xml:space="preserve">Pierres de taille </t>
  </si>
  <si>
    <t>Backstein</t>
  </si>
  <si>
    <t>Brique en terre cuite</t>
  </si>
  <si>
    <t>Kalksandstein</t>
  </si>
  <si>
    <t>Grès</t>
  </si>
  <si>
    <t>Leichtlehmstein</t>
  </si>
  <si>
    <t>Brique en argile léger</t>
  </si>
  <si>
    <t>Leichtzementstein, Blähton</t>
  </si>
  <si>
    <t>Pierre en béton léger: argile expansée</t>
  </si>
  <si>
    <t>Leichtzementstein, Naturbims</t>
  </si>
  <si>
    <t>Pierre en béton léger: pierre ponce naturelle</t>
  </si>
  <si>
    <t>Porenbetonstein</t>
  </si>
  <si>
    <t>Béton cellulaire</t>
  </si>
  <si>
    <t>Zementstein</t>
  </si>
  <si>
    <t>Plot de ciment</t>
  </si>
  <si>
    <t>Andere Massivbaustoffe</t>
  </si>
  <si>
    <t>Autres matériaux massifs</t>
  </si>
  <si>
    <t>Betonziegel</t>
  </si>
  <si>
    <t>Tuiles en béton</t>
  </si>
  <si>
    <t>Faserzement-Dachschindel</t>
  </si>
  <si>
    <t>Bardeau de fibrociment</t>
  </si>
  <si>
    <t>Faserzementplatte gross</t>
  </si>
  <si>
    <t>Dalle de fibrociment, grande</t>
  </si>
  <si>
    <t>Faserzement-Wellplatte</t>
  </si>
  <si>
    <t>Plaque ondulée en fibrociment</t>
  </si>
  <si>
    <t>Flachglas beschichtet</t>
  </si>
  <si>
    <t>Verre plat, enduit</t>
  </si>
  <si>
    <t>Flachglas unbeschichtet</t>
  </si>
  <si>
    <t>Verre plat, non enduit</t>
  </si>
  <si>
    <t>Gipsfaserplatte</t>
  </si>
  <si>
    <t>Plaque de plâtre armé de fibres</t>
  </si>
  <si>
    <t>Gipskartonplatte</t>
  </si>
  <si>
    <t>Plaque de plâtre cartonné</t>
  </si>
  <si>
    <t>Hartsandstein</t>
  </si>
  <si>
    <t>Grès dur</t>
  </si>
  <si>
    <t>Keramik-/Steinzeugplatte</t>
  </si>
  <si>
    <t>Dalle de céramique/grès</t>
  </si>
  <si>
    <t>Kies gebrochen</t>
  </si>
  <si>
    <t>Gravier concassé</t>
  </si>
  <si>
    <t>Rundkies</t>
  </si>
  <si>
    <t>Gravier rond</t>
  </si>
  <si>
    <t>Sand</t>
  </si>
  <si>
    <t>Sable</t>
  </si>
  <si>
    <t>Sanitärkeramik</t>
  </si>
  <si>
    <t>Céramique sanitaire</t>
  </si>
  <si>
    <t>Tonziegel</t>
  </si>
  <si>
    <t>Tuile en terre cuite</t>
  </si>
  <si>
    <t>Vollgipsplatte</t>
  </si>
  <si>
    <t>Carreaux de plâtre massifs</t>
  </si>
  <si>
    <t>Mörtel und Putze</t>
  </si>
  <si>
    <t>Mortiers et enduits</t>
  </si>
  <si>
    <t>Gips-/Weissputz</t>
  </si>
  <si>
    <t>Enduit minéral</t>
  </si>
  <si>
    <t>Kunststoffmörtel</t>
  </si>
  <si>
    <t>Mortier adhésif à base synthétique</t>
  </si>
  <si>
    <t>Kunststoffputz</t>
  </si>
  <si>
    <t>Enduit en matière synthétique</t>
  </si>
  <si>
    <t>Lehmputz</t>
  </si>
  <si>
    <t>Enduit de glaise</t>
  </si>
  <si>
    <t>Unterlagsboden Anhydrit</t>
  </si>
  <si>
    <t>Chape d'anhydrite</t>
  </si>
  <si>
    <t>Unterlagsboden Zement</t>
  </si>
  <si>
    <t>Chape de ciment</t>
  </si>
  <si>
    <t>Wärmedämmputz EPS</t>
  </si>
  <si>
    <t>Enduit d'isolation thermique EPS</t>
  </si>
  <si>
    <t>Zementmörtel</t>
  </si>
  <si>
    <t>Mortier de ciment</t>
  </si>
  <si>
    <t>Zementputz</t>
  </si>
  <si>
    <t>Enduit de ciment</t>
  </si>
  <si>
    <t>Fenster oder Metall-Glas-Fassaden</t>
  </si>
  <si>
    <t>Fenêtre et façades verre/métal</t>
  </si>
  <si>
    <r>
      <t>2-IV Verglasung (</t>
    </r>
    <r>
      <rPr>
        <sz val="10"/>
        <color rgb="FFFF0000"/>
        <rFont val="Arial"/>
        <family val="2"/>
      </rPr>
      <t>Glasfläche)</t>
    </r>
  </si>
  <si>
    <r>
      <t>m</t>
    </r>
    <r>
      <rPr>
        <vertAlign val="superscript"/>
        <sz val="10"/>
        <rFont val="Arial"/>
        <family val="2"/>
      </rPr>
      <t>2</t>
    </r>
  </si>
  <si>
    <r>
      <t xml:space="preserve">Vitrage 2-IV </t>
    </r>
    <r>
      <rPr>
        <i/>
        <sz val="10"/>
        <color rgb="FFC00000"/>
        <rFont val="Arial"/>
        <family val="2"/>
      </rPr>
      <t>(surface du vitrage)</t>
    </r>
  </si>
  <si>
    <r>
      <t xml:space="preserve">2-IV Verglasung, VSG </t>
    </r>
    <r>
      <rPr>
        <sz val="10"/>
        <color rgb="FFFF0000"/>
        <rFont val="Arial"/>
        <family val="2"/>
      </rPr>
      <t>(Glasfläche)</t>
    </r>
  </si>
  <si>
    <r>
      <t>Vitrage 2-IV, vsfm</t>
    </r>
    <r>
      <rPr>
        <i/>
        <sz val="10"/>
        <color rgb="FFC00000"/>
        <rFont val="Arial"/>
        <family val="2"/>
      </rPr>
      <t xml:space="preserve"> (surface du vitrage)</t>
    </r>
  </si>
  <si>
    <r>
      <t xml:space="preserve">3-IV Verglasung </t>
    </r>
    <r>
      <rPr>
        <sz val="10"/>
        <color rgb="FFFF0000"/>
        <rFont val="Arial"/>
        <family val="2"/>
      </rPr>
      <t>(Glasfläche)</t>
    </r>
  </si>
  <si>
    <r>
      <t xml:space="preserve">Vitrage 3-IV </t>
    </r>
    <r>
      <rPr>
        <i/>
        <sz val="10"/>
        <color rgb="FFC00000"/>
        <rFont val="Arial"/>
        <family val="2"/>
      </rPr>
      <t>(surface du vitrage)</t>
    </r>
  </si>
  <si>
    <r>
      <t>Fensterrahmen Aluminium</t>
    </r>
    <r>
      <rPr>
        <sz val="10"/>
        <color rgb="FFFF0000"/>
        <rFont val="Arial"/>
        <family val="2"/>
      </rPr>
      <t xml:space="preserve"> (Rahmenfläche)</t>
    </r>
  </si>
  <si>
    <r>
      <t xml:space="preserve">Cadre de fenêtre en aluminium </t>
    </r>
    <r>
      <rPr>
        <i/>
        <sz val="10"/>
        <color rgb="FFC00000"/>
        <rFont val="Arial"/>
        <family val="2"/>
      </rPr>
      <t>(surface du cadre)</t>
    </r>
  </si>
  <si>
    <r>
      <t>Fensterrahmen Holz</t>
    </r>
    <r>
      <rPr>
        <sz val="10"/>
        <color rgb="FFFF0000"/>
        <rFont val="Arial"/>
        <family val="2"/>
      </rPr>
      <t xml:space="preserve"> (Rahmenfläche)</t>
    </r>
  </si>
  <si>
    <r>
      <t xml:space="preserve">Cadre de fenêtre en bois </t>
    </r>
    <r>
      <rPr>
        <i/>
        <sz val="10"/>
        <color rgb="FFC00000"/>
        <rFont val="Arial"/>
        <family val="2"/>
      </rPr>
      <t>(surface du cadre)</t>
    </r>
  </si>
  <si>
    <r>
      <t xml:space="preserve">Fensterrahmen Holz-Aluminium </t>
    </r>
    <r>
      <rPr>
        <sz val="10"/>
        <color rgb="FFFF0000"/>
        <rFont val="Arial"/>
        <family val="2"/>
      </rPr>
      <t>(Rahmenfläche)</t>
    </r>
  </si>
  <si>
    <r>
      <t>Cadre de fenêtre bois-aluminium</t>
    </r>
    <r>
      <rPr>
        <i/>
        <sz val="10"/>
        <color rgb="FFC00000"/>
        <rFont val="Arial"/>
        <family val="2"/>
      </rPr>
      <t xml:space="preserve"> (surface du cadre)</t>
    </r>
  </si>
  <si>
    <r>
      <t xml:space="preserve">Fensterrahmen </t>
    </r>
    <r>
      <rPr>
        <sz val="10"/>
        <color rgb="FFFF0000"/>
        <rFont val="Arial"/>
        <family val="2"/>
      </rPr>
      <t>Kunststoff/PVC (Rahmenfläche)</t>
    </r>
  </si>
  <si>
    <r>
      <t>Cadre en matière synthétique (PVC)</t>
    </r>
    <r>
      <rPr>
        <i/>
        <sz val="10"/>
        <color rgb="FFC00000"/>
        <rFont val="Arial"/>
        <family val="2"/>
      </rPr>
      <t xml:space="preserve"> (surface du cadre)</t>
    </r>
  </si>
  <si>
    <r>
      <t>Pfosten-Riegel-Fassade, Alu/Glas</t>
    </r>
    <r>
      <rPr>
        <sz val="10"/>
        <color rgb="FFFF0000"/>
        <rFont val="Arial"/>
        <family val="2"/>
      </rPr>
      <t xml:space="preserve"> (Glas- und Rahmenfläche)</t>
    </r>
  </si>
  <si>
    <r>
      <t xml:space="preserve">Façades montants et traverses, alu/verre </t>
    </r>
    <r>
      <rPr>
        <i/>
        <sz val="10"/>
        <color rgb="FFC00000"/>
        <rFont val="Arial"/>
        <family val="2"/>
      </rPr>
      <t>(surf. cadre+vitrage)</t>
    </r>
  </si>
  <si>
    <t xml:space="preserve">Metallbaustoffe </t>
  </si>
  <si>
    <t xml:space="preserve">Produits en métal </t>
  </si>
  <si>
    <t>Aluminiumblech, blank</t>
  </si>
  <si>
    <t>Tôle d'aluminium, nue</t>
  </si>
  <si>
    <t>Aluminiumprofil, blank</t>
  </si>
  <si>
    <t>Profil d'aluminium, nu</t>
  </si>
  <si>
    <t>Armierungsstahl</t>
  </si>
  <si>
    <t>Acier d'armature</t>
  </si>
  <si>
    <t>Chromnickelstahlblech 18/8 blank</t>
  </si>
  <si>
    <t>Tôle d'acier nickel-chrome 18/8, nue</t>
  </si>
  <si>
    <t>Chromnickelstahlblech 18/8 verzinnt</t>
  </si>
  <si>
    <t>Tôle d'acier nickel-chrome étamée 18/8</t>
  </si>
  <si>
    <t>Chromstahlblech blank</t>
  </si>
  <si>
    <t>Tôle d'acier chromé, nue</t>
  </si>
  <si>
    <t>Chromstahlblech verzinnt</t>
  </si>
  <si>
    <t>Tôle d'acier chromé, étamée</t>
  </si>
  <si>
    <t>Kupferblech, blank</t>
  </si>
  <si>
    <t>Tôle de cuivre, nue</t>
  </si>
  <si>
    <t>Messing- /Baubronzeblech</t>
  </si>
  <si>
    <t>Tôle de laiton/bronze de construction</t>
  </si>
  <si>
    <t>Stahlblech, blank</t>
  </si>
  <si>
    <t>Tôle d'acier nue</t>
  </si>
  <si>
    <t>Stahlblech, verzinkt</t>
  </si>
  <si>
    <t>Tôle d'acier, zinguée</t>
  </si>
  <si>
    <t>Stahlprofil, blank</t>
  </si>
  <si>
    <t>Profil en acier, nu</t>
  </si>
  <si>
    <t>Titanzinkblech</t>
  </si>
  <si>
    <t>Tôle zinc-titane</t>
  </si>
  <si>
    <t>Holz und Holzwerkstoffe</t>
  </si>
  <si>
    <t>Bois et produits en bois</t>
  </si>
  <si>
    <t>3-Schicht Massivholzplatte, PVAc-gebunden</t>
  </si>
  <si>
    <t>Panneau de bois massif 3 couches, colle PVAc</t>
  </si>
  <si>
    <t>Brettschichtholz, UF-gebunden, Trockenbereich</t>
  </si>
  <si>
    <t>Bois lamellé-collé, colle UF, zone sèche</t>
  </si>
  <si>
    <t>Brettschichtholz, MF-gebunden, Feuchtbereich</t>
  </si>
  <si>
    <t>Bois lamellé-collé, colle MF, zone humide</t>
  </si>
  <si>
    <t>Hartfaserplatte</t>
  </si>
  <si>
    <t>Panneau de particules dur</t>
  </si>
  <si>
    <t>Holzwolle-Leichtbauplatte, zementgebunden</t>
  </si>
  <si>
    <t>Panneau de bois léger à paille de bois liée par du ciment</t>
  </si>
  <si>
    <t>Massivholz Buche / Eiche, luftgetrocknet, rauh</t>
  </si>
  <si>
    <t>Bois massif hêtre / chêne, séché à l'air, brut</t>
  </si>
  <si>
    <t>Massivholz Buche / Eiche, kammergetrocknet, rauh</t>
  </si>
  <si>
    <t>Bois massif hêtre, chêne, séché en cellule, brut</t>
  </si>
  <si>
    <t>Massivholz Buche / Eiche, kammergetrocknet, gehobelt</t>
  </si>
  <si>
    <t>Bois massif hêtre / chêne, séché en cellule, raboté</t>
  </si>
  <si>
    <t>Massivholz Fichte / Tanne / Lärche, luftgetrocknet, rauh</t>
  </si>
  <si>
    <t>Bois massif épicéa / sapin / mélèze, séché à l'air, brut</t>
  </si>
  <si>
    <t>Massivholz Fichte / Tanne / Lärche, luftgetr., gehobelt</t>
  </si>
  <si>
    <t>Bois massif épicéa / sapin / mélèze, séché à l'air, raboté</t>
  </si>
  <si>
    <t>Massivholz Fichte / Tanne / Lärche, kammergetr., gehobelt</t>
  </si>
  <si>
    <t>Bois massif épicéa / sapin / mélèze, séché en cellule, raboté</t>
  </si>
  <si>
    <t>Mitteldichte Faserplatte (MDF), UF-gebunden</t>
  </si>
  <si>
    <t>Panneau de fibres à densité moyenne (MDF), colle UF</t>
  </si>
  <si>
    <t>OSB Platte, PF-gebunden, Feuchtbereich</t>
  </si>
  <si>
    <t>Panneau d'aggloméré type OSB, colle PF, zone humide</t>
  </si>
  <si>
    <t>Spanplatte, UF-gebunden, Trockenbereich</t>
  </si>
  <si>
    <t>Panneau de particules, colle UF, zone sèche</t>
  </si>
  <si>
    <t>Spanplatte, PF-gebunden, Feuchtbereich</t>
  </si>
  <si>
    <t>Panneau de particules, colle PF, zone humide</t>
  </si>
  <si>
    <t>Spanplatte, UF-gebunden, beschichtet, Trockenbereich</t>
  </si>
  <si>
    <t>Panneau de particules, colle UF, enduit, zone sèche</t>
  </si>
  <si>
    <t>Sperrholz/Multiplex, UF-gebunden, Trockenbereich</t>
  </si>
  <si>
    <t>Bois lamellé / multiplex, colle UF, zone sèche</t>
  </si>
  <si>
    <t>Sperrholz/Multiplex, PF-gebunden, Feuchtbereich</t>
  </si>
  <si>
    <t>Bois lamellé / multiplex, colle PF, zone humide</t>
  </si>
  <si>
    <t>PVAc: Polyvinylacetat, UF: Harnstoff-Formaldehyd
MF: Melamin-Formaldehyd, PF: Phenol-Formaldehyd</t>
  </si>
  <si>
    <t>AcPV: Acétate de polyvinyle, UF: Urée-formaldéhyde
MF: Mélamine formaldéhyde, PF: Phénol formaldéhyde</t>
  </si>
  <si>
    <t>Klebstoffe und Fugendichtungsmassen</t>
  </si>
  <si>
    <t>Colles et masses de jointoiement</t>
  </si>
  <si>
    <t>2-Komponenten Klebstoff</t>
  </si>
  <si>
    <t>Colle bicomposant</t>
  </si>
  <si>
    <t>Heissbitumen</t>
  </si>
  <si>
    <t>Masse bitumeuse, chaude</t>
  </si>
  <si>
    <t>Kautschukdichtungsmasse</t>
  </si>
  <si>
    <t>Masse de jointoiement en caoutchouc</t>
  </si>
  <si>
    <t>Polysulfiddichtungsmasse</t>
  </si>
  <si>
    <t>Masse de jointoiement en polysulfide</t>
  </si>
  <si>
    <t>Silicon-Fugenmasse</t>
  </si>
  <si>
    <t>Masse de jointoiement en silicone</t>
  </si>
  <si>
    <t>Dichtungsbahnen und Schutzfolien</t>
  </si>
  <si>
    <t xml:space="preserve">Lés d'étanchéité et feuilles de protection </t>
  </si>
  <si>
    <t>Dampfbremse bituminös</t>
  </si>
  <si>
    <t>Barrière de vapeur bitumineuse</t>
  </si>
  <si>
    <t>Dampfbremse Polyethylen (PE)</t>
  </si>
  <si>
    <t>Barrière de vapeur PE</t>
  </si>
  <si>
    <t>Dichtungsbahn bituminös</t>
  </si>
  <si>
    <t>Lé d'étanchéité bitumineux</t>
  </si>
  <si>
    <t>Dichtungsbahn Gummi (EPDM)</t>
  </si>
  <si>
    <t>Lé d'étanchéité caoutchouc (EPDM)</t>
  </si>
  <si>
    <r>
      <t xml:space="preserve">Dichtungsbahn Polyolefin </t>
    </r>
    <r>
      <rPr>
        <sz val="10"/>
        <color rgb="FFFF0000"/>
        <rFont val="Arial"/>
        <family val="2"/>
      </rPr>
      <t>(FPO)</t>
    </r>
  </si>
  <si>
    <r>
      <t xml:space="preserve">Lé d'étanchéité polyoléfine </t>
    </r>
    <r>
      <rPr>
        <i/>
        <sz val="10"/>
        <color rgb="FFC00000"/>
        <rFont val="Arial"/>
        <family val="2"/>
      </rPr>
      <t>(FPO)</t>
    </r>
  </si>
  <si>
    <t>Kraftpapier</t>
  </si>
  <si>
    <t>Papier Kraft</t>
  </si>
  <si>
    <t>Polyethylenfolie (PE)</t>
  </si>
  <si>
    <t>Feuille de polyéthylène (PE)</t>
  </si>
  <si>
    <t>Polyethylenvlies (PE)</t>
  </si>
  <si>
    <t>Voile de polyéthylène (PE)</t>
  </si>
  <si>
    <t>Wärmedämmstoffe</t>
  </si>
  <si>
    <t>Produits d'isolation thermique</t>
  </si>
  <si>
    <t>Glaswolle</t>
  </si>
  <si>
    <t>20-100</t>
  </si>
  <si>
    <t>Laine de verre</t>
  </si>
  <si>
    <t>Korkplatte</t>
  </si>
  <si>
    <t>Panneau en liège</t>
  </si>
  <si>
    <t>Phenolharz (PF)</t>
  </si>
  <si>
    <t>Résine phénolique  (PF)</t>
  </si>
  <si>
    <t>Polystyrol expandiert (EPS)</t>
  </si>
  <si>
    <t>15-40</t>
  </si>
  <si>
    <t>Polystyrène expansé (EPS)</t>
  </si>
  <si>
    <t>Polystyrol extrudiert (XPS)</t>
  </si>
  <si>
    <t>30-35</t>
  </si>
  <si>
    <t>Polystyrène extrudé (XPS)</t>
  </si>
  <si>
    <t>Polyurethan (PUR/PIR)</t>
  </si>
  <si>
    <t>Polyuréthane (PUR/PIR)</t>
  </si>
  <si>
    <t>Schaumglas</t>
  </si>
  <si>
    <t>100-165</t>
  </si>
  <si>
    <t>Verre cellulaire</t>
  </si>
  <si>
    <t>Steinwolle</t>
  </si>
  <si>
    <t>32-160</t>
  </si>
  <si>
    <t>Laine de roche</t>
  </si>
  <si>
    <t>Weichfaserplatte</t>
  </si>
  <si>
    <t>140-190</t>
  </si>
  <si>
    <t>Panneau de fibres mou</t>
  </si>
  <si>
    <t>Zellulosefasern (eingeblasen)</t>
  </si>
  <si>
    <t>35-60</t>
  </si>
  <si>
    <t>Fibres de cellulose (soufflées)</t>
  </si>
  <si>
    <t>Bodenbeläge</t>
  </si>
  <si>
    <r>
      <t>kg/m</t>
    </r>
    <r>
      <rPr>
        <b/>
        <vertAlign val="superscript"/>
        <sz val="10"/>
        <color rgb="FFFF0000"/>
        <rFont val="Arial"/>
        <family val="2"/>
      </rPr>
      <t>2</t>
    </r>
  </si>
  <si>
    <t>Revêtements de sol</t>
  </si>
  <si>
    <t>2K-Fliessbelag Industrie (Epoxidharz), 2.25 mm</t>
  </si>
  <si>
    <r>
      <t>m</t>
    </r>
    <r>
      <rPr>
        <vertAlign val="superscript"/>
        <sz val="10"/>
        <color rgb="FFFF0000"/>
        <rFont val="Arial"/>
        <family val="2"/>
      </rPr>
      <t>2</t>
    </r>
  </si>
  <si>
    <t>Revêtement coulé à 2 comp., industrie (résine époxy), 2.25 mm</t>
  </si>
  <si>
    <t>2K-Fliessbelag Wohnen/Verwaltung (Epoxidharz, PU), 2 mm</t>
  </si>
  <si>
    <t>Revêtement coulé à 2 comp., habitation/admin. (résine époxy PU), 2 mm</t>
  </si>
  <si>
    <t>Gummigranulat versiegelt, 7.5 mm</t>
  </si>
  <si>
    <t>Caouchouc granulé, vitrifié, 7.5 mm</t>
  </si>
  <si>
    <r>
      <t>Gussasphalt</t>
    </r>
    <r>
      <rPr>
        <sz val="10"/>
        <color rgb="FFFF0000"/>
        <rFont val="Arial"/>
        <family val="2"/>
      </rPr>
      <t>, 27.5 mm</t>
    </r>
  </si>
  <si>
    <t>Asphalte coulé, 27,5 mm</t>
  </si>
  <si>
    <t>Hartbeton einschichtig, 27.5 mm</t>
  </si>
  <si>
    <t>Béton dur, 1 couche, 27,5 mm</t>
  </si>
  <si>
    <t>Hartbeton zweischichtig, 35 mm</t>
  </si>
  <si>
    <t>Béton dur, 2 couches, 35 mm</t>
  </si>
  <si>
    <t>Kautschuk, 2mm</t>
  </si>
  <si>
    <t>Caouchouc, 2 mm</t>
  </si>
  <si>
    <r>
      <t>Keramik-/Steinzeugplatte</t>
    </r>
    <r>
      <rPr>
        <sz val="10"/>
        <color rgb="FFFF0000"/>
        <rFont val="Arial"/>
        <family val="2"/>
      </rPr>
      <t>, 9 mm</t>
    </r>
  </si>
  <si>
    <r>
      <t>Dalle en céramique/grès,</t>
    </r>
    <r>
      <rPr>
        <i/>
        <sz val="10"/>
        <color rgb="FFC00000"/>
        <rFont val="Arial"/>
        <family val="2"/>
      </rPr>
      <t xml:space="preserve"> 9 mm</t>
    </r>
  </si>
  <si>
    <t>Kork Fertigparkett, 10.5 mm</t>
  </si>
  <si>
    <t>Parquet préfabriqué en liège, 10.5 mm</t>
  </si>
  <si>
    <t>Kork PVC-beschichtet, 3.2 mm</t>
  </si>
  <si>
    <t xml:space="preserve">Parquet en liège, revêtement PVC, 3.2 mm </t>
  </si>
  <si>
    <t>Korkparkett geölt/versiegelt, 5.3 mm</t>
  </si>
  <si>
    <t xml:space="preserve">Parquet en liège, huilé et vitrifié, 5.3 mm </t>
  </si>
  <si>
    <r>
      <t>Kunststeinplatte</t>
    </r>
    <r>
      <rPr>
        <sz val="10"/>
        <color rgb="FFFF0000"/>
        <rFont val="Arial"/>
        <family val="2"/>
      </rPr>
      <t xml:space="preserve"> zementgebunden, 10 mm</t>
    </r>
  </si>
  <si>
    <r>
      <t>Dalle en pierre artificielle,</t>
    </r>
    <r>
      <rPr>
        <i/>
        <sz val="10"/>
        <color rgb="FFC00000"/>
        <rFont val="Arial"/>
        <family val="2"/>
      </rPr>
      <t xml:space="preserve"> liée au ciment, 10 mm</t>
    </r>
  </si>
  <si>
    <t>Laminat, 8.5 mm</t>
  </si>
  <si>
    <t>Stratifiés, 8.5 mm</t>
  </si>
  <si>
    <t>Linoleum, 2.5 mm</t>
  </si>
  <si>
    <t>Linoléum, 2.5 mm</t>
  </si>
  <si>
    <r>
      <t>Natursteinplatte geschliffen</t>
    </r>
    <r>
      <rPr>
        <sz val="10"/>
        <color rgb="FFFF0000"/>
        <rFont val="Arial"/>
        <family val="2"/>
      </rPr>
      <t>, 15 mm</t>
    </r>
  </si>
  <si>
    <r>
      <t xml:space="preserve">Dalle en pierre naturelle rectifiée, </t>
    </r>
    <r>
      <rPr>
        <i/>
        <sz val="10"/>
        <color rgb="FFC00000"/>
        <rFont val="Arial"/>
        <family val="2"/>
      </rPr>
      <t>15 mm</t>
    </r>
  </si>
  <si>
    <r>
      <t>Natursteinplatte geschnitten</t>
    </r>
    <r>
      <rPr>
        <sz val="10"/>
        <color rgb="FFFF0000"/>
        <rFont val="Arial"/>
        <family val="2"/>
      </rPr>
      <t>, 15 mm</t>
    </r>
  </si>
  <si>
    <r>
      <t xml:space="preserve">Dalle en pierre naturelle coupée, </t>
    </r>
    <r>
      <rPr>
        <i/>
        <sz val="10"/>
        <color rgb="FFC00000"/>
        <rFont val="Arial"/>
        <family val="2"/>
      </rPr>
      <t>15 mm</t>
    </r>
  </si>
  <si>
    <r>
      <t>Natursteinplatte poliert</t>
    </r>
    <r>
      <rPr>
        <sz val="10"/>
        <color rgb="FFFF0000"/>
        <rFont val="Arial"/>
        <family val="2"/>
      </rPr>
      <t>, 15 mm</t>
    </r>
  </si>
  <si>
    <r>
      <t>Dalle en pierre naturelle polie</t>
    </r>
    <r>
      <rPr>
        <i/>
        <sz val="10"/>
        <rFont val="Arial"/>
        <family val="2"/>
      </rPr>
      <t xml:space="preserve">, </t>
    </r>
    <r>
      <rPr>
        <i/>
        <sz val="10"/>
        <color rgb="FFC00000"/>
        <rFont val="Arial"/>
        <family val="2"/>
      </rPr>
      <t>15 mm</t>
    </r>
  </si>
  <si>
    <t>Parkett 2-Schicht werkversiegelt, 11 mm</t>
  </si>
  <si>
    <t>Parquet, 2 plis, vitrifié d'usine, 11 mm</t>
  </si>
  <si>
    <t>Parkett 3-Schicht werkversiegelt, 15 mm</t>
  </si>
  <si>
    <t>Parquet, 3 plis, vitrifié d'usine, 15 mm</t>
  </si>
  <si>
    <t>Parkett Mosaik werkversiegelt, 8 mm</t>
  </si>
  <si>
    <t>Parquet type mosaïque, vitrifié d'usine, 8 mm</t>
  </si>
  <si>
    <t>PVC homogen, 2 mm</t>
  </si>
  <si>
    <t>PVC homogène, 2 mm</t>
  </si>
  <si>
    <t>Steinholz versiegelt, 16.5 mm</t>
  </si>
  <si>
    <t>Xylolithe, vitrifié, 16.5 mm</t>
  </si>
  <si>
    <t>Synthetische thermoplastische Beläge (TPO), 2 mm</t>
  </si>
  <si>
    <t>Revêtements synthétiques, thermoplastiques (POT), 2 mm</t>
  </si>
  <si>
    <t>Teppich Kunstfaser getuftet</t>
  </si>
  <si>
    <t>Moquette en fibres synthétiques, tuftée</t>
  </si>
  <si>
    <t>Teppich Nadelfilz</t>
  </si>
  <si>
    <t>Moquette en feutre aiguilleté</t>
  </si>
  <si>
    <t>Teppich Naturfaser</t>
  </si>
  <si>
    <t>Moquette en fibres naturelles</t>
  </si>
  <si>
    <t>Terrazzo versiegelt, 40 mm</t>
  </si>
  <si>
    <t>Terrazzo vitrifié, 40 mm</t>
  </si>
  <si>
    <t>Türen</t>
  </si>
  <si>
    <t>Portes</t>
  </si>
  <si>
    <t>Aussentüre, Holz, aluminiumbeplankt</t>
  </si>
  <si>
    <t xml:space="preserve">Portes extérieures bois, doublées alu </t>
  </si>
  <si>
    <t>Aussentüre, Holz, Glaseinsatz</t>
  </si>
  <si>
    <t>Portes extérieures bois, avec vitrage</t>
  </si>
  <si>
    <t>Innentüre, Holz</t>
  </si>
  <si>
    <t>Portes intérieures bois</t>
  </si>
  <si>
    <t>Innentüre, Holz, Glaseinsatz</t>
  </si>
  <si>
    <t>Portes intérieures bois, avec vitrage</t>
  </si>
  <si>
    <t>Rohre</t>
  </si>
  <si>
    <t>Tuyaux</t>
  </si>
  <si>
    <r>
      <t>Acrylnitril-Butadien-Styrol (ABS)</t>
    </r>
    <r>
      <rPr>
        <sz val="10"/>
        <color indexed="10"/>
        <rFont val="Arial"/>
        <family val="2"/>
      </rPr>
      <t/>
    </r>
  </si>
  <si>
    <t>Acrylonitril-butadiène-styrène (ABS)</t>
  </si>
  <si>
    <t>Polyethylen (PE)</t>
  </si>
  <si>
    <t>Polyéthylène (HDPE)</t>
  </si>
  <si>
    <t>Polypropylen (PP)</t>
  </si>
  <si>
    <t>Polypropylène (PP)</t>
  </si>
  <si>
    <t>Polyvinylchlorid (PVC)</t>
  </si>
  <si>
    <t>Chlorure de polyvinyle (PVC)</t>
  </si>
  <si>
    <t>Anstrichstoffe, Beschichtungen</t>
  </si>
  <si>
    <t>Enduits et revêtements</t>
  </si>
  <si>
    <t>Anstrich, wasserverdünnbar, 2 Anstriche</t>
  </si>
  <si>
    <t>Enduit, diluable à l'eau, 2 couches</t>
  </si>
  <si>
    <r>
      <rPr>
        <sz val="10"/>
        <color rgb="FFFF0000"/>
        <rFont val="Arial"/>
        <family val="2"/>
      </rPr>
      <t>Anstrich</t>
    </r>
    <r>
      <rPr>
        <sz val="10"/>
        <rFont val="Arial"/>
        <family val="2"/>
      </rPr>
      <t>, lösemittelverdünnbar</t>
    </r>
    <r>
      <rPr>
        <sz val="10"/>
        <color rgb="FFFF0000"/>
        <rFont val="Arial"/>
        <family val="2"/>
      </rPr>
      <t>, 2 Anstriche</t>
    </r>
  </si>
  <si>
    <t>Enduit, diluable au solvant, 2 couches</t>
  </si>
  <si>
    <r>
      <t>Bitumenemulsion</t>
    </r>
    <r>
      <rPr>
        <sz val="10"/>
        <color rgb="FFFF0000"/>
        <rFont val="Arial"/>
        <family val="2"/>
      </rPr>
      <t>, 1 Anstrich</t>
    </r>
  </si>
  <si>
    <r>
      <t xml:space="preserve">Emulsion de bitume, </t>
    </r>
    <r>
      <rPr>
        <i/>
        <sz val="10"/>
        <color rgb="FFC00000"/>
        <rFont val="Arial"/>
        <family val="2"/>
      </rPr>
      <t>1 couche</t>
    </r>
  </si>
  <si>
    <t>Emaillieren, Metall</t>
  </si>
  <si>
    <t>Emaillage, métal</t>
  </si>
  <si>
    <t>Pulverbeschichten, Aluminium</t>
  </si>
  <si>
    <t>Revêtement pulvérisé, aluminium</t>
  </si>
  <si>
    <t>Pulverbeschichten, Stahl</t>
  </si>
  <si>
    <t>Revêtement pulvérisé, acier</t>
  </si>
  <si>
    <t>Verchromen, Stahl</t>
  </si>
  <si>
    <t>Chromage, acier</t>
  </si>
  <si>
    <t>Verzinken, Stahl</t>
  </si>
  <si>
    <t>Zincage, acier</t>
  </si>
  <si>
    <t>Kunststoffe</t>
  </si>
  <si>
    <t>matières plastique</t>
  </si>
  <si>
    <r>
      <t>Plexiglas (PMMA, Acrylglas)</t>
    </r>
    <r>
      <rPr>
        <sz val="10"/>
        <color indexed="10"/>
        <rFont val="Arial"/>
        <family val="2"/>
      </rPr>
      <t/>
    </r>
  </si>
  <si>
    <t>Plexiglas (PMMA, verre acrylique)</t>
  </si>
  <si>
    <t>Polyamid (PA) glasfaserverstärkt</t>
  </si>
  <si>
    <t xml:space="preserve">Polyamide (PA) renforcé par des fibres de verre </t>
  </si>
  <si>
    <t>Polycarbonat (PC)</t>
  </si>
  <si>
    <t>Polycarbonate (PC)</t>
  </si>
  <si>
    <t>Polyester (UP) glasfaserverstärkt</t>
  </si>
  <si>
    <t>Polyester (UP) renforcé par des fibres de verre</t>
  </si>
  <si>
    <t>Polystyrol (PS)</t>
  </si>
  <si>
    <t>Polystyrène (PS)</t>
  </si>
  <si>
    <t>Bauteilkategorie</t>
  </si>
  <si>
    <t>Energiestandard</t>
  </si>
  <si>
    <t>Konstruktionstyp</t>
  </si>
  <si>
    <t>Material 1</t>
  </si>
  <si>
    <t>Material 2</t>
  </si>
  <si>
    <t>Material 3</t>
  </si>
  <si>
    <t>Material 4</t>
  </si>
  <si>
    <t>Material 5</t>
  </si>
  <si>
    <t>Material 6</t>
  </si>
  <si>
    <t>Material 7</t>
  </si>
  <si>
    <t>Material 8</t>
  </si>
  <si>
    <t>Material 9</t>
  </si>
  <si>
    <t>Material 10</t>
  </si>
  <si>
    <t>Menge M10 [kg/m2]</t>
  </si>
  <si>
    <t>MuKen</t>
  </si>
  <si>
    <t>MINERGIE</t>
  </si>
  <si>
    <t>MINERGIE-P</t>
  </si>
  <si>
    <t>Dach</t>
  </si>
  <si>
    <t>Boden gegen unbeheizt</t>
  </si>
  <si>
    <t>Boden gegen Erdreich</t>
  </si>
  <si>
    <t>Menge M9   [kg/m2]</t>
  </si>
  <si>
    <t>Menge M8 
[kg/m2]</t>
  </si>
  <si>
    <t>Menge M1 
[kg/m2]</t>
  </si>
  <si>
    <t>Menge M2 
[kg/m2]</t>
  </si>
  <si>
    <t>Menge M3 
[kg/m2]</t>
  </si>
  <si>
    <t>Menge M4 
[kg/m2]</t>
  </si>
  <si>
    <t>Menge M5 
[kg/m2]</t>
  </si>
  <si>
    <t>Menge M6 
[kg/m2]</t>
  </si>
  <si>
    <t>Menge M7 
[kg/m2]</t>
  </si>
  <si>
    <t>Auswahlfelder</t>
  </si>
  <si>
    <t>Bauteilkategorie_Kürzel</t>
  </si>
  <si>
    <t>_Wü</t>
  </si>
  <si>
    <t>_Wu</t>
  </si>
  <si>
    <t>_Bu</t>
  </si>
  <si>
    <t>_BE</t>
  </si>
  <si>
    <t>MINERGIE_P</t>
  </si>
  <si>
    <t>a</t>
  </si>
  <si>
    <t>h</t>
  </si>
  <si>
    <t>m</t>
  </si>
  <si>
    <t>Hilfsspalte 1</t>
  </si>
  <si>
    <t>Hilfsspalte 2</t>
  </si>
  <si>
    <t>Hilfsname</t>
  </si>
  <si>
    <t>Neubau</t>
  </si>
  <si>
    <t>Modernisierung</t>
  </si>
  <si>
    <t>Objektdaten</t>
  </si>
  <si>
    <t>Projektbezeichnung</t>
  </si>
  <si>
    <t>Projekttyp</t>
  </si>
  <si>
    <t>Bauherr</t>
  </si>
  <si>
    <t>Architekt</t>
  </si>
  <si>
    <t>Ersteller Nachweis</t>
  </si>
  <si>
    <t>Aushub</t>
  </si>
  <si>
    <t>Haustechnik</t>
  </si>
  <si>
    <t>Zwischendecke beheizt</t>
  </si>
  <si>
    <t>Innenwände beheizt</t>
  </si>
  <si>
    <t xml:space="preserve">Erdsonde  </t>
  </si>
  <si>
    <t>Elektroanlagen</t>
  </si>
  <si>
    <t>Sanitäranlagen</t>
  </si>
  <si>
    <r>
      <t>m</t>
    </r>
    <r>
      <rPr>
        <vertAlign val="superscript"/>
        <sz val="10"/>
        <rFont val="DIN-Regular"/>
        <family val="2"/>
      </rPr>
      <t>2</t>
    </r>
  </si>
  <si>
    <t>PV-Anlage</t>
  </si>
  <si>
    <t>MINERGIE-P/-A</t>
  </si>
  <si>
    <t>Wohnen</t>
  </si>
  <si>
    <t>Schule</t>
  </si>
  <si>
    <t>Deckenstärke</t>
  </si>
  <si>
    <t>Betondecke</t>
  </si>
  <si>
    <t>Massivbau</t>
  </si>
  <si>
    <t>Glasbau</t>
  </si>
  <si>
    <t>Mindestanforderung</t>
  </si>
  <si>
    <t>Typ2, mittel</t>
  </si>
  <si>
    <t>Grundrisstyp</t>
  </si>
  <si>
    <t>(B) mittlerer Eingriff</t>
  </si>
  <si>
    <t>Anzahl Stockwerke unter Terrain</t>
  </si>
  <si>
    <t>Anzahl Stockwerke unbeheizt</t>
  </si>
  <si>
    <t>Eingabe Gebäudeflächen</t>
  </si>
  <si>
    <t>Ja</t>
  </si>
  <si>
    <t>Fenster/-Türfläche</t>
  </si>
  <si>
    <t>Bodenfläche beheizt gegen unbeheizt/Erdreich</t>
  </si>
  <si>
    <t>Dachfläche</t>
  </si>
  <si>
    <t>Opake Wandfläche</t>
  </si>
  <si>
    <t>MJ/m2*a</t>
  </si>
  <si>
    <t>GE Haustechnik</t>
  </si>
  <si>
    <t>MJ/m2BT*a</t>
  </si>
  <si>
    <t>Solarkollektoren</t>
  </si>
  <si>
    <t>PV</t>
  </si>
  <si>
    <t>MJ/m2EBF*a</t>
  </si>
  <si>
    <t>Erdsonde</t>
  </si>
  <si>
    <t>Wärmeverteiler</t>
  </si>
  <si>
    <t>Wärmeerzeuger</t>
  </si>
  <si>
    <t>Abluftanlage Küche/Bad</t>
  </si>
  <si>
    <t>Erdregister zu Lüftungsanlage</t>
  </si>
  <si>
    <t>Lüftungsanlagen</t>
  </si>
  <si>
    <t>MJ/m2a</t>
  </si>
  <si>
    <t>GE pro m2 Energiebezugsfläche</t>
  </si>
  <si>
    <t>TOTAL</t>
  </si>
  <si>
    <t>Decke Farbe</t>
  </si>
  <si>
    <t>Decke verputzen</t>
  </si>
  <si>
    <t>Zwischendecke</t>
  </si>
  <si>
    <t>GE pro m2 Innenwandfläche</t>
  </si>
  <si>
    <t>TOTAL Haustechnik</t>
  </si>
  <si>
    <t>Innenwände Farbe</t>
  </si>
  <si>
    <t>Grundbetrag HT</t>
  </si>
  <si>
    <t>Wand verputzen</t>
  </si>
  <si>
    <r>
      <t>GE</t>
    </r>
    <r>
      <rPr>
        <vertAlign val="subscript"/>
        <sz val="10"/>
        <rFont val="DIN-Regular"/>
        <family val="2"/>
      </rPr>
      <t>A</t>
    </r>
  </si>
  <si>
    <t>GE Aushub</t>
  </si>
  <si>
    <r>
      <t>m</t>
    </r>
    <r>
      <rPr>
        <vertAlign val="superscript"/>
        <sz val="10"/>
        <rFont val="DIN-Regular"/>
        <family val="2"/>
      </rPr>
      <t>3</t>
    </r>
  </si>
  <si>
    <r>
      <t>V</t>
    </r>
    <r>
      <rPr>
        <vertAlign val="subscript"/>
        <sz val="10"/>
        <rFont val="DIN-Regular"/>
        <family val="2"/>
      </rPr>
      <t>A</t>
    </r>
  </si>
  <si>
    <t>Aushubvolume</t>
  </si>
  <si>
    <t>Verschiebung nicht tragend</t>
  </si>
  <si>
    <t>GE Total</t>
  </si>
  <si>
    <t>GE Dach/Decke gegen aussen</t>
  </si>
  <si>
    <t>1/m</t>
  </si>
  <si>
    <t>Faktor F (Mauerwerk)</t>
  </si>
  <si>
    <t>GE Aussenwände</t>
  </si>
  <si>
    <t>Faktor F (Stahlprofil)</t>
  </si>
  <si>
    <t>GE Zwischendecke, Fundament</t>
  </si>
  <si>
    <t>Faktor F (Gips und Zement)</t>
  </si>
  <si>
    <t>GE Innenwände</t>
  </si>
  <si>
    <t>Entfernung tragend</t>
  </si>
  <si>
    <t>MJ/m2BTF*a</t>
  </si>
  <si>
    <t>Spezifische GE AW</t>
  </si>
  <si>
    <t>Spezifische GE ZD Fundament</t>
  </si>
  <si>
    <t>Spezifische GE IW</t>
  </si>
  <si>
    <t>Faktor F</t>
  </si>
  <si>
    <t>Bauteile nicht beheizt</t>
  </si>
  <si>
    <t>Entfernung nicht tragend</t>
  </si>
  <si>
    <r>
      <t>GE</t>
    </r>
    <r>
      <rPr>
        <vertAlign val="subscript"/>
        <sz val="10"/>
        <rFont val="Arial"/>
        <family val="2"/>
      </rPr>
      <t>ZD</t>
    </r>
  </si>
  <si>
    <t>Graue Energie</t>
  </si>
  <si>
    <r>
      <t>GE</t>
    </r>
    <r>
      <rPr>
        <vertAlign val="subscript"/>
        <sz val="10"/>
        <rFont val="DIN-Regular"/>
        <family val="2"/>
      </rPr>
      <t>SIC</t>
    </r>
  </si>
  <si>
    <t>Spezifische GE</t>
  </si>
  <si>
    <t>Schliessung von Öffnungen</t>
  </si>
  <si>
    <r>
      <t>GE</t>
    </r>
    <r>
      <rPr>
        <vertAlign val="subscript"/>
        <sz val="10"/>
        <rFont val="Arial"/>
        <family val="2"/>
      </rPr>
      <t>IW</t>
    </r>
  </si>
  <si>
    <t>Öffnungen für Türen</t>
  </si>
  <si>
    <r>
      <t>GE</t>
    </r>
    <r>
      <rPr>
        <vertAlign val="subscript"/>
        <sz val="10"/>
        <rFont val="DIN-Regular"/>
        <family val="2"/>
      </rPr>
      <t>SIW</t>
    </r>
  </si>
  <si>
    <t>m2</t>
  </si>
  <si>
    <t>Fläche der IW</t>
  </si>
  <si>
    <r>
      <t>A</t>
    </r>
    <r>
      <rPr>
        <vertAlign val="subscript"/>
        <sz val="10"/>
        <rFont val="DIN-Regular"/>
        <family val="2"/>
      </rPr>
      <t>IW</t>
    </r>
  </si>
  <si>
    <t>Länge IW</t>
  </si>
  <si>
    <r>
      <t>L</t>
    </r>
    <r>
      <rPr>
        <vertAlign val="subscript"/>
        <sz val="10"/>
        <rFont val="Arial"/>
        <family val="2"/>
      </rPr>
      <t>SIW</t>
    </r>
  </si>
  <si>
    <t>Innenwände</t>
  </si>
  <si>
    <t>MODERNISIERUNGEN</t>
  </si>
  <si>
    <t>NEUBAU</t>
  </si>
  <si>
    <t xml:space="preserve">Berechnungen </t>
  </si>
  <si>
    <t>kg/m2*a</t>
  </si>
  <si>
    <t>kg/m2BT*a</t>
  </si>
  <si>
    <t>kg/m2EBF*a</t>
  </si>
  <si>
    <t>kg/m2a</t>
  </si>
  <si>
    <t>THGE pro m2 Energiebezugsfläche</t>
  </si>
  <si>
    <t>THGE pro m2 Innenwandfläche</t>
  </si>
  <si>
    <r>
      <t>THGE</t>
    </r>
    <r>
      <rPr>
        <vertAlign val="subscript"/>
        <sz val="10"/>
        <rFont val="DIN-Regular"/>
        <family val="2"/>
      </rPr>
      <t>A</t>
    </r>
  </si>
  <si>
    <t>THGE Aushub</t>
  </si>
  <si>
    <t>THGE Total</t>
  </si>
  <si>
    <t>THGE Dach/Decke gegen aussen</t>
  </si>
  <si>
    <t>THGE Aussenwände</t>
  </si>
  <si>
    <t>THGE Zwischendecke, Fundament</t>
  </si>
  <si>
    <t>THGE Innenwände</t>
  </si>
  <si>
    <t>kg/m2BTF*a</t>
  </si>
  <si>
    <t>Spezifische THGE AW</t>
  </si>
  <si>
    <t>Spezifische THGE ZD Fundament</t>
  </si>
  <si>
    <t>Spezifische THGE IW</t>
  </si>
  <si>
    <r>
      <t>THGE</t>
    </r>
    <r>
      <rPr>
        <vertAlign val="subscript"/>
        <sz val="10"/>
        <rFont val="Arial"/>
        <family val="2"/>
      </rPr>
      <t>ZD</t>
    </r>
  </si>
  <si>
    <t>THGE</t>
  </si>
  <si>
    <r>
      <t>THGE</t>
    </r>
    <r>
      <rPr>
        <vertAlign val="subscript"/>
        <sz val="10"/>
        <rFont val="DIN-Regular"/>
        <family val="2"/>
      </rPr>
      <t>SIC</t>
    </r>
  </si>
  <si>
    <t>Spezifische THGE</t>
  </si>
  <si>
    <r>
      <t>THGE</t>
    </r>
    <r>
      <rPr>
        <vertAlign val="subscript"/>
        <sz val="10"/>
        <rFont val="Arial"/>
        <family val="2"/>
      </rPr>
      <t>IW</t>
    </r>
  </si>
  <si>
    <r>
      <t>THGE</t>
    </r>
    <r>
      <rPr>
        <vertAlign val="subscript"/>
        <sz val="10"/>
        <rFont val="DIN-Regular"/>
        <family val="2"/>
      </rPr>
      <t>SIW</t>
    </r>
  </si>
  <si>
    <t>UBP/m2*a</t>
  </si>
  <si>
    <t>UBP/m2BT*a</t>
  </si>
  <si>
    <t>UBP/m2EBF*a</t>
  </si>
  <si>
    <t>UBP/m2a</t>
  </si>
  <si>
    <t>UBP pro m2 Energiebezugsfläche</t>
  </si>
  <si>
    <t>UBP pro m2 Innenwandfläche</t>
  </si>
  <si>
    <r>
      <t>UBP</t>
    </r>
    <r>
      <rPr>
        <vertAlign val="subscript"/>
        <sz val="10"/>
        <rFont val="DIN-Regular"/>
        <family val="2"/>
      </rPr>
      <t>A</t>
    </r>
  </si>
  <si>
    <t>UBP Aushub</t>
  </si>
  <si>
    <t>UBP/m2BTF*a</t>
  </si>
  <si>
    <t>UBP Total</t>
  </si>
  <si>
    <t>UBP Dach/Decke gegen aussen</t>
  </si>
  <si>
    <t>UBP Aussenwände</t>
  </si>
  <si>
    <t>UBP Zwischendecke, Fundament</t>
  </si>
  <si>
    <t>UBP Innenwände</t>
  </si>
  <si>
    <t>Spezifische UBP AW</t>
  </si>
  <si>
    <t>Spezifische UBP ZD Fundament</t>
  </si>
  <si>
    <t>Spezifische UBP IW</t>
  </si>
  <si>
    <r>
      <t>UBP</t>
    </r>
    <r>
      <rPr>
        <vertAlign val="subscript"/>
        <sz val="10"/>
        <rFont val="Arial"/>
        <family val="2"/>
      </rPr>
      <t>ZD</t>
    </r>
  </si>
  <si>
    <r>
      <rPr>
        <sz val="10"/>
        <rFont val="DIN-Regular"/>
        <family val="2"/>
      </rPr>
      <t>UBP</t>
    </r>
    <r>
      <rPr>
        <vertAlign val="subscript"/>
        <sz val="10"/>
        <rFont val="DIN-Regular"/>
        <family val="2"/>
      </rPr>
      <t>SIC</t>
    </r>
  </si>
  <si>
    <t>Spezifische UBP</t>
  </si>
  <si>
    <r>
      <t>UBP</t>
    </r>
    <r>
      <rPr>
        <vertAlign val="subscript"/>
        <sz val="10"/>
        <rFont val="Arial"/>
        <family val="2"/>
      </rPr>
      <t>IW</t>
    </r>
  </si>
  <si>
    <r>
      <t>UBP</t>
    </r>
    <r>
      <rPr>
        <vertAlign val="subscript"/>
        <sz val="10"/>
        <rFont val="DIN-Regular"/>
        <family val="2"/>
      </rPr>
      <t>SIW</t>
    </r>
  </si>
  <si>
    <t>Fläche Tür</t>
  </si>
  <si>
    <t>?????????</t>
  </si>
  <si>
    <t>Leichtbau</t>
  </si>
  <si>
    <t>Tiefe Sturz</t>
  </si>
  <si>
    <t>Lebensdauer Haustechnik</t>
  </si>
  <si>
    <t>Mindestanforderungen (Schall)</t>
  </si>
  <si>
    <t>Länge Sturz</t>
  </si>
  <si>
    <t>m2/kWp</t>
  </si>
  <si>
    <t>Türumfang2</t>
  </si>
  <si>
    <t>Lebensdauer Solarkollektoren</t>
  </si>
  <si>
    <t>Türumfang1</t>
  </si>
  <si>
    <t>Umrechnungsfaktoren</t>
  </si>
  <si>
    <t>*F kg</t>
  </si>
  <si>
    <t>Haustechnik II</t>
  </si>
  <si>
    <t>Rahmenhöhe</t>
  </si>
  <si>
    <t>UBP/BTFm2 (MJ/m2a)</t>
  </si>
  <si>
    <t>Lebensdauer (a)</t>
  </si>
  <si>
    <t>Einheit</t>
  </si>
  <si>
    <t>Menge pro m2 Innenwandfläche</t>
  </si>
  <si>
    <t>Dicke (m)</t>
  </si>
  <si>
    <t>Bezug UBP</t>
  </si>
  <si>
    <t>Dichte (kg/m2)</t>
  </si>
  <si>
    <t>Zwischendecke Farbe</t>
  </si>
  <si>
    <t>Rahmenbreite</t>
  </si>
  <si>
    <t>Rahmentiefe</t>
  </si>
  <si>
    <t>Konstanten</t>
  </si>
  <si>
    <t>Erdsonde Nein</t>
  </si>
  <si>
    <t>Erdsonde Ja</t>
  </si>
  <si>
    <t>UBP/BTFm2 (UBP/m2a)</t>
  </si>
  <si>
    <t>Dichte (kg/m3)</t>
  </si>
  <si>
    <t>300g/m2; Anstrich auf Holzwerk</t>
  </si>
  <si>
    <t>Mittelwert</t>
  </si>
  <si>
    <t>300g/m2; Wand- und Deckenfarbe</t>
  </si>
  <si>
    <t>UBP/m2</t>
  </si>
  <si>
    <t>Lüftung, Sanitär, Elektro</t>
  </si>
  <si>
    <t>Grundbetrag Haustechnik</t>
  </si>
  <si>
    <t>MJ/m2</t>
  </si>
  <si>
    <t>siehe Bericht "Vereinfachte Erfassung der Grauen Energie von Innenbauteilen bei Modernisierungen" Tabelle1</t>
  </si>
  <si>
    <t>*H/(Aiw*Eingriff)</t>
  </si>
  <si>
    <t>Mauerwerk mit Verputz</t>
  </si>
  <si>
    <t>Verweis</t>
  </si>
  <si>
    <t>Verwaltung</t>
  </si>
  <si>
    <t>Haustechnik I</t>
  </si>
  <si>
    <t>Debrunner, 30kg/m</t>
  </si>
  <si>
    <t>*1/H</t>
  </si>
  <si>
    <t>2cm dick</t>
  </si>
  <si>
    <t>*(Liw*Eingriff+H)/(Aiw*Eingriff)</t>
  </si>
  <si>
    <r>
      <t>UBP/m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*a</t>
    </r>
  </si>
  <si>
    <t>10mm</t>
  </si>
  <si>
    <t>Konstruktionstyp_I</t>
  </si>
  <si>
    <t>5m*2.4m Wand = 12m2, fix 2 mal 2.4m*0.25m</t>
  </si>
  <si>
    <t>(C) grosser Eingriff</t>
  </si>
  <si>
    <t>(A) kleiner Eingriff</t>
  </si>
  <si>
    <t>Holzhohlkastendecke</t>
  </si>
  <si>
    <t>Brettstapeldecke</t>
  </si>
  <si>
    <t>Mauerwerk</t>
  </si>
  <si>
    <t>mittel</t>
  </si>
  <si>
    <t>Zwischendecke/Fundament</t>
  </si>
  <si>
    <t>Umfang/√Fläche</t>
  </si>
  <si>
    <t>Kompaktheit</t>
  </si>
  <si>
    <t>Aussenwand</t>
  </si>
  <si>
    <t>*1 kg</t>
  </si>
  <si>
    <t>Unbeheizte Bauteile</t>
  </si>
  <si>
    <t>0.15*0.25*1.2 Sturz</t>
  </si>
  <si>
    <t>2cm dick, 5.04m lang (2.07+2.07+0.9)</t>
  </si>
  <si>
    <t>10mm dick, 5.02m lang (2.06+2.06+0.9)</t>
  </si>
  <si>
    <r>
      <t>UBP/m</t>
    </r>
    <r>
      <rPr>
        <vertAlign val="superscript"/>
        <sz val="10"/>
        <rFont val="DIN-Regular"/>
        <family val="2"/>
      </rPr>
      <t>3</t>
    </r>
    <r>
      <rPr>
        <sz val="10"/>
        <rFont val="DIN-Regular"/>
        <family val="2"/>
      </rPr>
      <t>*a</t>
    </r>
  </si>
  <si>
    <r>
      <t>L</t>
    </r>
    <r>
      <rPr>
        <vertAlign val="subscript"/>
        <sz val="10"/>
        <rFont val="DIN-Regular"/>
        <family val="2"/>
      </rPr>
      <t xml:space="preserve">SIW  </t>
    </r>
    <r>
      <rPr>
        <sz val="10"/>
        <rFont val="DIN-Regular"/>
        <family val="2"/>
      </rPr>
      <t>[m/m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]</t>
    </r>
  </si>
  <si>
    <t>2.05*0.9, Tiefe=0.15m</t>
  </si>
  <si>
    <t>*1 m2</t>
  </si>
  <si>
    <t>Dichte (UBP/m3)</t>
  </si>
  <si>
    <t>Eingriffstiefe (Eingriffsfläche/Bauteilfläche)</t>
  </si>
  <si>
    <t>Referenztabellen</t>
  </si>
  <si>
    <t>THGE/BTFm2 (kg/m2a)</t>
  </si>
  <si>
    <t>Bezug THGE</t>
  </si>
  <si>
    <t>kgJ/m2</t>
  </si>
  <si>
    <r>
      <t>kg/m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*a</t>
    </r>
  </si>
  <si>
    <t>kg/m2</t>
  </si>
  <si>
    <t>BezugTHGE</t>
  </si>
  <si>
    <r>
      <t>kg/m</t>
    </r>
    <r>
      <rPr>
        <vertAlign val="superscript"/>
        <sz val="10"/>
        <rFont val="DIN-Regular"/>
        <family val="2"/>
      </rPr>
      <t>3</t>
    </r>
    <r>
      <rPr>
        <sz val="10"/>
        <rFont val="DIN-Regular"/>
        <family val="2"/>
      </rPr>
      <t>*a</t>
    </r>
  </si>
  <si>
    <t>GE/BTFm2 (MJ/m2a)</t>
  </si>
  <si>
    <t>Bezug GE</t>
  </si>
  <si>
    <t>- Für die Nutzungsart Büro wurden die Elektroanlagen Büro ausgewählt</t>
  </si>
  <si>
    <t>- Für die Nutzungsarten Wohnen und Schulen wurden die Elektroanlagen Wohnen ausgewählt</t>
  </si>
  <si>
    <t>- Für die Nutzungsart Schulen wurde der Wert "Büro, aufwändige Installation, inkl. Apparate und Leitungen" gewählt</t>
  </si>
  <si>
    <t>- für die Nutzungsart Wohnen wurde die Sanitäranlagen Wohnen, inkl. Apparate und Leitungen gewählt</t>
  </si>
  <si>
    <t>- für die Nutzungsart Büros wurde der Wert "Büro, einfache Installation, inkl. Apparate und Leitungen" gewählt</t>
  </si>
  <si>
    <t>- Für die Nutzungsart Wohnen wurde die Lüftungsanlage, Blechkanäle, inkl. Küchenabluft gewählt</t>
  </si>
  <si>
    <t>- für die Nutzungsarten Büros und Schulen wurde die Lüftungsanlage Büro Blechkanäle, spez. Luftmenge 4 m3/hm2 EBF gewählt</t>
  </si>
  <si>
    <t>Annahmen</t>
  </si>
  <si>
    <t>Haustechnik I (in Bezug auf EBF)</t>
  </si>
  <si>
    <r>
      <t>MJ/m</t>
    </r>
    <r>
      <rPr>
        <vertAlign val="superscript"/>
        <sz val="10"/>
        <rFont val="DIN-Regular"/>
        <family val="2"/>
      </rPr>
      <t>2</t>
    </r>
    <r>
      <rPr>
        <sz val="10"/>
        <rFont val="DIN-Regular"/>
        <family val="2"/>
      </rPr>
      <t>*a</t>
    </r>
  </si>
  <si>
    <t>(Diese Tabelle wurde angepasst an Konstruktionstyp_I Neubau)</t>
  </si>
  <si>
    <r>
      <t>MJ/m</t>
    </r>
    <r>
      <rPr>
        <vertAlign val="superscript"/>
        <sz val="10"/>
        <rFont val="DIN-Regular"/>
        <family val="2"/>
      </rPr>
      <t>3</t>
    </r>
    <r>
      <rPr>
        <sz val="10"/>
        <rFont val="DIN-Regular"/>
        <family val="2"/>
      </rPr>
      <t>*a</t>
    </r>
  </si>
  <si>
    <t>Wohnen EFH/MFH</t>
  </si>
  <si>
    <t>GW2</t>
  </si>
  <si>
    <t>GW1</t>
  </si>
  <si>
    <t>MINERGIE P/A</t>
  </si>
  <si>
    <t>Grenzwerte</t>
  </si>
  <si>
    <t>SUMME</t>
  </si>
  <si>
    <t>Solarkollektorfläche</t>
  </si>
  <si>
    <t>PV-Fläche</t>
  </si>
  <si>
    <t>Unbeheizte Fläche (UBF)</t>
  </si>
  <si>
    <t>Beheizte Fläche (EBF)</t>
  </si>
  <si>
    <t>Flächen</t>
  </si>
  <si>
    <t>TREIBHAUSGASEMISSIONEN</t>
  </si>
  <si>
    <t>GRAUE ENERGIE</t>
  </si>
  <si>
    <t>Allgemeines Modernisierung</t>
  </si>
  <si>
    <t>GW Wärmeverteiler in kg/m2AEa</t>
  </si>
  <si>
    <t>GW Wärmeerzeuger
in kg/m2AEa</t>
  </si>
  <si>
    <t>GW Elektro in kg/m2AEa</t>
  </si>
  <si>
    <t>GW Sanitär in kg/m2AEa</t>
  </si>
  <si>
    <t>GW Abluftanlage in kg/m2AEa</t>
  </si>
  <si>
    <t>GW Erdregister in kg/m2AEa</t>
  </si>
  <si>
    <t>GW Lüftungsanlagen in kg/m2AEa</t>
  </si>
  <si>
    <t>GW Erdsonde
in kg/m2AEa</t>
  </si>
  <si>
    <t>GW Sonnenkoll.
in kg/m2BTFa</t>
  </si>
  <si>
    <t>GW PV
in kg/m2BTFa</t>
  </si>
  <si>
    <t>Faktor für Erdsonde</t>
  </si>
  <si>
    <t>GW Erdsonde MINERGIE P/A</t>
  </si>
  <si>
    <t>GW Erdsonde MINERGIE</t>
  </si>
  <si>
    <t>GW Sonnenkoll.</t>
  </si>
  <si>
    <t>GW PV</t>
  </si>
  <si>
    <r>
      <t xml:space="preserve">Innenbauteile in </t>
    </r>
    <r>
      <rPr>
        <sz val="10"/>
        <color indexed="10"/>
        <rFont val="DIN-Regular"/>
        <family val="2"/>
      </rPr>
      <t>Kg/m2AEa</t>
    </r>
  </si>
  <si>
    <t>Fenster/Aussentüre in Kg/m2BTFa</t>
  </si>
  <si>
    <t>Bodenplatte in Kg/m2BTFa</t>
  </si>
  <si>
    <t>Dächer in Kg/m2BTFa</t>
  </si>
  <si>
    <t>Aussenwände in Kg/m2BTFa</t>
  </si>
  <si>
    <t>GW2 unbeheizt</t>
  </si>
  <si>
    <t>GW 1 unbeheizt</t>
  </si>
  <si>
    <t>GW 2 beheizt</t>
  </si>
  <si>
    <t>GW 1 beheizt</t>
  </si>
  <si>
    <t>Quelle: Rechenblatt von Aurelia</t>
  </si>
  <si>
    <t>Basisgrenzwerte</t>
  </si>
  <si>
    <t>Grenzwerte THGE mit Faktor 20 zu Grenzwerten Graue Energie</t>
  </si>
  <si>
    <t>Grenzwert THGE Modernisierung</t>
  </si>
  <si>
    <t>Grenzwert THGE Neubauten</t>
  </si>
  <si>
    <t>GW Wärmeverteiler in MJ/m2AEa</t>
  </si>
  <si>
    <t>GW Wärmeerzeuger
in MJ/m2AEa</t>
  </si>
  <si>
    <t>GW Elektro in MJ/m2AEa</t>
  </si>
  <si>
    <t>GW Sanitär in MJ/m2AEa</t>
  </si>
  <si>
    <t>GW Abluftanlage in MJ/m2AEa</t>
  </si>
  <si>
    <t>GW Erdregister in MJ/m2AEa</t>
  </si>
  <si>
    <t>GW Lüftungsanlagen in MJ/m2AEa</t>
  </si>
  <si>
    <t>GW Erdsonde
in MJ/m2AEa</t>
  </si>
  <si>
    <t>GW Sonnenkoll.
in MJ/m2BTFa</t>
  </si>
  <si>
    <t>GW PV
in MJ/m2BTFa</t>
  </si>
  <si>
    <r>
      <t xml:space="preserve">Innenbauteile in </t>
    </r>
    <r>
      <rPr>
        <sz val="10"/>
        <color indexed="10"/>
        <rFont val="DIN-Regular"/>
        <family val="2"/>
      </rPr>
      <t>MJ/m2AEa</t>
    </r>
  </si>
  <si>
    <t>Fenster/Aussentüre in MJ/m2BTFa</t>
  </si>
  <si>
    <t>Bodenplatte in MJ/m2BTFa</t>
  </si>
  <si>
    <t>Dächer in MJ/m2BTFa</t>
  </si>
  <si>
    <t>Aussenwände in MJ/m2BTFa</t>
  </si>
  <si>
    <t>in MJ/m2AEa</t>
  </si>
  <si>
    <t>Entsprechend Schlussbericht ME-ECO</t>
  </si>
  <si>
    <t>Grenzwert Graue Energie Modernisierung</t>
  </si>
  <si>
    <t>Grenzwert Graue Energie Neubauten</t>
  </si>
  <si>
    <t>Installations photovoltaïque façade</t>
  </si>
  <si>
    <t>Puissance max.</t>
  </si>
  <si>
    <t>inkl.</t>
  </si>
  <si>
    <t>kWp</t>
  </si>
  <si>
    <t>Max. Leistung</t>
  </si>
  <si>
    <t>Solarstromanlage Fassade</t>
  </si>
  <si>
    <t>Installations photovoltaïque toiture plate</t>
  </si>
  <si>
    <t>Solarstromanlage Flachdach</t>
  </si>
  <si>
    <t>Installations photovoltaïque toiture inclinée</t>
  </si>
  <si>
    <t>Solarstromanlage Schrägdach</t>
  </si>
  <si>
    <t>Installations photovoltaïque</t>
  </si>
  <si>
    <t>Solarstromanlage</t>
  </si>
  <si>
    <t>SRE</t>
  </si>
  <si>
    <t>EBF</t>
  </si>
  <si>
    <t>Installations électriques</t>
  </si>
  <si>
    <t>Installations sanitaires</t>
  </si>
  <si>
    <t>Registre de terre long pour ventilation bureau (0.67 m/m2 SRE)</t>
  </si>
  <si>
    <t>Erdregister lang zu Lüftungsanlage Büro (0.67 m/m2 EBF)</t>
  </si>
  <si>
    <t>Registre de terre court pour ventilation bureau (0.27 m/m2 SRE)</t>
  </si>
  <si>
    <t>Erdregister kurz zu Lüftungsanlage Büro (0.27 m/m2 EBF)</t>
  </si>
  <si>
    <t>Ventilation bureau, canaux en tôle, besoins en air 6 m3/hm2 SRE</t>
  </si>
  <si>
    <t>Lüftungsanlage Büro Blechkanäle, spez. Luftmenge 6 m3/hm2 EBF</t>
  </si>
  <si>
    <t>Ventilation bureau, canaux en tôle, besoins en air 4 m3/hm2 SRE</t>
  </si>
  <si>
    <t>Lüftungsanlage Büro Blechkanäle, spez. Luftmenge 4 m3/hm2 EBF</t>
  </si>
  <si>
    <t>Ventilation bureau, canaux en tôle, besoins en air  2 m3/hm2 SRE</t>
  </si>
  <si>
    <t>Lüftungsanlage Büro Blechkanäle, spez. Luftmenge 2 m3/hm2 EBF</t>
  </si>
  <si>
    <t>Registre de terre pour ventilation habitation</t>
  </si>
  <si>
    <t>Erdregister zu Lüftungsanlage Wohnen</t>
  </si>
  <si>
    <t>Evacuation d'air cuisine et salle de bain</t>
  </si>
  <si>
    <t>Abluftanlage Küche und Bad</t>
  </si>
  <si>
    <t xml:space="preserve">Ventilation habitation, canaux en HDPE, évacuation d'air (cuisine) </t>
  </si>
  <si>
    <t>Lüftungsanlage Wohnen, PE-Kanäle, inkl. Küchenabluft</t>
  </si>
  <si>
    <t xml:space="preserve">Ventilation habitation, canaux en tôle, évacuation d'air (cuisine) </t>
  </si>
  <si>
    <t>Lüftungsanlage Wohnen, Blechkanäle, inkl. Küchenabluft</t>
  </si>
  <si>
    <t>Ventilation</t>
  </si>
  <si>
    <t>Distribution de chaleur, chauffage à air chaud</t>
  </si>
  <si>
    <t>Wärmeverteilung, Luftheizung</t>
  </si>
  <si>
    <t>Distribution de chaleur, plancher chauffant</t>
  </si>
  <si>
    <t>Wärmeverteilung, Fussbodenheizung</t>
  </si>
  <si>
    <t>Distribution de chaleur, radiateurs, besoins en puissance 50 W/m2</t>
  </si>
  <si>
    <t>Wärmeverteilung, Radiatoren, spez. Leistungsbedarf 50 W/m2</t>
  </si>
  <si>
    <t>Distribution de chaleur, radiateurs, besoins en puissance 30 W/m2</t>
  </si>
  <si>
    <t>Wärmeverteilung, Radiatoren, spez. Leistungsbedarf 30 W/m2</t>
  </si>
  <si>
    <t>Distribution de chaleur, radiateurs, besoins en puissance 10 W/m2</t>
  </si>
  <si>
    <t>Wärmeverteilung, Radiatoren, spez. Leistungsbedarf 10 W/m2</t>
  </si>
  <si>
    <t>Collecteurs solaires à tubes, chaleur et eau chaude  maison individuelle</t>
  </si>
  <si>
    <t>Surf. collecteurs</t>
  </si>
  <si>
    <t>Kollektorfläche</t>
  </si>
  <si>
    <t>Röhrenkollektor für Raumheizung und Warmwasser EFH</t>
  </si>
  <si>
    <t>Collecteurs solaires plan, eau chaude immeuble locatif</t>
  </si>
  <si>
    <t>Flachkollektor für Warmwasser MFH</t>
  </si>
  <si>
    <t>Collecteurs solaires plan, chaleur et eau chaude  maison individuelle</t>
  </si>
  <si>
    <t>Flachkollektor für Raumheizung und Warmwasser EFH</t>
  </si>
  <si>
    <t>Collecteurs solaires plan, eau chaude maison individuelle</t>
  </si>
  <si>
    <t>Flachkollektor für Warmwasser EFH</t>
  </si>
  <si>
    <t>Sondes géothermiques, besoins en puissance 50 W/m2</t>
  </si>
  <si>
    <t>Erdsonden, spez. Leistungsbedarf 50 W/m2</t>
  </si>
  <si>
    <t>Sondes géothermiques, besoins en puissance 30 W/m2</t>
  </si>
  <si>
    <t>Erdsonden, spez. Leistungsbedarf 30 W/m2</t>
  </si>
  <si>
    <t>Sondes géothermiques, besoins en puissance 10 W/m2</t>
  </si>
  <si>
    <t>Erdsonden, spez. Leistungsbedarf 10 W/m2</t>
  </si>
  <si>
    <t>Prod.de chaleur, besoins en puissance 50 W/m2</t>
  </si>
  <si>
    <t>Wärmeerzeuger, spez. Leistungsbedarf 50 W/m2</t>
  </si>
  <si>
    <t>Prod.de chaleur, besoins en puissance 30 W/m2</t>
  </si>
  <si>
    <t>Wärmeerzeuger, spez. Leistungsbedarf 30 W/m2</t>
  </si>
  <si>
    <t>Prod. de chaleur, besoins en puissance 10 W/m2</t>
  </si>
  <si>
    <t>Wärmeerzeuger, spez. Leistungsbedarf 10 W/m2</t>
  </si>
  <si>
    <t>Installations de chauffage</t>
  </si>
  <si>
    <t>Heizungsanlagen</t>
  </si>
  <si>
    <t>Dimension</t>
  </si>
  <si>
    <t>Unité</t>
  </si>
  <si>
    <t>Grösse</t>
  </si>
  <si>
    <r>
      <rPr>
        <b/>
        <i/>
        <sz val="14"/>
        <rFont val="Arial"/>
        <family val="2"/>
      </rPr>
      <t>TECHNIQUE DU BÂTIMENT</t>
    </r>
    <r>
      <rPr>
        <b/>
        <i/>
        <sz val="12"/>
        <rFont val="Arial"/>
        <family val="2"/>
      </rPr>
      <t xml:space="preserve">
</t>
    </r>
    <r>
      <rPr>
        <i/>
        <sz val="10"/>
        <rFont val="Arial"/>
        <family val="2"/>
      </rPr>
      <t>[Bibliographie B&amp;H, rev. 4]</t>
    </r>
  </si>
  <si>
    <t>Référence</t>
  </si>
  <si>
    <t>Bezug</t>
  </si>
  <si>
    <t>Panneau de distribution, 800x2000x500 mm</t>
  </si>
  <si>
    <t>unité</t>
  </si>
  <si>
    <t>Verteilerschrank 800x2000x500 mm</t>
  </si>
  <si>
    <t>Boîte d'encastrement PU, NIS, grd. 1</t>
  </si>
  <si>
    <t>Ruban de mise à terre, zingué à chaud, 25x3 mm2</t>
  </si>
  <si>
    <t>mètres linéaires</t>
  </si>
  <si>
    <t>Erdband f-verz, 25x3 mm2</t>
  </si>
  <si>
    <t>Support de tube, h=210 mm</t>
  </si>
  <si>
    <t>Rohrstütze H=210 mm</t>
  </si>
  <si>
    <t>Canal d'installation LF, 150x60 mm</t>
  </si>
  <si>
    <t>Installationskanal LF, 150x60 mm</t>
  </si>
  <si>
    <t>Canal d'installation LF, 90x60 mm</t>
  </si>
  <si>
    <t>Installationskanal LF, 90x60 mm</t>
  </si>
  <si>
    <t>Chemins de câbles en treillis A4, 200x60 mm</t>
  </si>
  <si>
    <t>Gitterbahn A4, 200x60 mm</t>
  </si>
  <si>
    <t>Chemins de câbles en treillis, 300x55 mm</t>
  </si>
  <si>
    <t>Gitter-Kabelbahn, 300x55 mm</t>
  </si>
  <si>
    <t>Câble téléphonique, 1x4x0.6mm</t>
  </si>
  <si>
    <t>Telefonkabel, 1x4x0.6 mm</t>
  </si>
  <si>
    <t>Câble d'installation, 5 x 35 mm2</t>
  </si>
  <si>
    <t>Installationskabel, 5x35 mm2</t>
  </si>
  <si>
    <t>Câble d'installation, 5 x 6 mm2</t>
  </si>
  <si>
    <t>Installationskabel, 5x6 mm2</t>
  </si>
  <si>
    <t>Câble d'installation, 5 x 1.5 mm2</t>
  </si>
  <si>
    <t>Installationskabel, 5x1.5 mm2</t>
  </si>
  <si>
    <t>Câble d'installation, 3 x 1.5 mm2</t>
  </si>
  <si>
    <t>Installationskabel, 3x1.5 mm2</t>
  </si>
  <si>
    <t>Attache, 6 mm2</t>
  </si>
  <si>
    <t>Litze, 6 mm2</t>
  </si>
  <si>
    <t>Fil d'installation, 1.5 mm2</t>
  </si>
  <si>
    <t>Installationsdraht, 1.5 mm2</t>
  </si>
  <si>
    <t>Tube de protection 112/100 mm</t>
  </si>
  <si>
    <t>KSR-Rohr, 112/100 mm</t>
  </si>
  <si>
    <t>Tube de protection 92/80 mm</t>
  </si>
  <si>
    <t>KSR-Rohr, 92/80 mm</t>
  </si>
  <si>
    <t>Tube THFW, 20 mm</t>
  </si>
  <si>
    <t>KRFW-Rohr, 20 mm</t>
  </si>
  <si>
    <t>Tube THF, 50 mm</t>
  </si>
  <si>
    <t>KRF-Rohr, 50 mm</t>
  </si>
  <si>
    <t>Tube THF, 25 mm</t>
  </si>
  <si>
    <t>KRF-Rohr, 25 mm</t>
  </si>
  <si>
    <t>Tube THF, 20 mm</t>
  </si>
  <si>
    <t>KRF-Rohr, 20 mm</t>
  </si>
  <si>
    <t>Installations électriques, bureau</t>
  </si>
  <si>
    <t>Elektroanlagen Büro</t>
  </si>
  <si>
    <t>Installations électriques, habitation</t>
  </si>
  <si>
    <t>Elektroanlagen Wohnen</t>
  </si>
  <si>
    <t>Isolation du tube en caoutschouc, 150 mm</t>
  </si>
  <si>
    <t xml:space="preserve">Rohrdämmung Kautschuk, 150 mm </t>
  </si>
  <si>
    <t>Isolation du tube en caoutschouc, 56-110 mm</t>
  </si>
  <si>
    <t xml:space="preserve">Rohrdämmung Kautschuk, 56-110 mm </t>
  </si>
  <si>
    <t>Isolation du tube en caoutschouc, 15-35 mm</t>
  </si>
  <si>
    <t xml:space="preserve">Rohrdämmung Kautschuk, 15-35 mm </t>
  </si>
  <si>
    <t>Coquilles PIR, revêtement PVC, 40-50 mm</t>
  </si>
  <si>
    <t xml:space="preserve">PIR-Schalen, PVC Umhüllung, 40-50 mm </t>
  </si>
  <si>
    <t>Coquilles PIR, revêtement PVC, 35-42 mm</t>
  </si>
  <si>
    <t xml:space="preserve">PIR-Schalen, PVC Umhüllung, 35-42 mm </t>
  </si>
  <si>
    <t>Coquilles PIR, revêtement PVC, 10-32 mm</t>
  </si>
  <si>
    <t xml:space="preserve">PIR-Schalen, PVC Umhüllung, 10-32 mm </t>
  </si>
  <si>
    <t>Coquilles en laine minérale, revêtement PVC, 40-50 mm</t>
  </si>
  <si>
    <t xml:space="preserve">Mineralwollschalen, PVC Umhüllung, 40-50 mm </t>
  </si>
  <si>
    <t>Coquilles en laine minérale, revêtement PVC, 25-32 mm</t>
  </si>
  <si>
    <t xml:space="preserve">Mineralwollschalen, PVC Umhüllung, 25-32 mm </t>
  </si>
  <si>
    <t xml:space="preserve">Tube inox, 90 mm </t>
  </si>
  <si>
    <t xml:space="preserve">Edelstahlrohr, 90 mm </t>
  </si>
  <si>
    <t xml:space="preserve">Tube inox, 35 mm </t>
  </si>
  <si>
    <t xml:space="preserve">Edelstahlrohr, 35 mm </t>
  </si>
  <si>
    <t xml:space="preserve">Tube inox, 28 mm </t>
  </si>
  <si>
    <t xml:space="preserve">Edelstahlrohr, 28 mm </t>
  </si>
  <si>
    <t xml:space="preserve">Tube inox, 22 mm </t>
  </si>
  <si>
    <t xml:space="preserve">Edelstahlrohr, 22 mm </t>
  </si>
  <si>
    <t xml:space="preserve">Tube inox, 18 mm </t>
  </si>
  <si>
    <t xml:space="preserve">Edelstahlrohr, 18 mm </t>
  </si>
  <si>
    <t>Tube PE-X, 20 mm</t>
  </si>
  <si>
    <t xml:space="preserve">PE-X Rohr, 20 mm </t>
  </si>
  <si>
    <t>Tube PE-X, 16 mm</t>
  </si>
  <si>
    <t xml:space="preserve">PE-X Rohr, 16 mm </t>
  </si>
  <si>
    <t>Tube PE-X avec isolation acoustique, 90 mm</t>
  </si>
  <si>
    <t xml:space="preserve">PE Rohr schallgedämmt, 90 mm </t>
  </si>
  <si>
    <t>Tube PE, 220 mm</t>
  </si>
  <si>
    <t xml:space="preserve">PE Rohr, 220 mm </t>
  </si>
  <si>
    <t>Tube PE, 150 mm</t>
  </si>
  <si>
    <t xml:space="preserve">PE Rohr, 150 mm </t>
  </si>
  <si>
    <t>Tube PE, 125 mm</t>
  </si>
  <si>
    <t xml:space="preserve">PE Rohr, 125 mm </t>
  </si>
  <si>
    <t>Tube PE, 90 mm</t>
  </si>
  <si>
    <t xml:space="preserve">PE Rohr, 90 mm </t>
  </si>
  <si>
    <t>Sèche-linge (SL)</t>
  </si>
  <si>
    <t>Wäschetrockner/Tumbler (T)</t>
  </si>
  <si>
    <t>Maschine à lavern (ML)</t>
  </si>
  <si>
    <t>Waschmaschine (WM)</t>
  </si>
  <si>
    <t>Mélangeur de bain</t>
  </si>
  <si>
    <t xml:space="preserve">Bademischer </t>
  </si>
  <si>
    <t>Mélangeur à un trou</t>
  </si>
  <si>
    <t xml:space="preserve">Einlochmischer </t>
  </si>
  <si>
    <t>Lavabo double</t>
  </si>
  <si>
    <t xml:space="preserve">Doppelwaschtisch </t>
  </si>
  <si>
    <t>Lavabo</t>
  </si>
  <si>
    <t xml:space="preserve">Waschtisch einfach </t>
  </si>
  <si>
    <t>Chasse à encastrer</t>
  </si>
  <si>
    <t>Einbauspülkasten</t>
  </si>
  <si>
    <t>Urinoir</t>
  </si>
  <si>
    <t>Cuvette murale</t>
  </si>
  <si>
    <t>Wandklosett</t>
  </si>
  <si>
    <t>Bac à douche</t>
  </si>
  <si>
    <t>Baignoire</t>
  </si>
  <si>
    <t>Habitation, 4 app. san. par salle d'eau, ML et SL dans l'appart.</t>
  </si>
  <si>
    <t>salle d'eau</t>
  </si>
  <si>
    <t>Stk.</t>
  </si>
  <si>
    <t>Nasszelle</t>
  </si>
  <si>
    <t>Wohnen, 4 Sanitärapparate pro Nasszelle, WM&amp;T in Wohnung</t>
  </si>
  <si>
    <t>Habitation, 3 app. san. par salle d'eau, ML et SL dans l'appart.</t>
  </si>
  <si>
    <t>Wohnen, 3 Sanitärapparate pro Nasszelle, WM&amp;T in Wohnung</t>
  </si>
  <si>
    <t>Habitation, 2 app. san. par salle d'eau, ML et SL dans l'appart.</t>
  </si>
  <si>
    <t>Wohnen, 2 Sanitärapparate pro Nasszelle, WM&amp;T in Wohnung</t>
  </si>
  <si>
    <t>Habitation, 4 app. san. par salle d'eau, ML et SL dans la cave</t>
  </si>
  <si>
    <t>Wohnen, 4 Sanitärapparate pro Nasszelle, WM&amp;T im Keller</t>
  </si>
  <si>
    <t>Habitation, 3 app. san .par salle d'eau, ML et SL dans la cave</t>
  </si>
  <si>
    <t>Wohnen, 3 Sanitärapparate pro Nasszelle, WM&amp;T im Keller</t>
  </si>
  <si>
    <t>Habitation, 2 app. san. par salle d'eau, ML et SL dans la cave</t>
  </si>
  <si>
    <t>Wohnen, 2 Sanitärapparate pro Nasszelle, WM&amp;T im Keller</t>
  </si>
  <si>
    <t>Habitation, appareils et conduites compris</t>
  </si>
  <si>
    <t>Wohnen, inkl. Apparate und Leitungen</t>
  </si>
  <si>
    <t>Bureau, degré de complexité élevé, appareils et conduites compris</t>
  </si>
  <si>
    <t>Büro, aufwändige Installation, inkl. Apparate und Leitungen</t>
  </si>
  <si>
    <t>Bureau, degré de complexité faible, appareils et conduites compris</t>
  </si>
  <si>
    <t>Büro, einfache Installation, inkl. Apparate und Leitungen</t>
  </si>
  <si>
    <t>Unité de mesure</t>
  </si>
  <si>
    <t>Bezug
Référence</t>
  </si>
  <si>
    <t>GEBÄUDETECHNIK</t>
  </si>
  <si>
    <t>Stand Juli 2012</t>
  </si>
  <si>
    <t>Trolleybus</t>
  </si>
  <si>
    <t>km parcourus</t>
  </si>
  <si>
    <t>km</t>
  </si>
  <si>
    <t>Fahrleistung</t>
  </si>
  <si>
    <t>Tram</t>
  </si>
  <si>
    <t>Autocar</t>
  </si>
  <si>
    <t>Reisebus</t>
  </si>
  <si>
    <t>Train régional</t>
  </si>
  <si>
    <t>Regionalzug</t>
  </si>
  <si>
    <t>Voiture, gasoil</t>
  </si>
  <si>
    <t>Personenwagen, Diesel</t>
  </si>
  <si>
    <t>Voiture, essence</t>
  </si>
  <si>
    <t>Personenwagen, Benzin</t>
  </si>
  <si>
    <t>Voiture</t>
  </si>
  <si>
    <t>Personenwagen</t>
  </si>
  <si>
    <t>Avion passagers, intercontinental</t>
  </si>
  <si>
    <t>Passagierflugzeug, Interkontinental</t>
  </si>
  <si>
    <t>Avion passagers, Europe</t>
  </si>
  <si>
    <t>Passagierflugzeug, Europa</t>
  </si>
  <si>
    <t>Avion passagers</t>
  </si>
  <si>
    <t>Passagierflugzeug</t>
  </si>
  <si>
    <t>Bus de ligne</t>
  </si>
  <si>
    <t>Linienbus</t>
  </si>
  <si>
    <t>ICE</t>
  </si>
  <si>
    <t>Train de grand parcours</t>
  </si>
  <si>
    <t>Fernreisezug</t>
  </si>
  <si>
    <t>Transports de personnes</t>
  </si>
  <si>
    <t>Personen-Transporte</t>
  </si>
  <si>
    <t>Rend.du transp.</t>
  </si>
  <si>
    <t>pkm</t>
  </si>
  <si>
    <t>Transportleistung</t>
  </si>
  <si>
    <t>Passagierflugzeug, intercontinental</t>
  </si>
  <si>
    <t>Transport aérien, intercontinental</t>
  </si>
  <si>
    <t>tkm</t>
  </si>
  <si>
    <t>Luftfracht, Interkontinental</t>
  </si>
  <si>
    <t>Transport aérien , Europe</t>
  </si>
  <si>
    <t>Luftfracht, Europa</t>
  </si>
  <si>
    <t>Transport aérien</t>
  </si>
  <si>
    <t>Luftfracht</t>
  </si>
  <si>
    <t>Camion &gt;28 t</t>
  </si>
  <si>
    <t>LKW über 28 t</t>
  </si>
  <si>
    <t>Camion 3.5-28 t</t>
  </si>
  <si>
    <t>LKW 3.5 bis 20 t</t>
  </si>
  <si>
    <t>Camion 20-28 t</t>
  </si>
  <si>
    <t>LKW 20 bis 28 t</t>
  </si>
  <si>
    <t xml:space="preserve">Véhicule de transport, jusqu'à 3.5 t </t>
  </si>
  <si>
    <t xml:space="preserve">Lieferwagen bis 3.5 t </t>
  </si>
  <si>
    <t>Pétrolier de haute mer</t>
  </si>
  <si>
    <t>Hochseetanker</t>
  </si>
  <si>
    <t>Navire de haute mer</t>
  </si>
  <si>
    <t>Hochseefrachter</t>
  </si>
  <si>
    <t>Hélicoptère</t>
  </si>
  <si>
    <t>Heures de vol</t>
  </si>
  <si>
    <t>Einsatzzeit</t>
  </si>
  <si>
    <t>Helikopter</t>
  </si>
  <si>
    <t>Train de marchandises</t>
  </si>
  <si>
    <t>Güterzug</t>
  </si>
  <si>
    <t>Cargo de marchandise, navigation intérieure</t>
  </si>
  <si>
    <t>Binnenfrachter</t>
  </si>
  <si>
    <t>Excavations mécaniques</t>
  </si>
  <si>
    <t>Vol.excavation</t>
  </si>
  <si>
    <r>
      <t>m</t>
    </r>
    <r>
      <rPr>
        <vertAlign val="superscript"/>
        <sz val="10"/>
        <rFont val="Arial"/>
        <family val="2"/>
      </rPr>
      <t>3</t>
    </r>
  </si>
  <si>
    <t>Aushubvolumen</t>
  </si>
  <si>
    <t>Aushub maschinell</t>
  </si>
  <si>
    <t>Transports de marchandises</t>
  </si>
  <si>
    <t>Güter-Transporte</t>
  </si>
  <si>
    <t>Kérosène pour avions</t>
  </si>
  <si>
    <t>Energie finale</t>
  </si>
  <si>
    <t>Endenergie</t>
  </si>
  <si>
    <t>Kerosin in Flugzeug</t>
  </si>
  <si>
    <t>gaz naturel pour voitures</t>
  </si>
  <si>
    <t>Erdgas in PKW</t>
  </si>
  <si>
    <t>Biogaz pour voitures</t>
  </si>
  <si>
    <t>Biogas in PKW</t>
  </si>
  <si>
    <t>Gasoil pour voitures</t>
  </si>
  <si>
    <t>Diesel in PKW</t>
  </si>
  <si>
    <t>Essence pour voitures</t>
  </si>
  <si>
    <t>Benzin in PKW</t>
  </si>
  <si>
    <t>Gasoil pour camions</t>
  </si>
  <si>
    <t>Diesel in LKW</t>
  </si>
  <si>
    <t>Gasoil pour engin de chantier</t>
  </si>
  <si>
    <t>Diesel in Baumaschine</t>
  </si>
  <si>
    <t>Carburants</t>
  </si>
  <si>
    <t>Treibstoffe</t>
  </si>
  <si>
    <t>Infrastructure</t>
  </si>
  <si>
    <t>Véhicule</t>
  </si>
  <si>
    <t>Exploitation</t>
  </si>
  <si>
    <t>Infrastruktur</t>
  </si>
  <si>
    <t>Fahrzeug</t>
  </si>
  <si>
    <t>Betrieb</t>
  </si>
  <si>
    <r>
      <rPr>
        <b/>
        <i/>
        <sz val="14"/>
        <rFont val="Arial"/>
        <family val="2"/>
      </rPr>
      <t>TRANSPORTS</t>
    </r>
    <r>
      <rPr>
        <b/>
        <i/>
        <sz val="12"/>
        <rFont val="Arial"/>
        <family val="2"/>
      </rPr>
      <t xml:space="preserve"> 
</t>
    </r>
    <r>
      <rPr>
        <i/>
        <sz val="10"/>
        <rFont val="Arial"/>
        <family val="2"/>
      </rPr>
      <t>[Bibliograhpie ESU-services, version 2.2]</t>
    </r>
  </si>
  <si>
    <t>Treibhausgas-
emissionen</t>
  </si>
  <si>
    <t>TRANSPORTE</t>
  </si>
  <si>
    <t>GE</t>
  </si>
  <si>
    <t>MB2032_107</t>
  </si>
  <si>
    <t>MB2032_105</t>
  </si>
  <si>
    <t>Hohlkastendecke</t>
  </si>
  <si>
    <t>KBOB</t>
  </si>
  <si>
    <t>Total ohne Erdsonde</t>
  </si>
  <si>
    <t>Total mit Erdsonde</t>
  </si>
  <si>
    <t>UBP [Punkte]pro Jahr</t>
  </si>
  <si>
    <r>
      <t xml:space="preserve">EP </t>
    </r>
    <r>
      <rPr>
        <vertAlign val="subscript"/>
        <sz val="10"/>
        <rFont val="Arial"/>
        <family val="2"/>
      </rPr>
      <t>HT</t>
    </r>
    <r>
      <rPr>
        <sz val="10"/>
        <rFont val="Arial"/>
        <family val="2"/>
      </rPr>
      <t xml:space="preserve"> [MJ] pro m2 AE a</t>
    </r>
  </si>
  <si>
    <r>
      <t>THGE</t>
    </r>
    <r>
      <rPr>
        <vertAlign val="subscript"/>
        <sz val="10"/>
        <rFont val="Arial"/>
        <family val="2"/>
      </rPr>
      <t>HT</t>
    </r>
    <r>
      <rPr>
        <sz val="10"/>
        <rFont val="Arial"/>
        <family val="2"/>
      </rPr>
      <t xml:space="preserve"> [kg] pro m2 AE a</t>
    </r>
  </si>
  <si>
    <r>
      <t>EP</t>
    </r>
    <r>
      <rPr>
        <vertAlign val="subscript"/>
        <sz val="10"/>
        <rFont val="Arial"/>
        <family val="2"/>
      </rPr>
      <t>,nren HT</t>
    </r>
    <r>
      <rPr>
        <sz val="10"/>
        <rFont val="Arial"/>
        <family val="2"/>
      </rPr>
      <t xml:space="preserve"> [MJ] pro m2 AE a</t>
    </r>
  </si>
  <si>
    <t>Leistung 20W/ m2 AE a</t>
  </si>
  <si>
    <t>Leistung 12W/ m2 AE a</t>
  </si>
  <si>
    <t>4110_12_301_303_21113_Haustechnik_Erdsonde_Wärmeerzeuger_mitUBP</t>
  </si>
  <si>
    <t>Aus Dokument zur Berechnung der linearen Regression:</t>
  </si>
  <si>
    <t>Aussenwand unter Terrain</t>
  </si>
  <si>
    <t>Zwischendecke und Fundament</t>
  </si>
  <si>
    <t>Raumhöhe [m]</t>
  </si>
  <si>
    <t>Nicht beheizte Bauteile</t>
  </si>
  <si>
    <t>Zwischentotal Innenbauteile</t>
  </si>
  <si>
    <r>
      <t>Geschossfläche Unterirdisch 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</t>
    </r>
  </si>
  <si>
    <r>
      <t>m</t>
    </r>
    <r>
      <rPr>
        <vertAlign val="superscript"/>
        <sz val="10"/>
        <color rgb="FFFF0000"/>
        <rFont val="DIN-Regular"/>
        <family val="2"/>
      </rPr>
      <t>2</t>
    </r>
  </si>
  <si>
    <t>Projektdaten</t>
  </si>
  <si>
    <t>Strasse/ Nr.</t>
  </si>
  <si>
    <t>PLZ</t>
  </si>
  <si>
    <t>Ort</t>
  </si>
  <si>
    <t>Kanton</t>
  </si>
  <si>
    <t>AG</t>
  </si>
  <si>
    <t>AR</t>
  </si>
  <si>
    <t>AI</t>
  </si>
  <si>
    <t>BL</t>
  </si>
  <si>
    <t>BS</t>
  </si>
  <si>
    <t>BE</t>
  </si>
  <si>
    <t>FR</t>
  </si>
  <si>
    <t>GL</t>
  </si>
  <si>
    <t>GR</t>
  </si>
  <si>
    <t>JU</t>
  </si>
  <si>
    <t>LU</t>
  </si>
  <si>
    <t>NE</t>
  </si>
  <si>
    <t>NW</t>
  </si>
  <si>
    <t>OW</t>
  </si>
  <si>
    <t>SH</t>
  </si>
  <si>
    <t>SZ</t>
  </si>
  <si>
    <t>SO</t>
  </si>
  <si>
    <t>SG</t>
  </si>
  <si>
    <t>TI</t>
  </si>
  <si>
    <t>TG</t>
  </si>
  <si>
    <t>UR</t>
  </si>
  <si>
    <t>VD</t>
  </si>
  <si>
    <t>VS</t>
  </si>
  <si>
    <t>ZG</t>
  </si>
  <si>
    <t>ZH</t>
  </si>
  <si>
    <t>Ort, Datum</t>
  </si>
  <si>
    <t>Bemerkungen</t>
  </si>
  <si>
    <t>Unterschrift Ersteller</t>
  </si>
  <si>
    <r>
      <t>Berechnung der Grauen Energie, Treibhausgasemissionen und UBP für kleine Wohnbauten (A</t>
    </r>
    <r>
      <rPr>
        <b/>
        <vertAlign val="subscript"/>
        <sz val="12"/>
        <color theme="1"/>
        <rFont val="Arial"/>
        <family val="2"/>
      </rPr>
      <t>e</t>
    </r>
    <r>
      <rPr>
        <b/>
        <sz val="12"/>
        <color theme="1"/>
        <rFont val="Arial"/>
        <family val="2"/>
      </rPr>
      <t xml:space="preserve"> &lt; 500 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</si>
  <si>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r>
      <t>Energiebezugsfläche A</t>
    </r>
    <r>
      <rPr>
        <vertAlign val="sub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</t>
    </r>
  </si>
  <si>
    <r>
      <t>Photovoltaik-Anlage (PV-Fläche)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</si>
  <si>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Thermische Solarkollektoren (SK-Fläche)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</si>
  <si>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Eingabe thermische Gebäudehülle</t>
  </si>
  <si>
    <r>
      <t>Fläche
[m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]</t>
    </r>
  </si>
  <si>
    <t>Übertrag aus anderen Berechnungen</t>
  </si>
  <si>
    <t>Ausmass</t>
  </si>
  <si>
    <t>Grenzwert 1</t>
  </si>
  <si>
    <t>Grenzwert 2</t>
  </si>
  <si>
    <r>
      <t>Aushub [m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</si>
  <si>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>Amortisationszeit</t>
  </si>
  <si>
    <t>Amortisationszeit [a]</t>
  </si>
  <si>
    <t>Graue Energie [MJ/m2 a]</t>
  </si>
  <si>
    <t>Treibhausgasemissionen [kg/m2 a]</t>
  </si>
  <si>
    <t>UBP [Pkt./m2 a]</t>
  </si>
  <si>
    <r>
      <t>UBP 
[Pkt./m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</si>
  <si>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t>Ergebnisse</t>
  </si>
  <si>
    <r>
      <t>UBP [Pkt./m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*a]</t>
    </r>
  </si>
  <si>
    <t>Grenzwertskala</t>
  </si>
  <si>
    <r>
      <t>Treibhausgasemissionen [kg/m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*a]</t>
    </r>
  </si>
  <si>
    <t>Zwischentotal thermische Gebäudehülle</t>
  </si>
  <si>
    <r>
      <t>Berechnung der Grauen Energie, Treibhausgasemissionen und UBP für kleine Wohnbauten (A</t>
    </r>
    <r>
      <rPr>
        <b/>
        <vertAlign val="subscript"/>
        <sz val="12"/>
        <color theme="1"/>
        <rFont val="Arial"/>
        <family val="2"/>
      </rPr>
      <t>E</t>
    </r>
    <r>
      <rPr>
        <b/>
        <sz val="12"/>
        <color theme="1"/>
        <rFont val="Arial"/>
        <family val="2"/>
      </rPr>
      <t xml:space="preserve"> &lt; 500 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</si>
  <si>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r>
      <t>Graue Energie [MJ/m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</si>
  <si>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r>
      <t>Treibhausgasemissionen [Kg/m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</si>
  <si>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r>
      <t>Treibhausgasemissionen [kg/m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A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*a]</t>
    </r>
  </si>
  <si>
    <t>Legende:</t>
  </si>
  <si>
    <t>Auswahlfeld</t>
  </si>
  <si>
    <t>Eingabefeld</t>
  </si>
  <si>
    <t>Nr. BFE Katalog</t>
  </si>
  <si>
    <t>Schrägdach: Sparrenlage mit zwischenliegender Wärmedämmung (Kaltdach)</t>
  </si>
  <si>
    <t>Di01</t>
  </si>
  <si>
    <t>Schichtdicke</t>
  </si>
  <si>
    <t>Lambda</t>
  </si>
  <si>
    <t>D01</t>
  </si>
  <si>
    <t>D10</t>
  </si>
  <si>
    <t>Holzblockwand, Aussenwärmedämmung, Verkleidung</t>
  </si>
  <si>
    <t>W47</t>
  </si>
  <si>
    <t>W01</t>
  </si>
  <si>
    <t>B09</t>
  </si>
  <si>
    <t>Betondecke, Wärmedämmung, Trittschalldämmung, Unterlagsboden</t>
  </si>
  <si>
    <t>Holzelementwand, Faserzementverkleidung</t>
  </si>
  <si>
    <t>W08</t>
  </si>
  <si>
    <t>Sichtbetonwand, Aussenwärmedämmung hinterlüftet</t>
  </si>
  <si>
    <t>W09</t>
  </si>
  <si>
    <t>Wi101</t>
  </si>
  <si>
    <t>Holzelementwand mit zwischenliegender Wärmedämmung</t>
  </si>
  <si>
    <t>W05i</t>
  </si>
  <si>
    <t>Gilt für die Nutzungsart Wohnen</t>
  </si>
  <si>
    <t>Bauteilkonstruktionen thermische Gebäudehülle</t>
  </si>
  <si>
    <t>Bauteile Trennwände, Innenbauteile, Innenwände beheizt</t>
  </si>
  <si>
    <t>Leichtbauständerkonstruktion, Doppelbeplankung</t>
  </si>
  <si>
    <t>Holzständerkonstruktion, gedämmt</t>
  </si>
  <si>
    <t>MB2032_125,039, 125</t>
  </si>
  <si>
    <t>Bauteile Zwischendecken, beheizt</t>
  </si>
  <si>
    <t>BFE_B01, MB2032_125</t>
  </si>
  <si>
    <t>analog VE</t>
  </si>
  <si>
    <t>unbeheizte Bauteile</t>
  </si>
  <si>
    <t>EBF</t>
    <phoneticPr fontId="1" type="noConversion"/>
  </si>
  <si>
    <t>Badewanne</t>
    <phoneticPr fontId="1" type="noConversion"/>
  </si>
  <si>
    <t>Einheit</t>
    <phoneticPr fontId="1" type="noConversion"/>
  </si>
  <si>
    <t>Stk.</t>
    <phoneticPr fontId="1" type="noConversion"/>
  </si>
  <si>
    <t>Duschwanne</t>
    <phoneticPr fontId="1" type="noConversion"/>
  </si>
  <si>
    <t>Einheit</t>
    <phoneticPr fontId="1" type="noConversion"/>
  </si>
  <si>
    <t>Stk.</t>
    <phoneticPr fontId="1" type="noConversion"/>
  </si>
  <si>
    <t>Laufmeter</t>
    <phoneticPr fontId="1" type="noConversion"/>
  </si>
  <si>
    <t>m</t>
    <phoneticPr fontId="1" type="noConversion"/>
  </si>
  <si>
    <t>m</t>
    <phoneticPr fontId="1" type="noConversion"/>
  </si>
  <si>
    <t>Laufmeter</t>
    <phoneticPr fontId="1" type="noConversion"/>
  </si>
  <si>
    <t>Laufmeter</t>
    <phoneticPr fontId="1" type="noConversion"/>
  </si>
  <si>
    <t>UP Einlasskasten NIS Gr 1</t>
    <phoneticPr fontId="1" type="noConversion"/>
  </si>
  <si>
    <t>Minergie</t>
  </si>
  <si>
    <t>Nein</t>
  </si>
  <si>
    <r>
      <t>Geschossfläche GF 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 (GF muss &gt; Ae sein)</t>
    </r>
  </si>
  <si>
    <t>MuKen (SIA 380/1)</t>
  </si>
  <si>
    <t>Aussenwand über Terrain</t>
  </si>
  <si>
    <t>Fenster</t>
  </si>
  <si>
    <t>(Summe von Zwischentotal thermische Gebäudehülle und Zwischentotal Innenbauteile)</t>
  </si>
  <si>
    <t>Erläuterungen zu Zuordnung SIA 380/1 Tabelle 2</t>
  </si>
  <si>
    <t>Herleitung U-Werte in W/m2K</t>
  </si>
  <si>
    <t>opake Bauteile gegen Aussenklima (Dach)</t>
  </si>
  <si>
    <t>opake Bauteile gegen unbeheizte Räume mit Flächenheizung</t>
  </si>
  <si>
    <t>opake Bauteile weniger als 2m im Erdreich (Boden)</t>
  </si>
  <si>
    <t>opake Bauteile gegen Aussenklima (Wand)</t>
  </si>
  <si>
    <t>opake Bauteile weniger als 2m im Erdreich (Wand)</t>
  </si>
  <si>
    <t>Fenster, Fenstertüren</t>
  </si>
  <si>
    <t>Erläuterungen zu Zuordnung SIA 380/1 Tabelle 2a</t>
  </si>
  <si>
    <t>W37</t>
  </si>
  <si>
    <t>Betonwand, Aussendämmung, Sickerplatten</t>
  </si>
  <si>
    <t>B15</t>
  </si>
  <si>
    <t>_Fe</t>
  </si>
  <si>
    <t>Fensterrahmen Kunststoff/PVC (Rahmenfläche)</t>
  </si>
  <si>
    <t>Fensterrahmen Holz-Aluminium (Rahmenfläche)</t>
  </si>
  <si>
    <t>Fensterrahmen Holz (Rahmenfläche)</t>
  </si>
  <si>
    <t>F06</t>
  </si>
  <si>
    <t>Kunststofffenster 3IV</t>
  </si>
  <si>
    <t>Holz-Metall-Fenster 3IV</t>
  </si>
  <si>
    <t>Holzfenster 3IV</t>
  </si>
  <si>
    <t>3-IV Verglasung (Glasfläche)</t>
  </si>
  <si>
    <t>F04</t>
  </si>
  <si>
    <t>F02</t>
  </si>
  <si>
    <t>Wärmedämmung, Betonplatte,  Zementüberzug</t>
  </si>
  <si>
    <t>Anstrich, lösemittelverdünnbar, 2 Anstriche</t>
  </si>
  <si>
    <t>Innenwände beheizt (innerhalb der thermischen Hülle)</t>
  </si>
  <si>
    <t>Haustechnik Mod</t>
  </si>
  <si>
    <t>Eingriffstiefe Mod</t>
  </si>
  <si>
    <t>Typ 1, wenig</t>
  </si>
  <si>
    <t>Typ 2, mittel</t>
  </si>
  <si>
    <t>Typ 3, viel</t>
  </si>
  <si>
    <t>Grundrisstyp_Mod</t>
  </si>
  <si>
    <t>Backstein Mauerwerk, verputzt</t>
  </si>
  <si>
    <t>Allgemeines Neubau</t>
  </si>
  <si>
    <t>Treibhausgas-emissionen [kg/m2 a]</t>
  </si>
  <si>
    <t>keine Massnahmen</t>
  </si>
  <si>
    <t>keine Massnahme</t>
  </si>
  <si>
    <t>Bauteile thermische Gebäudehülle</t>
  </si>
  <si>
    <t>Energiestandard nach Massnahme oder keine thermische Massnahme</t>
  </si>
  <si>
    <t>keine</t>
  </si>
  <si>
    <t>_D_mod</t>
  </si>
  <si>
    <t>_Wü_mod</t>
  </si>
  <si>
    <t>_Wu_mod</t>
  </si>
  <si>
    <t>_Bu_mod</t>
  </si>
  <si>
    <t>_BE_mod</t>
  </si>
  <si>
    <t>_Fe_mod</t>
  </si>
  <si>
    <t xml:space="preserve">W08 </t>
  </si>
  <si>
    <t>keine Abbildung vorhanden in BTK</t>
  </si>
  <si>
    <t>(Wi01)</t>
  </si>
  <si>
    <t>Aussenwand streichen!</t>
  </si>
  <si>
    <t>Einschalenbacksteinmauerwerk, Aussenwärmedämmung verputzt</t>
  </si>
  <si>
    <t>Zweischalenmauerwerk verputzt, Kerndämmung</t>
  </si>
  <si>
    <t>Einschalenbacksteinmauerwerk, Aussenwärmedämmung hinterlüftet</t>
  </si>
  <si>
    <t>Backsteinwand, Holzverkleidung</t>
  </si>
  <si>
    <t xml:space="preserve">Einschalenbacksteinmauerwerk, Aussenwärmedämmung verputzt </t>
  </si>
  <si>
    <t xml:space="preserve">Zweischalenmauerwerk verputzt, Kerndämmung </t>
  </si>
  <si>
    <t xml:space="preserve">Einschalenbacksteinmauerwerk, Aussenwärmedämmung hinterlüftet </t>
  </si>
  <si>
    <t xml:space="preserve">Backsteinwand, Holzverkleidung </t>
  </si>
  <si>
    <t>Eingabe Innenbauteile und Haustechnik</t>
  </si>
  <si>
    <t>Eingabe nicht beheizte Bauteile, Innenbauteile und Haustechnik</t>
  </si>
  <si>
    <t>Werden die Elektroanlagen mehrheitlich ersetzt oder neu eingebaut?</t>
  </si>
  <si>
    <t>Photovoltaik-Anlage (PV-Fläche) [m2]</t>
  </si>
  <si>
    <t>Thermische Solarkollektoren (SK-Fläche) [m2]</t>
  </si>
  <si>
    <t>Opake Wandfläche [m2]</t>
  </si>
  <si>
    <t>Dachfläche [m2]</t>
  </si>
  <si>
    <t>Fenster-/Türfläche [m2]</t>
  </si>
  <si>
    <t>Angabe, ob ein Ersatz der folgenden Anlagen stattfindet:</t>
  </si>
  <si>
    <t>Werden die Sanitäranlagen (inkl. Apparate und Leitungen) mehrheitlich ersetzt oder neu eingebaut?</t>
  </si>
  <si>
    <t>Wird die Abluftanlage Küche/Bad mehrheitlich ersetzt oder neu eingebaut?</t>
  </si>
  <si>
    <t>Wird die gesamte Lüftungsanlage mehrheitlich ersetzt oder neu eingebaut?</t>
  </si>
  <si>
    <t>Wird die Wärmeerzeugung mehrheitlich ersetzt oder neu eingebaut?</t>
  </si>
  <si>
    <t>Wird die Wärmeverteilung mehrheitlich ersetzt oder neu eingebaut?</t>
  </si>
  <si>
    <t>Werden Erdsonden mehrheitlich ersetzt oder neu erstellt?</t>
  </si>
  <si>
    <t>Eingriffstärke Innenwand</t>
  </si>
  <si>
    <t>Detaillierte Angaben zur Eingriffstiefe siehe Anleitung Berechnung Graue Energie</t>
  </si>
  <si>
    <t>Wird das Erdregister der Lüftungsanlage mehrheitlich ersetzt oder neu eingebaut?</t>
  </si>
  <si>
    <t>Das vorliegende Tool ist nur mit Office 2010 oder einer neueren Version bearbeitbar.</t>
  </si>
  <si>
    <t>Innenwand beheizt</t>
  </si>
  <si>
    <t>Anpassungen EFH Neubau</t>
  </si>
  <si>
    <t>Anpassung des Wertes von 0.4m/m2 auf 0.2m/m2</t>
  </si>
  <si>
    <t>Grundrisstyp:</t>
  </si>
  <si>
    <t>Bsp. Tägerwilen hat im OG 0.3m/m2 und im UG einen viel geringeren Wert, da fast keine IW</t>
  </si>
  <si>
    <t>Innenwandkonstruktionen</t>
  </si>
  <si>
    <t xml:space="preserve">keine Anpassungen notwendig. GE der Innenwandkonstruktionen liegen in dem Bereich vom BTK. </t>
  </si>
  <si>
    <t>Vergleich bei THERMO</t>
  </si>
  <si>
    <t>Thermo rechnet nichttragende Innenwände ebenfalls mit einer Lebensdauer von 60 Jahren. Gemäss SIA 2032 ist eine Trennwand nicht tragend mit 30 Jahren anzunehmen (inkl. Bekleidung)</t>
  </si>
  <si>
    <t>Zwischendecken</t>
  </si>
  <si>
    <t>Thermo rechnet den Bodenbelag mit 60 Jahren. Gemäss SIA 2032 ist die Lebensdauer mit 30 Jahren anzusetzen.</t>
  </si>
  <si>
    <t>Rechnet Thermo nur Beton oder auch Stahlbeton?</t>
  </si>
  <si>
    <t>Deckenbekleidung wird auch mit 60 Jahren gerechnet. Intep und BTK haben nur die Tragkonstruktion mit 60 Jahren angenommen.</t>
  </si>
  <si>
    <t xml:space="preserve">keine Anpassungen notwendig.  </t>
  </si>
  <si>
    <t>Zwischendecke und Fundamet: Thermo rechnet nur Beton, Armierungsstahl und Massivholzplatte wird vernachlässig, Intep beachtet diese</t>
  </si>
  <si>
    <t>Aussenwand: Thermo rechnet nur Beton, Armierungsstahl, Massivholzplatte, Holzplatte, Dichtungsbahn, XPS und EPS wird vernachlässig, Intep beachtet diese
Thermo hat auch 60a Lebensdauer</t>
  </si>
  <si>
    <t>Evt. Anpassungen notwendig</t>
  </si>
  <si>
    <t>Flachdach Holzbalkendecke verwendet andere Materialien als Thermo's Flachdach inhomogen</t>
  </si>
  <si>
    <t>Thermo und Tool verwenden unterschiedliche Materialien für eine Backsteinwand, Holzverkleidung</t>
  </si>
  <si>
    <t>Boden gegen unbeheitzt</t>
  </si>
  <si>
    <t>Thermo und Tool verwenden unterschiedliche Materialien für eine Betondecke, Wärmedämmung, Trittschalldämmung, Unterlagsboden</t>
  </si>
  <si>
    <t>Anpassen des Rahmen- bzw. Glasanteils
vorher: 0.254:0.746
neu: 0.15:0.85</t>
  </si>
  <si>
    <t>Beim Beispiel Tägerwilen wurden angenommen, das 15% Rahmenanteil ist und 85% Verglasung. Diese Annahmen wurden nun für alle Fensterkonstruktionen übernommen.</t>
  </si>
  <si>
    <t>Andere Lebensdauern verwendet</t>
  </si>
  <si>
    <t xml:space="preserve">Anpassung Muken vorgenommen, keine 2IV Verglasung mehr wählbar </t>
  </si>
  <si>
    <t>B18</t>
  </si>
  <si>
    <t>Betondecke, Wärmedämmung, Trittschalldämmung, Unterlagsboden mit Bodenheizung</t>
  </si>
  <si>
    <t>Acrylnitril-Butadien-Styrol (ABS)</t>
  </si>
  <si>
    <t>neuer Bodentyp B18</t>
  </si>
  <si>
    <t>B10</t>
  </si>
  <si>
    <t>Betondecke, Wärmedämmung, Trittschalldämmung, Unterlagsboden inklusive Deckendämmung</t>
  </si>
  <si>
    <t>neuer Bodentyp B10</t>
  </si>
  <si>
    <t>Flachdach: Betondecke (Warmdach), Dämmung: Schaumglas</t>
  </si>
  <si>
    <t>Flachdach: Betondecke (Warmdach), Dämmung: EPS</t>
  </si>
  <si>
    <t>Flachdach: Holzbalkendecke (Warmdach), Dämmung: Schaumglas</t>
  </si>
  <si>
    <t>Flachdach: Betondecke (Warmdach), Dämmung EPS</t>
  </si>
  <si>
    <t>Flachdach: Holzbalkendecke (Warmdach), Dämmung: EPS</t>
  </si>
  <si>
    <t>neue Dachkonstruktionen mit Schaumglasdämmung</t>
  </si>
  <si>
    <t>Bodenfläche beheizt-gegen-unbeheizt AFu 
(AFu muss ≤ Ae sein)</t>
  </si>
  <si>
    <t>Bodenfläche beheizt-gegen-unbeheizt AFu [m2] (AFu muss &lt; Ae sein)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</si>
</sst>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64" formatCode="00"/>
    <numFmt numFmtId="165" formatCode="00.000"/>
    <numFmt numFmtId="166" formatCode="0.0"/>
    <numFmt numFmtId="167" formatCode="0.000"/>
    <numFmt numFmtId="168" formatCode="0.0000"/>
    <numFmt numFmtId="169" formatCode="0.00000"/>
    <numFmt numFmtId="170" formatCode="_(* #,##0_);_(* \(#,##0\);_(* &quot;-&quot;_);_(@_)"/>
    <numFmt numFmtId="171" formatCode="_(* #,##0.00_);_(* \(#,##0.00\);_(* &quot;-&quot;??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#,##0.0&quot; dt&quot;;[Red]#,##0.0&quot; dt&quot;"/>
    <numFmt numFmtId="175" formatCode="_ [$€-2]\ * #,##0.00_ ;_ [$€-2]\ * \-#,##0.00_ ;_ [$€-2]\ * &quot;-&quot;??_ "/>
    <numFmt numFmtId="176" formatCode="#,##0&quot; kg&quot;;[Red]#,##0&quot; kg&quot;"/>
    <numFmt numFmtId="177" formatCode="#,##0&quot; Liter&quot;;[Red]#,##0&quot; Liter&quot;"/>
    <numFmt numFmtId="178" formatCode="#,##0&quot; m2&quot;;[Red]#,##0&quot; m2&quot;"/>
    <numFmt numFmtId="179" formatCode="#,##0&quot; m2a&quot;;[Red]#,##0&quot; m2a&quot;"/>
    <numFmt numFmtId="180" formatCode="#,##0.0&quot; m3&quot;;[Red]#,##0.0&quot; m3&quot;"/>
    <numFmt numFmtId="181" formatCode="0.00E+0;[=0]&quot;0&quot;;General"/>
    <numFmt numFmtId="182" formatCode="0.00%;[=0]&quot;0&quot;;General"/>
    <numFmt numFmtId="183" formatCode="0.0%;[=0]&quot;0%&quot;;0.0%"/>
    <numFmt numFmtId="184" formatCode="0.0%"/>
    <numFmt numFmtId="185" formatCode="[=0]&quot;&quot;;General"/>
    <numFmt numFmtId="186" formatCode="0.0E+0;[=0]&quot;-&quot;;0.0E+0"/>
    <numFmt numFmtId="187" formatCode="0.00E+0;[=0]&quot;-&quot;;0.00E+0"/>
    <numFmt numFmtId="188" formatCode="#,##0.0&quot; ZKh&quot;;[Red]#,##0.0&quot; ZKh&quot;"/>
    <numFmt numFmtId="189" formatCode="#,##0.0"/>
    <numFmt numFmtId="190" formatCode="#,##0.000"/>
    <numFmt numFmtId="191" formatCode="#,##0.0000"/>
    <numFmt numFmtId="192" formatCode="0.000000"/>
  </numFmts>
  <fonts count="106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color indexed="9"/>
      <name val="Arial"/>
      <family val="2"/>
    </font>
    <font>
      <b/>
      <sz val="16"/>
      <color rgb="FFFF0000"/>
      <name val="Arial"/>
      <family val="2"/>
    </font>
    <font>
      <sz val="16"/>
      <color indexed="9"/>
      <name val="Arial"/>
      <family val="2"/>
    </font>
    <font>
      <b/>
      <i/>
      <sz val="16"/>
      <color indexed="9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color rgb="FFC0000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10"/>
      <color rgb="FFFF0000"/>
      <name val="Arial"/>
      <family val="2"/>
    </font>
    <font>
      <i/>
      <sz val="8"/>
      <color rgb="FFFF0000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Helvetica"/>
      <family val="2"/>
    </font>
    <font>
      <b/>
      <sz val="9"/>
      <name val="Times New Roman"/>
      <family val="1"/>
    </font>
    <font>
      <sz val="10"/>
      <color indexed="8"/>
      <name val="MS Sans Serif"/>
      <family val="2"/>
    </font>
    <font>
      <sz val="7"/>
      <name val="Helvetica"/>
      <family val="2"/>
    </font>
    <font>
      <sz val="9"/>
      <name val="Helv"/>
    </font>
    <font>
      <b/>
      <sz val="12"/>
      <name val="Times New Roman"/>
      <family val="1"/>
    </font>
    <font>
      <sz val="10"/>
      <name val="Helv"/>
    </font>
    <font>
      <sz val="9"/>
      <name val="Helv"/>
      <family val="2"/>
    </font>
    <font>
      <sz val="10"/>
      <name val="Trebuchet MS"/>
      <family val="2"/>
    </font>
    <font>
      <sz val="8"/>
      <name val="Helvetica"/>
      <family val="2"/>
    </font>
    <font>
      <sz val="10"/>
      <name val="Helv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IN-Regular"/>
      <family val="2"/>
    </font>
    <font>
      <sz val="10"/>
      <name val="DIN-Regular"/>
      <family val="3"/>
    </font>
    <font>
      <vertAlign val="superscript"/>
      <sz val="10"/>
      <name val="DIN-Regular"/>
      <family val="2"/>
    </font>
    <font>
      <vertAlign val="subscript"/>
      <sz val="10"/>
      <name val="DIN-Regular"/>
      <family val="2"/>
    </font>
    <font>
      <sz val="10"/>
      <name val="DIN-Bold"/>
      <family val="2"/>
    </font>
    <font>
      <sz val="10"/>
      <color rgb="FFFF0000"/>
      <name val="DIN-Regular"/>
      <family val="2"/>
    </font>
    <font>
      <b/>
      <sz val="10"/>
      <name val="DIN-Regular"/>
      <family val="2"/>
    </font>
    <font>
      <sz val="20"/>
      <color rgb="FFFF0000"/>
      <name val="DIN-Regular"/>
      <family val="2"/>
    </font>
    <font>
      <vertAlign val="subscript"/>
      <sz val="10"/>
      <name val="Arial"/>
      <family val="2"/>
    </font>
    <font>
      <sz val="10"/>
      <color rgb="FF0070C0"/>
      <name val="Arial"/>
      <family val="2"/>
    </font>
    <font>
      <b/>
      <sz val="10"/>
      <color theme="5" tint="-0.499984740745262"/>
      <name val="DIN-Regular"/>
      <family val="2"/>
    </font>
    <font>
      <sz val="18"/>
      <color theme="0"/>
      <name val="DIN-Regular"/>
      <family val="2"/>
    </font>
    <font>
      <sz val="18"/>
      <name val="DIN-Regular"/>
      <family val="2"/>
    </font>
    <font>
      <sz val="7"/>
      <name val="DIN-Regular"/>
      <family val="2"/>
    </font>
    <font>
      <sz val="10"/>
      <color indexed="10"/>
      <name val="DIN-Regular"/>
      <family val="2"/>
    </font>
    <font>
      <sz val="12"/>
      <name val="DIN-Regular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10"/>
      <color rgb="FFC00000"/>
      <name val="Arial"/>
      <family val="2"/>
    </font>
    <font>
      <b/>
      <i/>
      <sz val="9"/>
      <color rgb="FFC00000"/>
      <name val="Arial"/>
      <family val="2"/>
    </font>
    <font>
      <b/>
      <sz val="8"/>
      <color rgb="FFFF0000"/>
      <name val="Arial"/>
      <family val="2"/>
    </font>
    <font>
      <i/>
      <sz val="12"/>
      <color indexed="9"/>
      <name val="Arial"/>
      <family val="2"/>
    </font>
    <font>
      <sz val="12"/>
      <color indexed="9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0"/>
      <color rgb="FFFF0000"/>
      <name val="DIN-Regular"/>
      <family val="2"/>
    </font>
    <font>
      <b/>
      <vertAlign val="superscript"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DIN-Regular"/>
      <family val="2"/>
    </font>
    <font>
      <sz val="9"/>
      <color theme="4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33CC33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8000"/>
        <bgColor indexed="64"/>
      </patternFill>
    </fill>
  </fills>
  <borders count="10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8" fillId="0" borderId="0"/>
    <xf numFmtId="49" fontId="41" fillId="0" borderId="15" applyNumberFormat="0" applyFont="0" applyFill="0" applyBorder="0" applyProtection="0">
      <alignment horizontal="left" vertical="center" indent="2"/>
    </xf>
    <xf numFmtId="49" fontId="41" fillId="0" borderId="16" applyNumberFormat="0" applyFont="0" applyFill="0" applyBorder="0" applyProtection="0">
      <alignment horizontal="left" vertical="center" indent="5"/>
    </xf>
    <xf numFmtId="0" fontId="42" fillId="6" borderId="0">
      <alignment horizontal="left" vertical="center"/>
    </xf>
    <xf numFmtId="4" fontId="43" fillId="0" borderId="17" applyFill="0" applyBorder="0" applyProtection="0">
      <alignment horizontal="right" vertical="center"/>
    </xf>
    <xf numFmtId="170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45" fillId="0" borderId="0">
      <alignment vertical="center"/>
    </xf>
    <xf numFmtId="17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4" fontId="46" fillId="0" borderId="0"/>
    <xf numFmtId="0" fontId="42" fillId="7" borderId="0">
      <alignment horizontal="center" vertical="center" wrapText="1"/>
    </xf>
    <xf numFmtId="175" fontId="3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176" fontId="46" fillId="0" borderId="0"/>
    <xf numFmtId="177" fontId="48" fillId="0" borderId="0"/>
    <xf numFmtId="0" fontId="42" fillId="8" borderId="0">
      <alignment horizontal="left" vertical="center"/>
    </xf>
    <xf numFmtId="178" fontId="48" fillId="0" borderId="0"/>
    <xf numFmtId="179" fontId="46" fillId="0" borderId="0"/>
    <xf numFmtId="180" fontId="48" fillId="0" borderId="0"/>
    <xf numFmtId="181" fontId="46" fillId="0" borderId="0" applyAlignment="0">
      <alignment wrapText="1"/>
    </xf>
    <xf numFmtId="182" fontId="46" fillId="0" borderId="0"/>
    <xf numFmtId="181" fontId="46" fillId="0" borderId="0"/>
    <xf numFmtId="4" fontId="41" fillId="0" borderId="15" applyFill="0" applyBorder="0" applyProtection="0">
      <alignment horizontal="right" vertical="center"/>
    </xf>
    <xf numFmtId="49" fontId="43" fillId="0" borderId="15" applyNumberFormat="0" applyFill="0" applyBorder="0" applyProtection="0">
      <alignment horizontal="left" vertical="center"/>
    </xf>
    <xf numFmtId="0" fontId="41" fillId="0" borderId="15" applyNumberFormat="0" applyFill="0" applyAlignment="0" applyProtection="0"/>
    <xf numFmtId="0" fontId="44" fillId="0" borderId="0"/>
    <xf numFmtId="183" fontId="1" fillId="0" borderId="0"/>
    <xf numFmtId="184" fontId="1" fillId="3" borderId="0">
      <alignment horizontal="center" vertical="center"/>
    </xf>
    <xf numFmtId="185" fontId="49" fillId="0" borderId="0">
      <alignment horizontal="center" vertical="center"/>
    </xf>
    <xf numFmtId="0" fontId="50" fillId="9" borderId="0">
      <alignment vertical="center" wrapText="1"/>
    </xf>
    <xf numFmtId="185" fontId="51" fillId="0" borderId="0">
      <alignment horizontal="center" vertical="center"/>
    </xf>
    <xf numFmtId="0" fontId="42" fillId="10" borderId="0">
      <alignment horizontal="left" vertical="center"/>
    </xf>
    <xf numFmtId="11" fontId="46" fillId="0" borderId="0"/>
    <xf numFmtId="11" fontId="36" fillId="0" borderId="0">
      <alignment horizontal="center" vertical="center" wrapText="1"/>
    </xf>
    <xf numFmtId="186" fontId="52" fillId="0" borderId="0">
      <alignment horizontal="center" vertical="center"/>
    </xf>
    <xf numFmtId="187" fontId="1" fillId="0" borderId="0">
      <alignment horizontal="center" vertical="center"/>
    </xf>
    <xf numFmtId="188" fontId="48" fillId="0" borderId="0"/>
    <xf numFmtId="0" fontId="59" fillId="0" borderId="0"/>
    <xf numFmtId="43" fontId="1" fillId="0" borderId="0" applyFont="0" applyFill="0" applyBorder="0" applyAlignment="0" applyProtection="0"/>
    <xf numFmtId="0" fontId="98" fillId="0" borderId="0" applyNumberFormat="0" applyFill="0" applyBorder="0" applyAlignment="0" applyProtection="0"/>
  </cellStyleXfs>
  <cellXfs count="1203">
    <xf numFmtId="0" fontId="0" fillId="0" borderId="0" xfId="0"/>
    <xf numFmtId="0" fontId="2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right"/>
    </xf>
    <xf numFmtId="0" fontId="5" fillId="0" borderId="0" xfId="1" applyFont="1"/>
    <xf numFmtId="0" fontId="7" fillId="2" borderId="0" xfId="1" applyFont="1" applyFill="1" applyBorder="1" applyAlignment="1"/>
    <xf numFmtId="0" fontId="9" fillId="2" borderId="4" xfId="2" applyFont="1" applyFill="1" applyBorder="1" applyAlignment="1">
      <alignment horizontal="left"/>
    </xf>
    <xf numFmtId="0" fontId="10" fillId="2" borderId="5" xfId="2" applyFont="1" applyFill="1" applyBorder="1" applyAlignment="1">
      <alignment horizontal="left"/>
    </xf>
    <xf numFmtId="0" fontId="11" fillId="2" borderId="0" xfId="1" applyFont="1" applyFill="1" applyBorder="1" applyAlignment="1"/>
    <xf numFmtId="0" fontId="12" fillId="2" borderId="0" xfId="1" applyFont="1" applyFill="1" applyBorder="1" applyAlignment="1"/>
    <xf numFmtId="0" fontId="13" fillId="2" borderId="6" xfId="1" applyFont="1" applyFill="1" applyBorder="1" applyAlignment="1">
      <alignment horizontal="right"/>
    </xf>
    <xf numFmtId="0" fontId="11" fillId="0" borderId="0" xfId="1" applyFont="1"/>
    <xf numFmtId="0" fontId="14" fillId="0" borderId="0" xfId="1" applyFont="1"/>
    <xf numFmtId="0" fontId="1" fillId="0" borderId="0" xfId="1" applyFont="1"/>
    <xf numFmtId="0" fontId="18" fillId="3" borderId="11" xfId="1" applyFont="1" applyFill="1" applyBorder="1" applyAlignment="1">
      <alignment horizontal="center" vertical="top" wrapText="1"/>
    </xf>
    <xf numFmtId="0" fontId="18" fillId="3" borderId="0" xfId="1" applyFont="1" applyFill="1" applyBorder="1" applyAlignment="1">
      <alignment horizontal="center" vertical="top" wrapText="1"/>
    </xf>
    <xf numFmtId="0" fontId="18" fillId="3" borderId="9" xfId="1" applyFont="1" applyFill="1" applyBorder="1" applyAlignment="1">
      <alignment horizontal="center" vertical="top" wrapText="1"/>
    </xf>
    <xf numFmtId="0" fontId="23" fillId="0" borderId="0" xfId="1" applyFont="1"/>
    <xf numFmtId="0" fontId="24" fillId="0" borderId="10" xfId="1" applyFont="1" applyFill="1" applyBorder="1" applyAlignment="1">
      <alignment vertical="top" wrapText="1"/>
    </xf>
    <xf numFmtId="0" fontId="25" fillId="3" borderId="7" xfId="1" applyFont="1" applyFill="1" applyBorder="1" applyAlignment="1">
      <alignment horizontal="center" vertical="top" wrapText="1"/>
    </xf>
    <xf numFmtId="0" fontId="26" fillId="3" borderId="7" xfId="1" applyFont="1" applyFill="1" applyBorder="1" applyAlignment="1">
      <alignment horizontal="center" vertical="top" wrapText="1"/>
    </xf>
    <xf numFmtId="0" fontId="25" fillId="0" borderId="7" xfId="1" applyFont="1" applyFill="1" applyBorder="1" applyAlignment="1">
      <alignment horizontal="center" vertical="top" wrapText="1"/>
    </xf>
    <xf numFmtId="0" fontId="26" fillId="0" borderId="7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left" vertical="center" wrapText="1"/>
    </xf>
    <xf numFmtId="0" fontId="22" fillId="0" borderId="0" xfId="1" applyFont="1" applyAlignment="1">
      <alignment vertical="center"/>
    </xf>
    <xf numFmtId="0" fontId="27" fillId="3" borderId="10" xfId="1" applyFont="1" applyFill="1" applyBorder="1" applyAlignment="1">
      <alignment horizontal="center" vertical="top" wrapText="1"/>
    </xf>
    <xf numFmtId="0" fontId="26" fillId="3" borderId="10" xfId="1" applyFont="1" applyFill="1" applyBorder="1" applyAlignment="1">
      <alignment horizontal="center" vertical="top" wrapText="1"/>
    </xf>
    <xf numFmtId="0" fontId="27" fillId="0" borderId="10" xfId="1" applyFont="1" applyFill="1" applyBorder="1" applyAlignment="1">
      <alignment horizontal="center" vertical="top" wrapText="1"/>
    </xf>
    <xf numFmtId="0" fontId="28" fillId="0" borderId="10" xfId="1" applyFont="1" applyFill="1" applyBorder="1" applyAlignment="1">
      <alignment horizontal="center" vertical="top" wrapText="1"/>
    </xf>
    <xf numFmtId="0" fontId="26" fillId="0" borderId="0" xfId="1" applyFont="1" applyAlignment="1">
      <alignment vertical="center"/>
    </xf>
    <xf numFmtId="0" fontId="24" fillId="0" borderId="12" xfId="1" applyFont="1" applyFill="1" applyBorder="1" applyAlignment="1">
      <alignment vertical="top" wrapText="1"/>
    </xf>
    <xf numFmtId="0" fontId="8" fillId="0" borderId="10" xfId="2" applyBorder="1" applyAlignment="1">
      <alignment horizontal="center" wrapText="1"/>
    </xf>
    <xf numFmtId="0" fontId="26" fillId="3" borderId="12" xfId="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left" vertical="center" wrapText="1"/>
    </xf>
    <xf numFmtId="164" fontId="14" fillId="4" borderId="8" xfId="1" applyNumberFormat="1" applyFont="1" applyFill="1" applyBorder="1" applyAlignment="1">
      <alignment vertical="center" wrapText="1"/>
    </xf>
    <xf numFmtId="0" fontId="29" fillId="4" borderId="8" xfId="1" applyFont="1" applyFill="1" applyBorder="1" applyAlignment="1">
      <alignment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31" fillId="4" borderId="8" xfId="1" applyFont="1" applyFill="1" applyBorder="1" applyAlignment="1">
      <alignment vertical="center" wrapText="1"/>
    </xf>
    <xf numFmtId="0" fontId="31" fillId="5" borderId="8" xfId="1" applyFont="1" applyFill="1" applyBorder="1" applyAlignment="1">
      <alignment vertical="center" wrapText="1"/>
    </xf>
    <xf numFmtId="0" fontId="29" fillId="4" borderId="8" xfId="1" applyNumberFormat="1" applyFont="1" applyFill="1" applyBorder="1" applyAlignment="1">
      <alignment horizontal="center" vertical="center" wrapText="1"/>
    </xf>
    <xf numFmtId="0" fontId="1" fillId="4" borderId="8" xfId="1" applyNumberFormat="1" applyFont="1" applyFill="1" applyBorder="1" applyAlignment="1">
      <alignment horizontal="center" vertical="center" wrapText="1"/>
    </xf>
    <xf numFmtId="0" fontId="31" fillId="4" borderId="13" xfId="1" applyFont="1" applyFill="1" applyBorder="1" applyAlignment="1">
      <alignment horizontal="left" vertical="center" wrapText="1"/>
    </xf>
    <xf numFmtId="0" fontId="1" fillId="0" borderId="0" xfId="1"/>
    <xf numFmtId="0" fontId="1" fillId="0" borderId="0" xfId="1" applyFont="1" applyAlignment="1">
      <alignment vertical="center"/>
    </xf>
    <xf numFmtId="165" fontId="23" fillId="0" borderId="0" xfId="1" applyNumberFormat="1" applyFont="1" applyAlignment="1">
      <alignment vertical="center"/>
    </xf>
    <xf numFmtId="0" fontId="1" fillId="0" borderId="8" xfId="1" applyFont="1" applyFill="1" applyBorder="1" applyAlignment="1">
      <alignment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166" fontId="29" fillId="5" borderId="8" xfId="1" applyNumberFormat="1" applyFont="1" applyFill="1" applyBorder="1" applyAlignment="1">
      <alignment horizontal="center" vertical="center" wrapText="1"/>
    </xf>
    <xf numFmtId="166" fontId="1" fillId="5" borderId="8" xfId="1" applyNumberFormat="1" applyFont="1" applyFill="1" applyBorder="1" applyAlignment="1">
      <alignment horizontal="center" vertical="center" wrapText="1"/>
    </xf>
    <xf numFmtId="167" fontId="29" fillId="0" borderId="8" xfId="1" applyNumberFormat="1" applyFont="1" applyFill="1" applyBorder="1" applyAlignment="1">
      <alignment horizontal="center" vertical="center" wrapText="1"/>
    </xf>
    <xf numFmtId="167" fontId="1" fillId="0" borderId="8" xfId="1" applyNumberFormat="1" applyFont="1" applyFill="1" applyBorder="1" applyAlignment="1">
      <alignment horizontal="center" vertical="center" wrapText="1"/>
    </xf>
    <xf numFmtId="168" fontId="29" fillId="0" borderId="8" xfId="1" applyNumberFormat="1" applyFont="1" applyFill="1" applyBorder="1" applyAlignment="1">
      <alignment horizontal="center" vertical="center" wrapText="1"/>
    </xf>
    <xf numFmtId="168" fontId="1" fillId="0" borderId="8" xfId="1" applyNumberFormat="1" applyFont="1" applyFill="1" applyBorder="1" applyAlignment="1">
      <alignment horizontal="center" vertical="center" wrapText="1"/>
    </xf>
    <xf numFmtId="169" fontId="1" fillId="0" borderId="8" xfId="1" applyNumberFormat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horizontal="left" vertical="center" wrapText="1"/>
    </xf>
    <xf numFmtId="1" fontId="29" fillId="5" borderId="8" xfId="1" applyNumberFormat="1" applyFont="1" applyFill="1" applyBorder="1" applyAlignment="1">
      <alignment horizontal="center" vertical="center" wrapText="1"/>
    </xf>
    <xf numFmtId="1" fontId="1" fillId="5" borderId="8" xfId="1" applyNumberFormat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" fillId="5" borderId="8" xfId="1" applyFont="1" applyFill="1" applyBorder="1" applyAlignment="1">
      <alignment horizontal="center" vertical="center" wrapText="1"/>
    </xf>
    <xf numFmtId="167" fontId="29" fillId="4" borderId="8" xfId="1" applyNumberFormat="1" applyFont="1" applyFill="1" applyBorder="1" applyAlignment="1">
      <alignment horizontal="center" vertical="center" wrapText="1"/>
    </xf>
    <xf numFmtId="167" fontId="1" fillId="4" borderId="8" xfId="1" applyNumberFormat="1" applyFont="1" applyFill="1" applyBorder="1" applyAlignment="1">
      <alignment horizontal="center" vertical="center" wrapText="1"/>
    </xf>
    <xf numFmtId="2" fontId="29" fillId="0" borderId="8" xfId="1" applyNumberFormat="1" applyFont="1" applyFill="1" applyBorder="1" applyAlignment="1">
      <alignment horizontal="center" vertical="center" wrapText="1"/>
    </xf>
    <xf numFmtId="2" fontId="1" fillId="0" borderId="8" xfId="1" applyNumberFormat="1" applyFont="1" applyFill="1" applyBorder="1" applyAlignment="1">
      <alignment horizontal="center" vertical="center" wrapText="1"/>
    </xf>
    <xf numFmtId="166" fontId="29" fillId="0" borderId="8" xfId="1" applyNumberFormat="1" applyFont="1" applyFill="1" applyBorder="1" applyAlignment="1">
      <alignment horizontal="center" vertical="center" wrapText="1"/>
    </xf>
    <xf numFmtId="166" fontId="1" fillId="0" borderId="8" xfId="1" applyNumberFormat="1" applyFont="1" applyFill="1" applyBorder="1" applyAlignment="1">
      <alignment horizontal="center" vertical="center" wrapText="1"/>
    </xf>
    <xf numFmtId="0" fontId="23" fillId="0" borderId="8" xfId="1" applyNumberFormat="1" applyFont="1" applyFill="1" applyBorder="1" applyAlignment="1">
      <alignment vertical="center" wrapText="1"/>
    </xf>
    <xf numFmtId="0" fontId="23" fillId="0" borderId="8" xfId="1" applyNumberFormat="1" applyFont="1" applyFill="1" applyBorder="1" applyAlignment="1">
      <alignment horizontal="center" vertical="center" wrapText="1"/>
    </xf>
    <xf numFmtId="0" fontId="14" fillId="5" borderId="8" xfId="1" applyNumberFormat="1" applyFont="1" applyFill="1" applyBorder="1" applyAlignment="1">
      <alignment horizontal="center" vertical="center" wrapText="1"/>
    </xf>
    <xf numFmtId="166" fontId="23" fillId="5" borderId="8" xfId="1" applyNumberFormat="1" applyFont="1" applyFill="1" applyBorder="1" applyAlignment="1">
      <alignment horizontal="center" vertical="center" wrapText="1"/>
    </xf>
    <xf numFmtId="0" fontId="23" fillId="5" borderId="8" xfId="1" applyNumberFormat="1" applyFont="1" applyFill="1" applyBorder="1" applyAlignment="1">
      <alignment horizontal="center" vertical="center" wrapText="1"/>
    </xf>
    <xf numFmtId="2" fontId="14" fillId="0" borderId="8" xfId="1" applyNumberFormat="1" applyFont="1" applyFill="1" applyBorder="1" applyAlignment="1">
      <alignment horizontal="center" vertical="center" wrapText="1"/>
    </xf>
    <xf numFmtId="167" fontId="23" fillId="0" borderId="8" xfId="1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33" fillId="0" borderId="13" xfId="1" applyNumberFormat="1" applyFont="1" applyFill="1" applyBorder="1" applyAlignment="1">
      <alignment horizontal="left" vertical="center" wrapText="1"/>
    </xf>
    <xf numFmtId="0" fontId="23" fillId="0" borderId="0" xfId="1" applyNumberFormat="1" applyFont="1"/>
    <xf numFmtId="0" fontId="23" fillId="0" borderId="0" xfId="1" applyNumberFormat="1" applyFont="1" applyAlignment="1">
      <alignment vertical="center"/>
    </xf>
    <xf numFmtId="0" fontId="1" fillId="0" borderId="0" xfId="1" applyNumberFormat="1" applyFont="1" applyAlignment="1">
      <alignment vertical="center"/>
    </xf>
    <xf numFmtId="0" fontId="23" fillId="0" borderId="0" xfId="1" applyFont="1" applyAlignment="1">
      <alignment vertical="center"/>
    </xf>
    <xf numFmtId="0" fontId="1" fillId="0" borderId="0" xfId="1" applyAlignment="1"/>
    <xf numFmtId="2" fontId="1" fillId="4" borderId="8" xfId="1" applyNumberFormat="1" applyFont="1" applyFill="1" applyBorder="1" applyAlignment="1">
      <alignment horizontal="center" vertical="center" wrapText="1"/>
    </xf>
    <xf numFmtId="1" fontId="29" fillId="0" borderId="8" xfId="1" applyNumberFormat="1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1" fillId="5" borderId="8" xfId="1" applyNumberFormat="1" applyFont="1" applyFill="1" applyBorder="1" applyAlignment="1">
      <alignment horizontal="center" vertical="center" wrapText="1"/>
    </xf>
    <xf numFmtId="0" fontId="29" fillId="5" borderId="8" xfId="1" applyFont="1" applyFill="1" applyBorder="1" applyAlignment="1">
      <alignment vertical="center" wrapText="1"/>
    </xf>
    <xf numFmtId="167" fontId="31" fillId="4" borderId="8" xfId="1" applyNumberFormat="1" applyFont="1" applyFill="1" applyBorder="1" applyAlignment="1">
      <alignment vertical="center" wrapText="1"/>
    </xf>
    <xf numFmtId="2" fontId="31" fillId="4" borderId="8" xfId="1" applyNumberFormat="1" applyFont="1" applyFill="1" applyBorder="1" applyAlignment="1">
      <alignment vertical="center" wrapText="1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31" fillId="4" borderId="13" xfId="1" applyFont="1" applyFill="1" applyBorder="1" applyAlignment="1">
      <alignment horizontal="left" vertical="center"/>
    </xf>
    <xf numFmtId="0" fontId="36" fillId="0" borderId="14" xfId="1" applyFont="1" applyFill="1" applyBorder="1" applyAlignment="1">
      <alignment vertical="center" wrapText="1"/>
    </xf>
    <xf numFmtId="0" fontId="29" fillId="5" borderId="8" xfId="1" applyNumberFormat="1" applyFont="1" applyFill="1" applyBorder="1" applyAlignment="1">
      <alignment horizontal="center" vertical="center" wrapText="1"/>
    </xf>
    <xf numFmtId="0" fontId="29" fillId="0" borderId="8" xfId="1" applyNumberFormat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left" vertical="center" wrapText="1"/>
    </xf>
    <xf numFmtId="1" fontId="23" fillId="0" borderId="8" xfId="1" applyNumberFormat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vertical="center" wrapText="1"/>
    </xf>
    <xf numFmtId="166" fontId="23" fillId="0" borderId="8" xfId="1" applyNumberFormat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left" vertical="center" wrapText="1"/>
    </xf>
    <xf numFmtId="165" fontId="23" fillId="0" borderId="0" xfId="1" applyNumberFormat="1" applyFont="1" applyFill="1" applyAlignment="1">
      <alignment vertical="center"/>
    </xf>
    <xf numFmtId="1" fontId="14" fillId="0" borderId="8" xfId="1" applyNumberFormat="1" applyFont="1" applyFill="1" applyBorder="1" applyAlignment="1">
      <alignment horizontal="center" vertical="center" wrapText="1"/>
    </xf>
    <xf numFmtId="166" fontId="14" fillId="0" borderId="8" xfId="1" applyNumberFormat="1" applyFont="1" applyFill="1" applyBorder="1" applyAlignment="1">
      <alignment horizontal="center" vertical="center" wrapText="1"/>
    </xf>
    <xf numFmtId="167" fontId="14" fillId="0" borderId="8" xfId="1" applyNumberFormat="1" applyFont="1" applyFill="1" applyBorder="1" applyAlignment="1">
      <alignment horizontal="center" vertical="center" wrapText="1"/>
    </xf>
    <xf numFmtId="168" fontId="23" fillId="0" borderId="8" xfId="1" applyNumberFormat="1" applyFont="1" applyFill="1" applyBorder="1" applyAlignment="1">
      <alignment horizontal="center" vertical="center" wrapText="1"/>
    </xf>
    <xf numFmtId="0" fontId="39" fillId="0" borderId="13" xfId="1" applyFont="1" applyFill="1" applyBorder="1" applyAlignment="1">
      <alignment horizontal="left" vertical="center" wrapText="1"/>
    </xf>
    <xf numFmtId="2" fontId="23" fillId="0" borderId="8" xfId="1" applyNumberFormat="1" applyFont="1" applyFill="1" applyBorder="1" applyAlignment="1">
      <alignment horizontal="center" vertical="center" wrapText="1"/>
    </xf>
    <xf numFmtId="1" fontId="14" fillId="5" borderId="8" xfId="1" applyNumberFormat="1" applyFont="1" applyFill="1" applyBorder="1" applyAlignment="1">
      <alignment horizontal="center" vertical="center" wrapText="1"/>
    </xf>
    <xf numFmtId="1" fontId="23" fillId="5" borderId="8" xfId="1" applyNumberFormat="1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166" fontId="29" fillId="4" borderId="8" xfId="1" applyNumberFormat="1" applyFont="1" applyFill="1" applyBorder="1" applyAlignment="1">
      <alignment horizontal="center" vertical="center" wrapText="1"/>
    </xf>
    <xf numFmtId="0" fontId="32" fillId="0" borderId="13" xfId="1" applyFont="1" applyFill="1" applyBorder="1" applyAlignment="1">
      <alignment vertical="center" wrapText="1"/>
    </xf>
    <xf numFmtId="0" fontId="29" fillId="0" borderId="0" xfId="1" applyFont="1"/>
    <xf numFmtId="0" fontId="14" fillId="0" borderId="0" xfId="1" applyFont="1" applyAlignment="1">
      <alignment horizontal="center"/>
    </xf>
    <xf numFmtId="167" fontId="1" fillId="0" borderId="0" xfId="1" applyNumberFormat="1" applyFont="1"/>
    <xf numFmtId="0" fontId="32" fillId="0" borderId="0" xfId="1" applyFont="1" applyAlignment="1">
      <alignment horizontal="left"/>
    </xf>
    <xf numFmtId="0" fontId="54" fillId="0" borderId="0" xfId="0" applyFont="1"/>
    <xf numFmtId="0" fontId="55" fillId="0" borderId="0" xfId="0" applyFont="1"/>
    <xf numFmtId="0" fontId="55" fillId="0" borderId="20" xfId="0" applyFont="1" applyBorder="1"/>
    <xf numFmtId="0" fontId="55" fillId="0" borderId="22" xfId="0" applyFont="1" applyBorder="1"/>
    <xf numFmtId="0" fontId="55" fillId="0" borderId="23" xfId="0" applyFont="1" applyBorder="1"/>
    <xf numFmtId="0" fontId="55" fillId="14" borderId="21" xfId="0" applyFont="1" applyFill="1" applyBorder="1"/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6" xfId="0" applyBorder="1" applyAlignment="1">
      <alignment wrapText="1"/>
    </xf>
    <xf numFmtId="0" fontId="0" fillId="11" borderId="21" xfId="0" applyFill="1" applyBorder="1" applyAlignment="1">
      <alignment wrapText="1"/>
    </xf>
    <xf numFmtId="0" fontId="0" fillId="11" borderId="22" xfId="0" applyFill="1" applyBorder="1" applyAlignment="1">
      <alignment wrapText="1"/>
    </xf>
    <xf numFmtId="0" fontId="0" fillId="11" borderId="17" xfId="0" applyFill="1" applyBorder="1" applyAlignment="1">
      <alignment wrapText="1"/>
    </xf>
    <xf numFmtId="0" fontId="0" fillId="11" borderId="27" xfId="0" applyFill="1" applyBorder="1" applyAlignment="1">
      <alignment wrapText="1"/>
    </xf>
    <xf numFmtId="0" fontId="0" fillId="12" borderId="21" xfId="0" applyFill="1" applyBorder="1" applyAlignment="1">
      <alignment wrapText="1"/>
    </xf>
    <xf numFmtId="0" fontId="53" fillId="12" borderId="15" xfId="0" applyFont="1" applyFill="1" applyBorder="1" applyAlignment="1">
      <alignment wrapText="1"/>
    </xf>
    <xf numFmtId="0" fontId="53" fillId="12" borderId="0" xfId="0" applyFont="1" applyFill="1" applyBorder="1" applyAlignment="1">
      <alignment horizontal="center" wrapText="1"/>
    </xf>
    <xf numFmtId="0" fontId="55" fillId="15" borderId="15" xfId="0" applyFont="1" applyFill="1" applyBorder="1"/>
    <xf numFmtId="0" fontId="55" fillId="13" borderId="29" xfId="0" applyFont="1" applyFill="1" applyBorder="1"/>
    <xf numFmtId="0" fontId="53" fillId="13" borderId="28" xfId="0" applyFont="1" applyFill="1" applyBorder="1"/>
    <xf numFmtId="0" fontId="60" fillId="0" borderId="0" xfId="40" applyFont="1" applyAlignment="1">
      <alignment vertical="center"/>
    </xf>
    <xf numFmtId="0" fontId="61" fillId="0" borderId="0" xfId="1" applyFont="1"/>
    <xf numFmtId="190" fontId="61" fillId="0" borderId="0" xfId="1" applyNumberFormat="1" applyFont="1"/>
    <xf numFmtId="0" fontId="60" fillId="0" borderId="0" xfId="40" applyFont="1"/>
    <xf numFmtId="0" fontId="60" fillId="16" borderId="0" xfId="40" applyFont="1" applyFill="1"/>
    <xf numFmtId="0" fontId="60" fillId="0" borderId="0" xfId="40" applyFont="1" applyBorder="1"/>
    <xf numFmtId="2" fontId="60" fillId="16" borderId="0" xfId="40" applyNumberFormat="1" applyFont="1" applyFill="1"/>
    <xf numFmtId="0" fontId="60" fillId="0" borderId="0" xfId="40" applyFont="1" applyAlignment="1">
      <alignment horizontal="right"/>
    </xf>
    <xf numFmtId="0" fontId="60" fillId="22" borderId="0" xfId="40" applyFont="1" applyFill="1"/>
    <xf numFmtId="0" fontId="64" fillId="0" borderId="0" xfId="40" applyFont="1"/>
    <xf numFmtId="2" fontId="60" fillId="16" borderId="0" xfId="40" applyNumberFormat="1" applyFont="1" applyFill="1" applyBorder="1"/>
    <xf numFmtId="0" fontId="64" fillId="0" borderId="0" xfId="40" applyFont="1" applyBorder="1" applyAlignment="1">
      <alignment horizontal="right"/>
    </xf>
    <xf numFmtId="0" fontId="67" fillId="0" borderId="0" xfId="40" applyFont="1"/>
    <xf numFmtId="2" fontId="60" fillId="0" borderId="0" xfId="40" applyNumberFormat="1" applyFont="1"/>
    <xf numFmtId="0" fontId="60" fillId="21" borderId="0" xfId="40" applyFont="1" applyFill="1"/>
    <xf numFmtId="0" fontId="65" fillId="0" borderId="0" xfId="40" applyFont="1" applyAlignment="1">
      <alignment horizontal="right"/>
    </xf>
    <xf numFmtId="2" fontId="60" fillId="22" borderId="0" xfId="40" applyNumberFormat="1" applyFont="1" applyFill="1" applyBorder="1"/>
    <xf numFmtId="0" fontId="60" fillId="16" borderId="0" xfId="40" applyFont="1" applyFill="1" applyBorder="1"/>
    <xf numFmtId="0" fontId="60" fillId="0" borderId="0" xfId="40" applyFont="1" applyFill="1" applyBorder="1"/>
    <xf numFmtId="0" fontId="64" fillId="0" borderId="0" xfId="40" applyFont="1" applyBorder="1"/>
    <xf numFmtId="2" fontId="60" fillId="16" borderId="0" xfId="40" applyNumberFormat="1" applyFont="1" applyFill="1" applyBorder="1" applyAlignment="1">
      <alignment horizontal="right"/>
    </xf>
    <xf numFmtId="0" fontId="60" fillId="0" borderId="0" xfId="40" applyFont="1" applyBorder="1" applyAlignment="1">
      <alignment horizontal="right"/>
    </xf>
    <xf numFmtId="4" fontId="1" fillId="0" borderId="0" xfId="40" applyNumberFormat="1" applyFont="1" applyAlignment="1">
      <alignment horizontal="left" vertical="center"/>
    </xf>
    <xf numFmtId="0" fontId="60" fillId="20" borderId="0" xfId="40" applyFont="1" applyFill="1"/>
    <xf numFmtId="0" fontId="60" fillId="19" borderId="0" xfId="40" applyFont="1" applyFill="1"/>
    <xf numFmtId="0" fontId="60" fillId="19" borderId="0" xfId="40" applyFont="1" applyFill="1" applyBorder="1"/>
    <xf numFmtId="0" fontId="60" fillId="18" borderId="0" xfId="40" applyFont="1" applyFill="1" applyBorder="1"/>
    <xf numFmtId="0" fontId="60" fillId="0" borderId="0" xfId="40" applyFont="1" applyFill="1"/>
    <xf numFmtId="0" fontId="63" fillId="0" borderId="0" xfId="40" applyFont="1" applyFill="1" applyBorder="1"/>
    <xf numFmtId="0" fontId="60" fillId="17" borderId="0" xfId="40" applyFont="1" applyFill="1"/>
    <xf numFmtId="0" fontId="60" fillId="17" borderId="0" xfId="40" applyFont="1" applyFill="1" applyBorder="1"/>
    <xf numFmtId="0" fontId="59" fillId="0" borderId="0" xfId="40"/>
    <xf numFmtId="0" fontId="59" fillId="0" borderId="0" xfId="40" applyFill="1"/>
    <xf numFmtId="0" fontId="60" fillId="0" borderId="0" xfId="40" applyFont="1" applyBorder="1" applyAlignment="1">
      <alignment horizontal="center"/>
    </xf>
    <xf numFmtId="0" fontId="60" fillId="0" borderId="0" xfId="40" applyFont="1" applyBorder="1" applyAlignment="1">
      <alignment horizontal="left" indent="2"/>
    </xf>
    <xf numFmtId="0" fontId="60" fillId="23" borderId="0" xfId="40" applyFont="1" applyFill="1"/>
    <xf numFmtId="0" fontId="60" fillId="23" borderId="0" xfId="40" applyFont="1" applyFill="1" applyBorder="1"/>
    <xf numFmtId="0" fontId="60" fillId="23" borderId="0" xfId="40" applyFont="1" applyFill="1" applyBorder="1" applyAlignment="1">
      <alignment horizontal="center"/>
    </xf>
    <xf numFmtId="0" fontId="60" fillId="23" borderId="0" xfId="40" applyFont="1" applyFill="1" applyBorder="1" applyAlignment="1">
      <alignment horizontal="left" indent="2"/>
    </xf>
    <xf numFmtId="4" fontId="60" fillId="0" borderId="0" xfId="40" applyNumberFormat="1" applyFont="1"/>
    <xf numFmtId="0" fontId="60" fillId="0" borderId="34" xfId="40" applyFont="1" applyBorder="1"/>
    <xf numFmtId="0" fontId="60" fillId="15" borderId="35" xfId="40" applyFont="1" applyFill="1" applyBorder="1"/>
    <xf numFmtId="0" fontId="60" fillId="0" borderId="36" xfId="40" applyFont="1" applyBorder="1"/>
    <xf numFmtId="0" fontId="60" fillId="0" borderId="33" xfId="40" applyFont="1" applyBorder="1"/>
    <xf numFmtId="0" fontId="60" fillId="15" borderId="0" xfId="40" applyFont="1" applyFill="1" applyBorder="1"/>
    <xf numFmtId="0" fontId="60" fillId="0" borderId="32" xfId="40" applyFont="1" applyBorder="1"/>
    <xf numFmtId="0" fontId="60" fillId="24" borderId="33" xfId="40" applyFont="1" applyFill="1" applyBorder="1" applyAlignment="1">
      <alignment horizontal="right"/>
    </xf>
    <xf numFmtId="0" fontId="60" fillId="24" borderId="0" xfId="40" applyFont="1" applyFill="1" applyBorder="1"/>
    <xf numFmtId="0" fontId="60" fillId="0" borderId="38" xfId="40" applyFont="1" applyBorder="1"/>
    <xf numFmtId="166" fontId="60" fillId="24" borderId="34" xfId="40" applyNumberFormat="1" applyFont="1" applyFill="1" applyBorder="1"/>
    <xf numFmtId="166" fontId="60" fillId="24" borderId="35" xfId="40" applyNumberFormat="1" applyFont="1" applyFill="1" applyBorder="1"/>
    <xf numFmtId="0" fontId="60" fillId="0" borderId="35" xfId="40" applyFont="1" applyBorder="1" applyAlignment="1">
      <alignment horizontal="left"/>
    </xf>
    <xf numFmtId="0" fontId="60" fillId="0" borderId="36" xfId="40" applyFont="1" applyBorder="1" applyAlignment="1">
      <alignment horizontal="left"/>
    </xf>
    <xf numFmtId="0" fontId="60" fillId="24" borderId="31" xfId="40" applyFont="1" applyFill="1" applyBorder="1"/>
    <xf numFmtId="166" fontId="60" fillId="24" borderId="33" xfId="40" applyNumberFormat="1" applyFont="1" applyFill="1" applyBorder="1"/>
    <xf numFmtId="166" fontId="60" fillId="24" borderId="0" xfId="40" applyNumberFormat="1" applyFont="1" applyFill="1" applyBorder="1"/>
    <xf numFmtId="0" fontId="60" fillId="0" borderId="0" xfId="40" applyFont="1" applyBorder="1" applyAlignment="1">
      <alignment horizontal="left"/>
    </xf>
    <xf numFmtId="0" fontId="60" fillId="0" borderId="32" xfId="40" applyFont="1" applyBorder="1" applyAlignment="1">
      <alignment horizontal="left"/>
    </xf>
    <xf numFmtId="0" fontId="60" fillId="15" borderId="34" xfId="40" applyFont="1" applyFill="1" applyBorder="1" applyAlignment="1">
      <alignment horizontal="left"/>
    </xf>
    <xf numFmtId="0" fontId="60" fillId="24" borderId="35" xfId="40" applyFont="1" applyFill="1" applyBorder="1"/>
    <xf numFmtId="0" fontId="60" fillId="0" borderId="39" xfId="40" applyFont="1" applyBorder="1"/>
    <xf numFmtId="0" fontId="60" fillId="0" borderId="42" xfId="40" applyFont="1" applyBorder="1"/>
    <xf numFmtId="0" fontId="60" fillId="0" borderId="43" xfId="40" applyFont="1" applyBorder="1"/>
    <xf numFmtId="0" fontId="66" fillId="17" borderId="44" xfId="40" applyFont="1" applyFill="1" applyBorder="1"/>
    <xf numFmtId="0" fontId="60" fillId="15" borderId="33" xfId="40" applyFont="1" applyFill="1" applyBorder="1" applyAlignment="1">
      <alignment horizontal="left"/>
    </xf>
    <xf numFmtId="2" fontId="60" fillId="15" borderId="0" xfId="40" applyNumberFormat="1" applyFont="1" applyFill="1" applyBorder="1"/>
    <xf numFmtId="2" fontId="60" fillId="24" borderId="0" xfId="40" applyNumberFormat="1" applyFont="1" applyFill="1" applyBorder="1"/>
    <xf numFmtId="4" fontId="60" fillId="0" borderId="38" xfId="40" applyNumberFormat="1" applyFont="1" applyBorder="1" applyAlignment="1">
      <alignment vertical="center" wrapText="1"/>
    </xf>
    <xf numFmtId="0" fontId="60" fillId="0" borderId="42" xfId="40" applyFont="1" applyBorder="1" applyAlignment="1">
      <alignment horizontal="left" indent="2"/>
    </xf>
    <xf numFmtId="0" fontId="60" fillId="0" borderId="45" xfId="40" applyFont="1" applyBorder="1"/>
    <xf numFmtId="0" fontId="66" fillId="17" borderId="46" xfId="40" applyFont="1" applyFill="1" applyBorder="1"/>
    <xf numFmtId="0" fontId="64" fillId="17" borderId="46" xfId="40" applyFont="1" applyFill="1" applyBorder="1"/>
    <xf numFmtId="0" fontId="60" fillId="24" borderId="34" xfId="40" applyFont="1" applyFill="1" applyBorder="1" applyAlignment="1">
      <alignment horizontal="center"/>
    </xf>
    <xf numFmtId="0" fontId="60" fillId="24" borderId="33" xfId="40" applyFont="1" applyFill="1" applyBorder="1" applyAlignment="1">
      <alignment horizontal="center"/>
    </xf>
    <xf numFmtId="0" fontId="60" fillId="0" borderId="34" xfId="40" applyFont="1" applyBorder="1" applyAlignment="1">
      <alignment horizontal="left"/>
    </xf>
    <xf numFmtId="166" fontId="60" fillId="0" borderId="35" xfId="40" applyNumberFormat="1" applyFont="1" applyBorder="1"/>
    <xf numFmtId="0" fontId="60" fillId="0" borderId="35" xfId="40" applyFont="1" applyBorder="1"/>
    <xf numFmtId="2" fontId="60" fillId="0" borderId="35" xfId="40" applyNumberFormat="1" applyFont="1" applyBorder="1"/>
    <xf numFmtId="4" fontId="60" fillId="0" borderId="35" xfId="40" applyNumberFormat="1" applyFont="1" applyBorder="1" applyAlignment="1">
      <alignment horizontal="center" vertical="center" wrapText="1"/>
    </xf>
    <xf numFmtId="4" fontId="60" fillId="0" borderId="39" xfId="40" applyNumberFormat="1" applyFont="1" applyBorder="1" applyAlignment="1">
      <alignment vertical="center" wrapText="1"/>
    </xf>
    <xf numFmtId="0" fontId="60" fillId="0" borderId="47" xfId="40" applyFont="1" applyBorder="1"/>
    <xf numFmtId="0" fontId="60" fillId="0" borderId="48" xfId="40" applyFont="1" applyBorder="1"/>
    <xf numFmtId="4" fontId="60" fillId="0" borderId="0" xfId="40" applyNumberFormat="1" applyFont="1" applyAlignment="1">
      <alignment vertical="top" wrapText="1"/>
    </xf>
    <xf numFmtId="2" fontId="60" fillId="24" borderId="35" xfId="40" applyNumberFormat="1" applyFont="1" applyFill="1" applyBorder="1"/>
    <xf numFmtId="2" fontId="60" fillId="24" borderId="33" xfId="40" applyNumberFormat="1" applyFont="1" applyFill="1" applyBorder="1" applyAlignment="1">
      <alignment horizontal="center"/>
    </xf>
    <xf numFmtId="0" fontId="60" fillId="0" borderId="49" xfId="40" applyFont="1" applyBorder="1"/>
    <xf numFmtId="2" fontId="60" fillId="15" borderId="35" xfId="40" applyNumberFormat="1" applyFont="1" applyFill="1" applyBorder="1"/>
    <xf numFmtId="4" fontId="60" fillId="24" borderId="35" xfId="40" applyNumberFormat="1" applyFont="1" applyFill="1" applyBorder="1" applyAlignment="1">
      <alignment horizontal="center" vertical="center" wrapText="1"/>
    </xf>
    <xf numFmtId="2" fontId="65" fillId="24" borderId="35" xfId="40" applyNumberFormat="1" applyFont="1" applyFill="1" applyBorder="1"/>
    <xf numFmtId="4" fontId="60" fillId="0" borderId="36" xfId="40" applyNumberFormat="1" applyFont="1" applyBorder="1" applyAlignment="1">
      <alignment vertical="center" wrapText="1"/>
    </xf>
    <xf numFmtId="0" fontId="60" fillId="0" borderId="42" xfId="40" applyFont="1" applyBorder="1" applyAlignment="1">
      <alignment horizontal="center"/>
    </xf>
    <xf numFmtId="0" fontId="60" fillId="15" borderId="33" xfId="40" applyFont="1" applyFill="1" applyBorder="1"/>
    <xf numFmtId="4" fontId="60" fillId="24" borderId="0" xfId="40" applyNumberFormat="1" applyFont="1" applyFill="1" applyBorder="1" applyAlignment="1">
      <alignment horizontal="center" vertical="center" wrapText="1"/>
    </xf>
    <xf numFmtId="4" fontId="60" fillId="0" borderId="32" xfId="40" applyNumberFormat="1" applyFont="1" applyBorder="1" applyAlignment="1">
      <alignment vertical="center" wrapText="1"/>
    </xf>
    <xf numFmtId="0" fontId="60" fillId="0" borderId="34" xfId="40" applyFont="1" applyBorder="1" applyAlignment="1">
      <alignment horizontal="right"/>
    </xf>
    <xf numFmtId="0" fontId="64" fillId="17" borderId="50" xfId="40" applyFont="1" applyFill="1" applyBorder="1"/>
    <xf numFmtId="0" fontId="60" fillId="0" borderId="33" xfId="40" applyFont="1" applyBorder="1" applyAlignment="1">
      <alignment horizontal="right"/>
    </xf>
    <xf numFmtId="2" fontId="60" fillId="0" borderId="0" xfId="40" applyNumberFormat="1" applyFont="1" applyBorder="1"/>
    <xf numFmtId="0" fontId="60" fillId="15" borderId="34" xfId="40" applyFont="1" applyFill="1" applyBorder="1"/>
    <xf numFmtId="9" fontId="60" fillId="15" borderId="34" xfId="40" applyNumberFormat="1" applyFont="1" applyFill="1" applyBorder="1"/>
    <xf numFmtId="9" fontId="60" fillId="15" borderId="35" xfId="40" applyNumberFormat="1" applyFont="1" applyFill="1" applyBorder="1"/>
    <xf numFmtId="4" fontId="60" fillId="0" borderId="39" xfId="40" applyNumberFormat="1" applyFont="1" applyBorder="1"/>
    <xf numFmtId="9" fontId="60" fillId="15" borderId="33" xfId="40" applyNumberFormat="1" applyFont="1" applyFill="1" applyBorder="1"/>
    <xf numFmtId="9" fontId="60" fillId="15" borderId="0" xfId="40" applyNumberFormat="1" applyFont="1" applyFill="1" applyBorder="1"/>
    <xf numFmtId="4" fontId="60" fillId="0" borderId="38" xfId="40" applyNumberFormat="1" applyFont="1" applyBorder="1"/>
    <xf numFmtId="2" fontId="65" fillId="0" borderId="35" xfId="40" applyNumberFormat="1" applyFont="1" applyBorder="1"/>
    <xf numFmtId="0" fontId="60" fillId="0" borderId="33" xfId="40" applyFont="1" applyBorder="1" applyAlignment="1">
      <alignment horizontal="left"/>
    </xf>
    <xf numFmtId="2" fontId="65" fillId="0" borderId="0" xfId="40" applyNumberFormat="1" applyFont="1" applyBorder="1"/>
    <xf numFmtId="0" fontId="60" fillId="0" borderId="54" xfId="40" applyFont="1" applyBorder="1"/>
    <xf numFmtId="0" fontId="60" fillId="0" borderId="55" xfId="40" applyFont="1" applyBorder="1"/>
    <xf numFmtId="4" fontId="60" fillId="24" borderId="34" xfId="40" applyNumberFormat="1" applyFont="1" applyFill="1" applyBorder="1"/>
    <xf numFmtId="0" fontId="66" fillId="17" borderId="56" xfId="40" applyFont="1" applyFill="1" applyBorder="1"/>
    <xf numFmtId="4" fontId="60" fillId="24" borderId="42" xfId="40" applyNumberFormat="1" applyFont="1" applyFill="1" applyBorder="1" applyAlignment="1">
      <alignment horizontal="right"/>
    </xf>
    <xf numFmtId="0" fontId="60" fillId="24" borderId="0" xfId="40" applyFont="1" applyFill="1" applyBorder="1" applyAlignment="1">
      <alignment horizontal="center"/>
    </xf>
    <xf numFmtId="0" fontId="60" fillId="0" borderId="42" xfId="40" applyFont="1" applyBorder="1" applyAlignment="1">
      <alignment horizontal="right"/>
    </xf>
    <xf numFmtId="4" fontId="60" fillId="24" borderId="57" xfId="40" applyNumberFormat="1" applyFont="1" applyFill="1" applyBorder="1"/>
    <xf numFmtId="0" fontId="60" fillId="0" borderId="58" xfId="40" applyFont="1" applyBorder="1" applyAlignment="1">
      <alignment horizontal="right"/>
    </xf>
    <xf numFmtId="0" fontId="64" fillId="17" borderId="44" xfId="40" applyFont="1" applyFill="1" applyBorder="1"/>
    <xf numFmtId="0" fontId="66" fillId="17" borderId="0" xfId="40" applyFont="1" applyFill="1"/>
    <xf numFmtId="0" fontId="60" fillId="25" borderId="33" xfId="40" applyFont="1" applyFill="1" applyBorder="1" applyAlignment="1">
      <alignment horizontal="right"/>
    </xf>
    <xf numFmtId="0" fontId="60" fillId="15" borderId="31" xfId="40" applyFont="1" applyFill="1" applyBorder="1"/>
    <xf numFmtId="166" fontId="60" fillId="25" borderId="34" xfId="40" applyNumberFormat="1" applyFont="1" applyFill="1" applyBorder="1"/>
    <xf numFmtId="166" fontId="60" fillId="25" borderId="35" xfId="40" applyNumberFormat="1" applyFont="1" applyFill="1" applyBorder="1"/>
    <xf numFmtId="0" fontId="60" fillId="25" borderId="35" xfId="40" applyFont="1" applyFill="1" applyBorder="1"/>
    <xf numFmtId="166" fontId="60" fillId="25" borderId="33" xfId="40" applyNumberFormat="1" applyFont="1" applyFill="1" applyBorder="1"/>
    <xf numFmtId="166" fontId="60" fillId="25" borderId="0" xfId="40" applyNumberFormat="1" applyFont="1" applyFill="1" applyBorder="1"/>
    <xf numFmtId="0" fontId="66" fillId="18" borderId="44" xfId="40" applyFont="1" applyFill="1" applyBorder="1"/>
    <xf numFmtId="0" fontId="60" fillId="25" borderId="0" xfId="40" applyFont="1" applyFill="1" applyBorder="1"/>
    <xf numFmtId="2" fontId="60" fillId="25" borderId="0" xfId="40" applyNumberFormat="1" applyFont="1" applyFill="1" applyBorder="1"/>
    <xf numFmtId="0" fontId="64" fillId="18" borderId="46" xfId="40" applyFont="1" applyFill="1" applyBorder="1"/>
    <xf numFmtId="0" fontId="66" fillId="18" borderId="46" xfId="40" applyFont="1" applyFill="1" applyBorder="1"/>
    <xf numFmtId="0" fontId="60" fillId="25" borderId="34" xfId="40" applyFont="1" applyFill="1" applyBorder="1" applyAlignment="1">
      <alignment horizontal="center"/>
    </xf>
    <xf numFmtId="2" fontId="60" fillId="25" borderId="35" xfId="40" applyNumberFormat="1" applyFont="1" applyFill="1" applyBorder="1"/>
    <xf numFmtId="0" fontId="60" fillId="25" borderId="33" xfId="40" applyFont="1" applyFill="1" applyBorder="1" applyAlignment="1">
      <alignment horizontal="center"/>
    </xf>
    <xf numFmtId="4" fontId="60" fillId="25" borderId="35" xfId="40" applyNumberFormat="1" applyFont="1" applyFill="1" applyBorder="1" applyAlignment="1">
      <alignment horizontal="center" vertical="center" wrapText="1"/>
    </xf>
    <xf numFmtId="167" fontId="60" fillId="25" borderId="35" xfId="40" applyNumberFormat="1" applyFont="1" applyFill="1" applyBorder="1"/>
    <xf numFmtId="2" fontId="60" fillId="25" borderId="33" xfId="40" applyNumberFormat="1" applyFont="1" applyFill="1" applyBorder="1" applyAlignment="1">
      <alignment horizontal="center"/>
    </xf>
    <xf numFmtId="2" fontId="65" fillId="25" borderId="35" xfId="40" applyNumberFormat="1" applyFont="1" applyFill="1" applyBorder="1"/>
    <xf numFmtId="4" fontId="60" fillId="25" borderId="0" xfId="40" applyNumberFormat="1" applyFont="1" applyFill="1" applyBorder="1" applyAlignment="1">
      <alignment horizontal="center" vertical="center" wrapText="1"/>
    </xf>
    <xf numFmtId="0" fontId="64" fillId="18" borderId="50" xfId="40" applyFont="1" applyFill="1" applyBorder="1"/>
    <xf numFmtId="4" fontId="60" fillId="0" borderId="49" xfId="40" applyNumberFormat="1" applyFont="1" applyBorder="1"/>
    <xf numFmtId="0" fontId="60" fillId="15" borderId="54" xfId="40" applyFont="1" applyFill="1" applyBorder="1"/>
    <xf numFmtId="0" fontId="66" fillId="18" borderId="56" xfId="40" applyFont="1" applyFill="1" applyBorder="1"/>
    <xf numFmtId="0" fontId="60" fillId="0" borderId="47" xfId="40" applyFont="1" applyBorder="1" applyAlignment="1">
      <alignment horizontal="right"/>
    </xf>
    <xf numFmtId="4" fontId="60" fillId="25" borderId="57" xfId="40" applyNumberFormat="1" applyFont="1" applyFill="1" applyBorder="1"/>
    <xf numFmtId="0" fontId="64" fillId="18" borderId="44" xfId="40" applyFont="1" applyFill="1" applyBorder="1"/>
    <xf numFmtId="0" fontId="60" fillId="26" borderId="0" xfId="40" applyFont="1" applyFill="1"/>
    <xf numFmtId="0" fontId="60" fillId="18" borderId="0" xfId="40" applyFont="1" applyFill="1"/>
    <xf numFmtId="0" fontId="66" fillId="18" borderId="0" xfId="40" applyFont="1" applyFill="1"/>
    <xf numFmtId="0" fontId="60" fillId="27" borderId="33" xfId="40" applyFont="1" applyFill="1" applyBorder="1" applyAlignment="1">
      <alignment horizontal="right"/>
    </xf>
    <xf numFmtId="0" fontId="60" fillId="27" borderId="34" xfId="40" applyFont="1" applyFill="1" applyBorder="1" applyAlignment="1">
      <alignment horizontal="center"/>
    </xf>
    <xf numFmtId="166" fontId="60" fillId="27" borderId="35" xfId="40" applyNumberFormat="1" applyFont="1" applyFill="1" applyBorder="1"/>
    <xf numFmtId="0" fontId="60" fillId="27" borderId="33" xfId="40" applyFont="1" applyFill="1" applyBorder="1" applyAlignment="1">
      <alignment horizontal="center"/>
    </xf>
    <xf numFmtId="166" fontId="60" fillId="27" borderId="0" xfId="40" applyNumberFormat="1" applyFont="1" applyFill="1" applyBorder="1"/>
    <xf numFmtId="0" fontId="60" fillId="27" borderId="35" xfId="40" applyFont="1" applyFill="1" applyBorder="1"/>
    <xf numFmtId="0" fontId="60" fillId="27" borderId="59" xfId="40" applyFont="1" applyFill="1" applyBorder="1" applyAlignment="1">
      <alignment horizontal="center"/>
    </xf>
    <xf numFmtId="0" fontId="66" fillId="19" borderId="44" xfId="40" applyFont="1" applyFill="1" applyBorder="1"/>
    <xf numFmtId="0" fontId="60" fillId="27" borderId="0" xfId="40" applyFont="1" applyFill="1" applyBorder="1"/>
    <xf numFmtId="2" fontId="60" fillId="27" borderId="0" xfId="40" applyNumberFormat="1" applyFont="1" applyFill="1" applyBorder="1"/>
    <xf numFmtId="0" fontId="64" fillId="19" borderId="46" xfId="40" applyFont="1" applyFill="1" applyBorder="1"/>
    <xf numFmtId="2" fontId="60" fillId="27" borderId="35" xfId="40" applyNumberFormat="1" applyFont="1" applyFill="1" applyBorder="1"/>
    <xf numFmtId="4" fontId="60" fillId="27" borderId="35" xfId="40" applyNumberFormat="1" applyFont="1" applyFill="1" applyBorder="1" applyAlignment="1">
      <alignment horizontal="center" vertical="center" wrapText="1"/>
    </xf>
    <xf numFmtId="0" fontId="66" fillId="19" borderId="46" xfId="40" applyFont="1" applyFill="1" applyBorder="1"/>
    <xf numFmtId="0" fontId="1" fillId="0" borderId="0" xfId="40" quotePrefix="1" applyFont="1" applyAlignment="1">
      <alignment vertical="top"/>
    </xf>
    <xf numFmtId="0" fontId="69" fillId="0" borderId="0" xfId="40" applyFont="1" applyAlignment="1">
      <alignment vertical="top"/>
    </xf>
    <xf numFmtId="2" fontId="60" fillId="27" borderId="33" xfId="40" applyNumberFormat="1" applyFont="1" applyFill="1" applyBorder="1" applyAlignment="1">
      <alignment horizontal="center"/>
    </xf>
    <xf numFmtId="0" fontId="60" fillId="0" borderId="0" xfId="40" quotePrefix="1" applyFont="1"/>
    <xf numFmtId="2" fontId="65" fillId="27" borderId="35" xfId="40" applyNumberFormat="1" applyFont="1" applyFill="1" applyBorder="1"/>
    <xf numFmtId="0" fontId="66" fillId="0" borderId="0" xfId="40" applyFont="1" applyAlignment="1">
      <alignment vertical="top"/>
    </xf>
    <xf numFmtId="4" fontId="60" fillId="27" borderId="0" xfId="40" applyNumberFormat="1" applyFont="1" applyFill="1" applyBorder="1" applyAlignment="1">
      <alignment horizontal="center" vertical="center" wrapText="1"/>
    </xf>
    <xf numFmtId="0" fontId="60" fillId="27" borderId="34" xfId="40" applyFont="1" applyFill="1" applyBorder="1" applyAlignment="1">
      <alignment horizontal="right"/>
    </xf>
    <xf numFmtId="0" fontId="64" fillId="19" borderId="50" xfId="40" applyFont="1" applyFill="1" applyBorder="1"/>
    <xf numFmtId="0" fontId="65" fillId="0" borderId="0" xfId="40" applyFont="1"/>
    <xf numFmtId="0" fontId="66" fillId="19" borderId="56" xfId="40" applyFont="1" applyFill="1" applyBorder="1"/>
    <xf numFmtId="0" fontId="60" fillId="27" borderId="34" xfId="40" applyFont="1" applyFill="1" applyBorder="1" applyAlignment="1">
      <alignment horizontal="left"/>
    </xf>
    <xf numFmtId="0" fontId="60" fillId="27" borderId="33" xfId="40" applyFont="1" applyFill="1" applyBorder="1" applyAlignment="1">
      <alignment horizontal="left"/>
    </xf>
    <xf numFmtId="0" fontId="60" fillId="27" borderId="0" xfId="40" applyFont="1" applyFill="1" applyBorder="1" applyAlignment="1">
      <alignment horizontal="center"/>
    </xf>
    <xf numFmtId="4" fontId="60" fillId="27" borderId="57" xfId="40" applyNumberFormat="1" applyFont="1" applyFill="1" applyBorder="1"/>
    <xf numFmtId="0" fontId="64" fillId="19" borderId="44" xfId="40" applyFont="1" applyFill="1" applyBorder="1"/>
    <xf numFmtId="0" fontId="66" fillId="19" borderId="0" xfId="40" applyFont="1" applyFill="1"/>
    <xf numFmtId="0" fontId="59" fillId="0" borderId="0" xfId="40" applyBorder="1"/>
    <xf numFmtId="168" fontId="60" fillId="0" borderId="18" xfId="40" applyNumberFormat="1" applyFont="1" applyBorder="1"/>
    <xf numFmtId="168" fontId="60" fillId="0" borderId="60" xfId="40" applyNumberFormat="1" applyFont="1" applyBorder="1"/>
    <xf numFmtId="1" fontId="59" fillId="0" borderId="0" xfId="40" applyNumberFormat="1"/>
    <xf numFmtId="168" fontId="60" fillId="0" borderId="20" xfId="40" applyNumberFormat="1" applyFont="1" applyBorder="1"/>
    <xf numFmtId="168" fontId="60" fillId="0" borderId="31" xfId="40" applyNumberFormat="1" applyFont="1" applyBorder="1"/>
    <xf numFmtId="168" fontId="60" fillId="0" borderId="0" xfId="40" applyNumberFormat="1" applyFont="1" applyBorder="1"/>
    <xf numFmtId="168" fontId="59" fillId="0" borderId="0" xfId="40" applyNumberFormat="1"/>
    <xf numFmtId="168" fontId="60" fillId="0" borderId="19" xfId="40" applyNumberFormat="1" applyFont="1" applyBorder="1"/>
    <xf numFmtId="168" fontId="60" fillId="0" borderId="61" xfId="40" applyNumberFormat="1" applyFont="1" applyBorder="1"/>
    <xf numFmtId="0" fontId="60" fillId="28" borderId="18" xfId="40" applyFont="1" applyFill="1" applyBorder="1"/>
    <xf numFmtId="0" fontId="60" fillId="28" borderId="60" xfId="40" applyFont="1" applyFill="1" applyBorder="1"/>
    <xf numFmtId="0" fontId="60" fillId="28" borderId="52" xfId="40" applyFont="1" applyFill="1" applyBorder="1"/>
    <xf numFmtId="0" fontId="60" fillId="0" borderId="20" xfId="40" applyFont="1" applyBorder="1"/>
    <xf numFmtId="0" fontId="60" fillId="0" borderId="31" xfId="40" applyFont="1" applyBorder="1"/>
    <xf numFmtId="0" fontId="60" fillId="0" borderId="19" xfId="40" applyFont="1" applyBorder="1"/>
    <xf numFmtId="0" fontId="60" fillId="0" borderId="61" xfId="40" applyFont="1" applyBorder="1"/>
    <xf numFmtId="0" fontId="66" fillId="0" borderId="0" xfId="40" applyFont="1"/>
    <xf numFmtId="166" fontId="66" fillId="0" borderId="62" xfId="40" applyNumberFormat="1" applyFont="1" applyBorder="1"/>
    <xf numFmtId="0" fontId="66" fillId="0" borderId="62" xfId="40" applyFont="1" applyBorder="1"/>
    <xf numFmtId="0" fontId="60" fillId="0" borderId="62" xfId="40" applyFont="1" applyBorder="1"/>
    <xf numFmtId="166" fontId="60" fillId="0" borderId="52" xfId="40" applyNumberFormat="1" applyFont="1" applyBorder="1"/>
    <xf numFmtId="166" fontId="60" fillId="0" borderId="20" xfId="40" applyNumberFormat="1" applyFont="1" applyBorder="1"/>
    <xf numFmtId="166" fontId="60" fillId="0" borderId="0" xfId="40" applyNumberFormat="1" applyFont="1" applyBorder="1"/>
    <xf numFmtId="0" fontId="60" fillId="0" borderId="30" xfId="40" applyFont="1" applyBorder="1"/>
    <xf numFmtId="0" fontId="60" fillId="0" borderId="29" xfId="40" applyFont="1" applyBorder="1"/>
    <xf numFmtId="0" fontId="60" fillId="0" borderId="28" xfId="40" applyFont="1" applyBorder="1"/>
    <xf numFmtId="0" fontId="60" fillId="0" borderId="20" xfId="40" applyFont="1" applyBorder="1" applyAlignment="1">
      <alignment horizontal="left"/>
    </xf>
    <xf numFmtId="0" fontId="60" fillId="0" borderId="19" xfId="40" applyFont="1" applyBorder="1" applyAlignment="1">
      <alignment horizontal="left"/>
    </xf>
    <xf numFmtId="0" fontId="60" fillId="0" borderId="40" xfId="40" applyFont="1" applyBorder="1"/>
    <xf numFmtId="0" fontId="60" fillId="29" borderId="0" xfId="40" applyFont="1" applyFill="1"/>
    <xf numFmtId="0" fontId="71" fillId="29" borderId="0" xfId="40" applyFont="1" applyFill="1"/>
    <xf numFmtId="0" fontId="72" fillId="29" borderId="0" xfId="40" applyFont="1" applyFill="1"/>
    <xf numFmtId="166" fontId="60" fillId="0" borderId="18" xfId="40" applyNumberFormat="1" applyFont="1" applyBorder="1" applyAlignment="1">
      <alignment vertical="center"/>
    </xf>
    <xf numFmtId="166" fontId="60" fillId="0" borderId="52" xfId="40" applyNumberFormat="1" applyFont="1" applyBorder="1" applyAlignment="1">
      <alignment vertical="center"/>
    </xf>
    <xf numFmtId="0" fontId="60" fillId="12" borderId="17" xfId="40" applyFont="1" applyFill="1" applyBorder="1"/>
    <xf numFmtId="166" fontId="60" fillId="0" borderId="0" xfId="40" applyNumberFormat="1" applyFont="1" applyBorder="1" applyAlignment="1">
      <alignment horizontal="center" vertical="center"/>
    </xf>
    <xf numFmtId="166" fontId="60" fillId="0" borderId="20" xfId="40" applyNumberFormat="1" applyFont="1" applyBorder="1" applyAlignment="1">
      <alignment vertical="center"/>
    </xf>
    <xf numFmtId="166" fontId="60" fillId="0" borderId="0" xfId="40" applyNumberFormat="1" applyFont="1" applyBorder="1" applyAlignment="1">
      <alignment vertical="center"/>
    </xf>
    <xf numFmtId="0" fontId="60" fillId="0" borderId="0" xfId="40" applyFont="1" applyBorder="1" applyAlignment="1">
      <alignment vertical="center"/>
    </xf>
    <xf numFmtId="0" fontId="60" fillId="12" borderId="63" xfId="40" applyFont="1" applyFill="1" applyBorder="1"/>
    <xf numFmtId="166" fontId="60" fillId="0" borderId="19" xfId="40" applyNumberFormat="1" applyFont="1" applyBorder="1" applyAlignment="1">
      <alignment vertical="center"/>
    </xf>
    <xf numFmtId="166" fontId="60" fillId="0" borderId="40" xfId="40" applyNumberFormat="1" applyFont="1" applyBorder="1" applyAlignment="1">
      <alignment vertical="center"/>
    </xf>
    <xf numFmtId="1" fontId="60" fillId="0" borderId="40" xfId="40" applyNumberFormat="1" applyFont="1" applyBorder="1" applyAlignment="1">
      <alignment vertical="center"/>
    </xf>
    <xf numFmtId="166" fontId="60" fillId="0" borderId="31" xfId="40" applyNumberFormat="1" applyFont="1" applyBorder="1" applyAlignment="1">
      <alignment vertical="center"/>
    </xf>
    <xf numFmtId="166" fontId="60" fillId="0" borderId="61" xfId="40" applyNumberFormat="1" applyFont="1" applyBorder="1" applyAlignment="1">
      <alignment vertical="center"/>
    </xf>
    <xf numFmtId="0" fontId="60" fillId="12" borderId="25" xfId="40" applyFont="1" applyFill="1" applyBorder="1"/>
    <xf numFmtId="0" fontId="60" fillId="12" borderId="29" xfId="40" applyFont="1" applyFill="1" applyBorder="1" applyAlignment="1">
      <alignment wrapText="1"/>
    </xf>
    <xf numFmtId="0" fontId="60" fillId="0" borderId="15" xfId="40" applyFont="1" applyBorder="1"/>
    <xf numFmtId="0" fontId="60" fillId="12" borderId="30" xfId="40" applyFont="1" applyFill="1" applyBorder="1" applyAlignment="1">
      <alignment wrapText="1"/>
    </xf>
    <xf numFmtId="0" fontId="60" fillId="12" borderId="29" xfId="40" applyFont="1" applyFill="1" applyBorder="1"/>
    <xf numFmtId="0" fontId="60" fillId="12" borderId="28" xfId="40" applyFont="1" applyFill="1" applyBorder="1"/>
    <xf numFmtId="0" fontId="60" fillId="0" borderId="30" xfId="40" applyFont="1" applyBorder="1" applyAlignment="1">
      <alignment horizontal="center" vertical="center"/>
    </xf>
    <xf numFmtId="0" fontId="60" fillId="0" borderId="29" xfId="40" applyFont="1" applyBorder="1" applyAlignment="1">
      <alignment horizontal="center" vertical="center"/>
    </xf>
    <xf numFmtId="0" fontId="73" fillId="30" borderId="0" xfId="40" applyFont="1" applyFill="1" applyAlignment="1">
      <alignment wrapText="1"/>
    </xf>
    <xf numFmtId="0" fontId="60" fillId="12" borderId="0" xfId="40" applyFont="1" applyFill="1" applyBorder="1" applyAlignment="1">
      <alignment horizontal="center"/>
    </xf>
    <xf numFmtId="0" fontId="60" fillId="12" borderId="30" xfId="40" applyFont="1" applyFill="1" applyBorder="1"/>
    <xf numFmtId="0" fontId="75" fillId="0" borderId="0" xfId="40" applyFont="1"/>
    <xf numFmtId="0" fontId="72" fillId="18" borderId="0" xfId="40" applyFont="1" applyFill="1"/>
    <xf numFmtId="166" fontId="60" fillId="0" borderId="60" xfId="40" applyNumberFormat="1" applyFont="1" applyBorder="1" applyAlignment="1">
      <alignment vertical="center"/>
    </xf>
    <xf numFmtId="0" fontId="73" fillId="31" borderId="0" xfId="40" applyFont="1" applyFill="1" applyAlignment="1">
      <alignment wrapText="1"/>
    </xf>
    <xf numFmtId="0" fontId="60" fillId="0" borderId="0" xfId="40" applyFont="1" applyBorder="1" applyAlignment="1">
      <alignment horizontal="center" vertical="center"/>
    </xf>
    <xf numFmtId="1" fontId="60" fillId="0" borderId="0" xfId="40" applyNumberFormat="1" applyFont="1" applyBorder="1" applyAlignment="1">
      <alignment horizontal="center" vertical="center"/>
    </xf>
    <xf numFmtId="166" fontId="60" fillId="0" borderId="0" xfId="40" applyNumberFormat="1" applyFont="1" applyFill="1" applyBorder="1"/>
    <xf numFmtId="0" fontId="73" fillId="31" borderId="0" xfId="40" applyFont="1" applyFill="1" applyBorder="1" applyAlignment="1">
      <alignment horizontal="center"/>
    </xf>
    <xf numFmtId="166" fontId="60" fillId="0" borderId="40" xfId="40" applyNumberFormat="1" applyFont="1" applyBorder="1"/>
    <xf numFmtId="0" fontId="60" fillId="0" borderId="52" xfId="40" applyFont="1" applyBorder="1" applyAlignment="1">
      <alignment horizontal="center" vertical="center"/>
    </xf>
    <xf numFmtId="0" fontId="60" fillId="0" borderId="63" xfId="40" applyFont="1" applyBorder="1"/>
    <xf numFmtId="0" fontId="60" fillId="0" borderId="25" xfId="40" applyFont="1" applyBorder="1"/>
    <xf numFmtId="0" fontId="72" fillId="19" borderId="0" xfId="40" applyFont="1" applyFill="1"/>
    <xf numFmtId="0" fontId="1" fillId="0" borderId="0" xfId="40" applyFont="1"/>
    <xf numFmtId="0" fontId="31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20" fillId="0" borderId="12" xfId="1" applyFont="1" applyFill="1" applyBorder="1" applyAlignment="1">
      <alignment horizontal="center" vertical="top" wrapText="1"/>
    </xf>
    <xf numFmtId="0" fontId="20" fillId="0" borderId="10" xfId="1" applyFont="1" applyFill="1" applyBorder="1" applyAlignment="1">
      <alignment horizontal="center" vertical="top" wrapText="1"/>
    </xf>
    <xf numFmtId="0" fontId="18" fillId="0" borderId="1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33" fillId="0" borderId="13" xfId="1" applyFont="1" applyFill="1" applyBorder="1" applyAlignment="1">
      <alignment horizontal="center" vertical="center" wrapText="1"/>
    </xf>
    <xf numFmtId="167" fontId="1" fillId="9" borderId="8" xfId="41" applyNumberFormat="1" applyFont="1" applyFill="1" applyBorder="1" applyAlignment="1">
      <alignment horizontal="center"/>
    </xf>
    <xf numFmtId="168" fontId="1" fillId="9" borderId="8" xfId="41" applyNumberFormat="1" applyFont="1" applyFill="1" applyBorder="1" applyAlignment="1">
      <alignment horizontal="center"/>
    </xf>
    <xf numFmtId="167" fontId="29" fillId="9" borderId="8" xfId="41" applyNumberFormat="1" applyFont="1" applyFill="1" applyBorder="1" applyAlignment="1">
      <alignment horizontal="center"/>
    </xf>
    <xf numFmtId="2" fontId="1" fillId="9" borderId="8" xfId="41" applyNumberFormat="1" applyFont="1" applyFill="1" applyBorder="1" applyAlignment="1">
      <alignment horizontal="center"/>
    </xf>
    <xf numFmtId="166" fontId="1" fillId="9" borderId="8" xfId="41" applyNumberFormat="1" applyFont="1" applyFill="1" applyBorder="1" applyAlignment="1">
      <alignment horizontal="center"/>
    </xf>
    <xf numFmtId="166" fontId="29" fillId="9" borderId="8" xfId="41" applyNumberFormat="1" applyFont="1" applyFill="1" applyBorder="1" applyAlignment="1">
      <alignment horizontal="center"/>
    </xf>
    <xf numFmtId="1" fontId="1" fillId="3" borderId="8" xfId="41" applyNumberFormat="1" applyFont="1" applyFill="1" applyBorder="1" applyAlignment="1">
      <alignment horizontal="center"/>
    </xf>
    <xf numFmtId="1" fontId="29" fillId="3" borderId="8" xfId="41" applyNumberFormat="1" applyFont="1" applyFill="1" applyBorder="1" applyAlignment="1">
      <alignment horizontal="center"/>
    </xf>
    <xf numFmtId="2" fontId="29" fillId="9" borderId="8" xfId="41" applyNumberFormat="1" applyFont="1" applyFill="1" applyBorder="1" applyAlignment="1">
      <alignment horizontal="center"/>
    </xf>
    <xf numFmtId="166" fontId="1" fillId="3" borderId="8" xfId="41" applyNumberFormat="1" applyFont="1" applyFill="1" applyBorder="1" applyAlignment="1">
      <alignment horizontal="center"/>
    </xf>
    <xf numFmtId="168" fontId="1" fillId="0" borderId="8" xfId="41" applyNumberFormat="1" applyFont="1" applyFill="1" applyBorder="1" applyAlignment="1">
      <alignment horizontal="center"/>
    </xf>
    <xf numFmtId="167" fontId="1" fillId="0" borderId="8" xfId="41" applyNumberFormat="1" applyFont="1" applyFill="1" applyBorder="1" applyAlignment="1">
      <alignment horizontal="center"/>
    </xf>
    <xf numFmtId="167" fontId="29" fillId="0" borderId="8" xfId="41" applyNumberFormat="1" applyFont="1" applyFill="1" applyBorder="1" applyAlignment="1">
      <alignment horizontal="center"/>
    </xf>
    <xf numFmtId="2" fontId="1" fillId="0" borderId="8" xfId="41" applyNumberFormat="1" applyFont="1" applyFill="1" applyBorder="1" applyAlignment="1">
      <alignment horizontal="center"/>
    </xf>
    <xf numFmtId="2" fontId="29" fillId="0" borderId="8" xfId="41" applyNumberFormat="1" applyFont="1" applyFill="1" applyBorder="1" applyAlignment="1">
      <alignment horizontal="center"/>
    </xf>
    <xf numFmtId="166" fontId="1" fillId="0" borderId="8" xfId="41" applyNumberFormat="1" applyFont="1" applyFill="1" applyBorder="1" applyAlignment="1">
      <alignment horizontal="center"/>
    </xf>
    <xf numFmtId="166" fontId="29" fillId="0" borderId="8" xfId="41" applyNumberFormat="1" applyFont="1" applyFill="1" applyBorder="1" applyAlignment="1">
      <alignment horizontal="center"/>
    </xf>
    <xf numFmtId="1" fontId="1" fillId="0" borderId="8" xfId="41" applyNumberFormat="1" applyFont="1" applyFill="1" applyBorder="1" applyAlignment="1">
      <alignment horizontal="center"/>
    </xf>
    <xf numFmtId="1" fontId="29" fillId="0" borderId="8" xfId="41" applyNumberFormat="1" applyFont="1" applyFill="1" applyBorder="1" applyAlignment="1">
      <alignment horizontal="center"/>
    </xf>
    <xf numFmtId="1" fontId="1" fillId="9" borderId="8" xfId="41" applyNumberFormat="1" applyFont="1" applyFill="1" applyBorder="1" applyAlignment="1">
      <alignment horizontal="center"/>
    </xf>
    <xf numFmtId="1" fontId="29" fillId="9" borderId="8" xfId="41" applyNumberFormat="1" applyFont="1" applyFill="1" applyBorder="1" applyAlignment="1">
      <alignment horizontal="center"/>
    </xf>
    <xf numFmtId="169" fontId="1" fillId="9" borderId="8" xfId="41" applyNumberFormat="1" applyFont="1" applyFill="1" applyBorder="1" applyAlignment="1">
      <alignment horizontal="center"/>
    </xf>
    <xf numFmtId="2" fontId="1" fillId="3" borderId="8" xfId="41" applyNumberFormat="1" applyFont="1" applyFill="1" applyBorder="1" applyAlignment="1">
      <alignment horizontal="center"/>
    </xf>
    <xf numFmtId="169" fontId="1" fillId="0" borderId="8" xfId="41" applyNumberFormat="1" applyFont="1" applyFill="1" applyBorder="1" applyAlignment="1">
      <alignment horizontal="center"/>
    </xf>
    <xf numFmtId="192" fontId="1" fillId="0" borderId="8" xfId="41" applyNumberFormat="1" applyFont="1" applyFill="1" applyBorder="1" applyAlignment="1">
      <alignment horizontal="center"/>
    </xf>
    <xf numFmtId="167" fontId="1" fillId="3" borderId="8" xfId="41" applyNumberFormat="1" applyFont="1" applyFill="1" applyBorder="1" applyAlignment="1">
      <alignment horizontal="center"/>
    </xf>
    <xf numFmtId="192" fontId="1" fillId="9" borderId="8" xfId="41" applyNumberFormat="1" applyFont="1" applyFill="1" applyBorder="1" applyAlignment="1">
      <alignment horizontal="center"/>
    </xf>
    <xf numFmtId="2" fontId="25" fillId="0" borderId="8" xfId="41" applyNumberFormat="1" applyFont="1" applyFill="1" applyBorder="1" applyAlignment="1">
      <alignment horizontal="center" vertical="center" wrapText="1"/>
    </xf>
    <xf numFmtId="166" fontId="29" fillId="0" borderId="8" xfId="41" applyNumberFormat="1" applyFont="1" applyFill="1" applyBorder="1" applyAlignment="1">
      <alignment horizontal="center" vertical="center" wrapText="1"/>
    </xf>
    <xf numFmtId="1" fontId="29" fillId="3" borderId="8" xfId="41" applyNumberFormat="1" applyFont="1" applyFill="1" applyBorder="1" applyAlignment="1">
      <alignment horizontal="center" vertical="center" wrapText="1"/>
    </xf>
    <xf numFmtId="167" fontId="25" fillId="0" borderId="8" xfId="41" applyNumberFormat="1" applyFont="1" applyFill="1" applyBorder="1" applyAlignment="1">
      <alignment horizontal="center" vertical="center" wrapText="1"/>
    </xf>
    <xf numFmtId="2" fontId="29" fillId="0" borderId="8" xfId="41" applyNumberFormat="1" applyFont="1" applyFill="1" applyBorder="1" applyAlignment="1">
      <alignment horizontal="center" vertical="center" wrapText="1"/>
    </xf>
    <xf numFmtId="169" fontId="25" fillId="0" borderId="8" xfId="41" applyNumberFormat="1" applyFont="1" applyFill="1" applyBorder="1" applyAlignment="1">
      <alignment horizontal="center" vertical="center" wrapText="1"/>
    </xf>
    <xf numFmtId="168" fontId="29" fillId="0" borderId="8" xfId="41" applyNumberFormat="1" applyFont="1" applyFill="1" applyBorder="1" applyAlignment="1">
      <alignment horizontal="center" vertical="center" wrapText="1"/>
    </xf>
    <xf numFmtId="2" fontId="29" fillId="3" borderId="8" xfId="41" applyNumberFormat="1" applyFont="1" applyFill="1" applyBorder="1" applyAlignment="1">
      <alignment horizontal="center" vertical="center" wrapText="1"/>
    </xf>
    <xf numFmtId="168" fontId="25" fillId="0" borderId="8" xfId="41" applyNumberFormat="1" applyFont="1" applyFill="1" applyBorder="1" applyAlignment="1">
      <alignment horizontal="center" vertical="center" wrapText="1"/>
    </xf>
    <xf numFmtId="167" fontId="29" fillId="0" borderId="8" xfId="41" applyNumberFormat="1" applyFont="1" applyFill="1" applyBorder="1" applyAlignment="1">
      <alignment horizontal="center" vertical="center" wrapText="1"/>
    </xf>
    <xf numFmtId="166" fontId="29" fillId="3" borderId="8" xfId="41" applyNumberFormat="1" applyFont="1" applyFill="1" applyBorder="1" applyAlignment="1">
      <alignment horizontal="center" vertical="center" wrapText="1"/>
    </xf>
    <xf numFmtId="166" fontId="25" fillId="0" borderId="8" xfId="41" applyNumberFormat="1" applyFont="1" applyFill="1" applyBorder="1" applyAlignment="1">
      <alignment horizontal="center" vertical="center" wrapText="1"/>
    </xf>
    <xf numFmtId="1" fontId="29" fillId="0" borderId="8" xfId="41" applyNumberFormat="1" applyFont="1" applyFill="1" applyBorder="1" applyAlignment="1">
      <alignment horizontal="center" vertical="center" wrapText="1"/>
    </xf>
    <xf numFmtId="166" fontId="59" fillId="17" borderId="57" xfId="40" applyNumberFormat="1" applyFill="1" applyBorder="1"/>
    <xf numFmtId="166" fontId="59" fillId="0" borderId="27" xfId="40" applyNumberFormat="1" applyBorder="1"/>
    <xf numFmtId="166" fontId="59" fillId="17" borderId="27" xfId="40" applyNumberFormat="1" applyFill="1" applyBorder="1"/>
    <xf numFmtId="166" fontId="58" fillId="0" borderId="65" xfId="40" applyNumberFormat="1" applyFont="1" applyFill="1" applyBorder="1"/>
    <xf numFmtId="166" fontId="59" fillId="17" borderId="66" xfId="40" applyNumberFormat="1" applyFill="1" applyBorder="1"/>
    <xf numFmtId="166" fontId="59" fillId="0" borderId="67" xfId="40" applyNumberFormat="1" applyBorder="1"/>
    <xf numFmtId="166" fontId="59" fillId="17" borderId="67" xfId="40" applyNumberFormat="1" applyFill="1" applyBorder="1"/>
    <xf numFmtId="166" fontId="58" fillId="0" borderId="68" xfId="40" applyNumberFormat="1" applyFont="1" applyFill="1" applyBorder="1"/>
    <xf numFmtId="166" fontId="59" fillId="0" borderId="25" xfId="40" applyNumberFormat="1" applyBorder="1"/>
    <xf numFmtId="166" fontId="59" fillId="0" borderId="61" xfId="40" applyNumberFormat="1" applyBorder="1"/>
    <xf numFmtId="166" fontId="58" fillId="0" borderId="31" xfId="40" applyNumberFormat="1" applyFont="1" applyBorder="1"/>
    <xf numFmtId="166" fontId="59" fillId="0" borderId="15" xfId="40" applyNumberFormat="1" applyBorder="1"/>
    <xf numFmtId="166" fontId="59" fillId="0" borderId="28" xfId="40" applyNumberFormat="1" applyBorder="1"/>
    <xf numFmtId="2" fontId="59" fillId="0" borderId="25" xfId="40" applyNumberFormat="1" applyBorder="1" applyAlignment="1">
      <alignment horizontal="right"/>
    </xf>
    <xf numFmtId="2" fontId="1" fillId="0" borderId="25" xfId="40" applyNumberFormat="1" applyFont="1" applyBorder="1" applyAlignment="1">
      <alignment horizontal="right"/>
    </xf>
    <xf numFmtId="2" fontId="1" fillId="0" borderId="19" xfId="40" applyNumberFormat="1" applyFont="1" applyBorder="1" applyAlignment="1">
      <alignment horizontal="right"/>
    </xf>
    <xf numFmtId="0" fontId="59" fillId="0" borderId="15" xfId="40" applyBorder="1"/>
    <xf numFmtId="2" fontId="1" fillId="0" borderId="61" xfId="40" applyNumberFormat="1" applyFont="1" applyBorder="1" applyAlignment="1">
      <alignment horizontal="right"/>
    </xf>
    <xf numFmtId="166" fontId="59" fillId="0" borderId="31" xfId="40" applyNumberFormat="1" applyBorder="1"/>
    <xf numFmtId="0" fontId="55" fillId="0" borderId="0" xfId="0" applyFont="1" applyAlignment="1">
      <alignment wrapText="1"/>
    </xf>
    <xf numFmtId="0" fontId="55" fillId="0" borderId="69" xfId="0" applyFont="1" applyBorder="1"/>
    <xf numFmtId="2" fontId="53" fillId="13" borderId="15" xfId="0" applyNumberFormat="1" applyFont="1" applyFill="1" applyBorder="1"/>
    <xf numFmtId="0" fontId="84" fillId="0" borderId="0" xfId="0" applyFont="1"/>
    <xf numFmtId="0" fontId="1" fillId="0" borderId="0" xfId="1" applyFont="1" applyBorder="1"/>
    <xf numFmtId="166" fontId="65" fillId="0" borderId="0" xfId="40" applyNumberFormat="1" applyFont="1" applyBorder="1"/>
    <xf numFmtId="166" fontId="60" fillId="0" borderId="61" xfId="40" applyNumberFormat="1" applyFont="1" applyBorder="1"/>
    <xf numFmtId="166" fontId="60" fillId="0" borderId="19" xfId="40" applyNumberFormat="1" applyFont="1" applyBorder="1"/>
    <xf numFmtId="0" fontId="65" fillId="0" borderId="31" xfId="40" applyFont="1" applyFill="1" applyBorder="1"/>
    <xf numFmtId="0" fontId="65" fillId="0" borderId="0" xfId="40" applyFont="1" applyBorder="1"/>
    <xf numFmtId="0" fontId="65" fillId="0" borderId="20" xfId="40" applyFont="1" applyBorder="1" applyAlignment="1">
      <alignment horizontal="left"/>
    </xf>
    <xf numFmtId="0" fontId="65" fillId="0" borderId="31" xfId="40" applyFont="1" applyBorder="1"/>
    <xf numFmtId="0" fontId="65" fillId="0" borderId="60" xfId="40" applyFont="1" applyBorder="1"/>
    <xf numFmtId="0" fontId="65" fillId="0" borderId="52" xfId="40" applyFont="1" applyBorder="1"/>
    <xf numFmtId="0" fontId="65" fillId="0" borderId="18" xfId="40" applyFont="1" applyBorder="1" applyAlignment="1">
      <alignment horizontal="left"/>
    </xf>
    <xf numFmtId="0" fontId="53" fillId="11" borderId="28" xfId="0" applyFont="1" applyFill="1" applyBorder="1"/>
    <xf numFmtId="0" fontId="55" fillId="11" borderId="29" xfId="0" applyFont="1" applyFill="1" applyBorder="1"/>
    <xf numFmtId="0" fontId="55" fillId="0" borderId="21" xfId="0" applyFont="1" applyFill="1" applyBorder="1"/>
    <xf numFmtId="0" fontId="55" fillId="0" borderId="23" xfId="0" applyFont="1" applyFill="1" applyBorder="1"/>
    <xf numFmtId="0" fontId="55" fillId="0" borderId="0" xfId="0" applyFont="1" applyFill="1" applyAlignment="1">
      <alignment wrapText="1"/>
    </xf>
    <xf numFmtId="0" fontId="55" fillId="0" borderId="0" xfId="0" applyFont="1" applyFill="1"/>
    <xf numFmtId="0" fontId="55" fillId="0" borderId="0" xfId="0" applyFont="1" applyFill="1" applyBorder="1"/>
    <xf numFmtId="0" fontId="40" fillId="0" borderId="0" xfId="40" applyFont="1" applyFill="1" applyBorder="1" applyAlignment="1">
      <alignment horizontal="left" vertical="center"/>
    </xf>
    <xf numFmtId="0" fontId="53" fillId="0" borderId="20" xfId="0" applyFont="1" applyBorder="1"/>
    <xf numFmtId="0" fontId="53" fillId="12" borderId="15" xfId="0" applyFont="1" applyFill="1" applyBorder="1" applyAlignment="1">
      <alignment horizontal="right" wrapText="1"/>
    </xf>
    <xf numFmtId="0" fontId="53" fillId="12" borderId="15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1" fontId="55" fillId="0" borderId="23" xfId="0" applyNumberFormat="1" applyFont="1" applyBorder="1"/>
    <xf numFmtId="166" fontId="53" fillId="13" borderId="15" xfId="0" applyNumberFormat="1" applyFont="1" applyFill="1" applyBorder="1"/>
    <xf numFmtId="0" fontId="55" fillId="0" borderId="0" xfId="0" applyFont="1" applyBorder="1"/>
    <xf numFmtId="2" fontId="55" fillId="0" borderId="21" xfId="0" applyNumberFormat="1" applyFont="1" applyFill="1" applyBorder="1"/>
    <xf numFmtId="2" fontId="55" fillId="0" borderId="23" xfId="0" applyNumberFormat="1" applyFont="1" applyFill="1" applyBorder="1"/>
    <xf numFmtId="0" fontId="55" fillId="0" borderId="29" xfId="0" applyFont="1" applyBorder="1" applyAlignment="1"/>
    <xf numFmtId="1" fontId="55" fillId="0" borderId="15" xfId="0" applyNumberFormat="1" applyFont="1" applyBorder="1" applyAlignment="1"/>
    <xf numFmtId="0" fontId="0" fillId="12" borderId="69" xfId="0" applyFill="1" applyBorder="1" applyAlignment="1">
      <alignment wrapText="1"/>
    </xf>
    <xf numFmtId="0" fontId="1" fillId="0" borderId="21" xfId="1" applyFont="1" applyFill="1" applyBorder="1" applyAlignment="1">
      <alignment vertical="center" wrapText="1"/>
    </xf>
    <xf numFmtId="0" fontId="1" fillId="0" borderId="22" xfId="1" applyFont="1" applyFill="1" applyBorder="1" applyAlignment="1">
      <alignment vertical="center" wrapText="1"/>
    </xf>
    <xf numFmtId="0" fontId="0" fillId="12" borderId="22" xfId="0" applyFill="1" applyBorder="1" applyAlignment="1">
      <alignment wrapText="1"/>
    </xf>
    <xf numFmtId="0" fontId="1" fillId="0" borderId="23" xfId="1" applyFont="1" applyFill="1" applyBorder="1" applyAlignment="1">
      <alignment vertical="center" wrapText="1"/>
    </xf>
    <xf numFmtId="0" fontId="0" fillId="0" borderId="23" xfId="0" applyBorder="1" applyAlignment="1">
      <alignment wrapText="1"/>
    </xf>
    <xf numFmtId="0" fontId="0" fillId="12" borderId="23" xfId="0" applyFill="1" applyBorder="1" applyAlignment="1">
      <alignment wrapText="1"/>
    </xf>
    <xf numFmtId="0" fontId="0" fillId="0" borderId="79" xfId="0" applyBorder="1" applyAlignment="1">
      <alignment wrapText="1"/>
    </xf>
    <xf numFmtId="0" fontId="0" fillId="12" borderId="79" xfId="0" applyFill="1" applyBorder="1" applyAlignment="1">
      <alignment wrapText="1"/>
    </xf>
    <xf numFmtId="0" fontId="1" fillId="11" borderId="21" xfId="1" applyFont="1" applyFill="1" applyBorder="1" applyAlignment="1">
      <alignment vertical="center" wrapText="1"/>
    </xf>
    <xf numFmtId="0" fontId="1" fillId="11" borderId="22" xfId="1" applyFont="1" applyFill="1" applyBorder="1" applyAlignment="1">
      <alignment vertical="center" wrapText="1"/>
    </xf>
    <xf numFmtId="0" fontId="1" fillId="11" borderId="23" xfId="1" applyFont="1" applyFill="1" applyBorder="1" applyAlignment="1">
      <alignment vertical="center" wrapText="1"/>
    </xf>
    <xf numFmtId="0" fontId="0" fillId="11" borderId="23" xfId="0" applyFill="1" applyBorder="1" applyAlignment="1">
      <alignment wrapText="1"/>
    </xf>
    <xf numFmtId="0" fontId="0" fillId="11" borderId="79" xfId="0" applyFill="1" applyBorder="1" applyAlignment="1">
      <alignment wrapText="1"/>
    </xf>
    <xf numFmtId="0" fontId="55" fillId="34" borderId="15" xfId="0" applyFont="1" applyFill="1" applyBorder="1"/>
    <xf numFmtId="0" fontId="55" fillId="32" borderId="15" xfId="0" applyFont="1" applyFill="1" applyBorder="1"/>
    <xf numFmtId="0" fontId="55" fillId="35" borderId="15" xfId="0" applyFont="1" applyFill="1" applyBorder="1"/>
    <xf numFmtId="2" fontId="55" fillId="0" borderId="22" xfId="0" applyNumberFormat="1" applyFont="1" applyBorder="1"/>
    <xf numFmtId="166" fontId="53" fillId="11" borderId="15" xfId="0" applyNumberFormat="1" applyFont="1" applyFill="1" applyBorder="1"/>
    <xf numFmtId="3" fontId="53" fillId="13" borderId="15" xfId="0" applyNumberFormat="1" applyFont="1" applyFill="1" applyBorder="1"/>
    <xf numFmtId="3" fontId="55" fillId="0" borderId="22" xfId="0" applyNumberFormat="1" applyFont="1" applyBorder="1"/>
    <xf numFmtId="0" fontId="53" fillId="0" borderId="0" xfId="0" applyFont="1" applyAlignment="1">
      <alignment vertical="top"/>
    </xf>
    <xf numFmtId="0" fontId="0" fillId="0" borderId="21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80" xfId="1" applyFont="1" applyFill="1" applyBorder="1" applyAlignment="1">
      <alignment vertical="center" wrapText="1"/>
    </xf>
    <xf numFmtId="0" fontId="0" fillId="0" borderId="22" xfId="0" applyFill="1" applyBorder="1" applyAlignment="1">
      <alignment wrapText="1"/>
    </xf>
    <xf numFmtId="0" fontId="0" fillId="0" borderId="69" xfId="0" applyBorder="1" applyAlignment="1">
      <alignment wrapText="1"/>
    </xf>
    <xf numFmtId="0" fontId="0" fillId="11" borderId="83" xfId="0" applyFill="1" applyBorder="1" applyAlignment="1">
      <alignment horizontal="center" vertical="center" wrapText="1"/>
    </xf>
    <xf numFmtId="0" fontId="0" fillId="11" borderId="84" xfId="0" applyFill="1" applyBorder="1" applyAlignment="1">
      <alignment horizontal="center" vertical="center" wrapText="1"/>
    </xf>
    <xf numFmtId="0" fontId="0" fillId="11" borderId="85" xfId="0" applyFill="1" applyBorder="1" applyAlignment="1">
      <alignment horizontal="center" vertical="center" wrapText="1"/>
    </xf>
    <xf numFmtId="0" fontId="0" fillId="11" borderId="80" xfId="0" applyFill="1" applyBorder="1" applyAlignment="1">
      <alignment horizontal="center" vertical="center" wrapText="1"/>
    </xf>
    <xf numFmtId="0" fontId="0" fillId="13" borderId="22" xfId="0" applyFill="1" applyBorder="1" applyAlignment="1">
      <alignment wrapText="1"/>
    </xf>
    <xf numFmtId="0" fontId="1" fillId="13" borderId="22" xfId="1" applyFont="1" applyFill="1" applyBorder="1" applyAlignment="1">
      <alignment vertical="center" wrapText="1"/>
    </xf>
    <xf numFmtId="0" fontId="0" fillId="13" borderId="88" xfId="0" applyFill="1" applyBorder="1" applyAlignment="1">
      <alignment wrapText="1"/>
    </xf>
    <xf numFmtId="0" fontId="0" fillId="13" borderId="80" xfId="0" applyFill="1" applyBorder="1" applyAlignment="1">
      <alignment wrapText="1"/>
    </xf>
    <xf numFmtId="0" fontId="1" fillId="13" borderId="21" xfId="1" applyFont="1" applyFill="1" applyBorder="1" applyAlignment="1">
      <alignment vertical="center" wrapText="1"/>
    </xf>
    <xf numFmtId="0" fontId="1" fillId="0" borderId="69" xfId="1" applyFont="1" applyFill="1" applyBorder="1" applyAlignment="1">
      <alignment vertical="center" wrapText="1"/>
    </xf>
    <xf numFmtId="0" fontId="0" fillId="11" borderId="80" xfId="0" applyFill="1" applyBorder="1" applyAlignment="1">
      <alignment horizontal="left" vertical="center" wrapText="1"/>
    </xf>
    <xf numFmtId="0" fontId="0" fillId="11" borderId="87" xfId="0" applyFill="1" applyBorder="1" applyAlignment="1">
      <alignment horizontal="center" vertical="center" wrapText="1"/>
    </xf>
    <xf numFmtId="0" fontId="0" fillId="11" borderId="80" xfId="0" applyFill="1" applyBorder="1" applyAlignment="1">
      <alignment wrapText="1"/>
    </xf>
    <xf numFmtId="0" fontId="1" fillId="13" borderId="23" xfId="1" applyFont="1" applyFill="1" applyBorder="1" applyAlignment="1">
      <alignment vertical="center" wrapText="1"/>
    </xf>
    <xf numFmtId="0" fontId="0" fillId="13" borderId="2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11" borderId="82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1" fillId="11" borderId="25" xfId="1" applyFont="1" applyFill="1" applyBorder="1" applyAlignment="1">
      <alignment vertical="center" wrapText="1"/>
    </xf>
    <xf numFmtId="0" fontId="0" fillId="11" borderId="86" xfId="0" applyFill="1" applyBorder="1" applyAlignment="1">
      <alignment horizontal="center" vertical="center" wrapText="1"/>
    </xf>
    <xf numFmtId="0" fontId="0" fillId="11" borderId="63" xfId="0" applyFill="1" applyBorder="1" applyAlignment="1">
      <alignment wrapText="1"/>
    </xf>
    <xf numFmtId="0" fontId="1" fillId="11" borderId="82" xfId="1" applyFont="1" applyFill="1" applyBorder="1" applyAlignment="1">
      <alignment vertical="center" wrapText="1"/>
    </xf>
    <xf numFmtId="0" fontId="0" fillId="11" borderId="0" xfId="0" applyFill="1" applyAlignment="1">
      <alignment wrapText="1"/>
    </xf>
    <xf numFmtId="0" fontId="0" fillId="11" borderId="69" xfId="0" applyFill="1" applyBorder="1" applyAlignment="1">
      <alignment wrapText="1"/>
    </xf>
    <xf numFmtId="0" fontId="1" fillId="13" borderId="88" xfId="1" applyFont="1" applyFill="1" applyBorder="1" applyAlignment="1">
      <alignment vertical="center" wrapText="1"/>
    </xf>
    <xf numFmtId="0" fontId="1" fillId="11" borderId="79" xfId="1" applyFont="1" applyFill="1" applyBorder="1" applyAlignment="1">
      <alignment vertical="center" wrapText="1"/>
    </xf>
    <xf numFmtId="0" fontId="1" fillId="11" borderId="69" xfId="1" applyFont="1" applyFill="1" applyBorder="1" applyAlignment="1">
      <alignment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8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69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11" borderId="90" xfId="0" applyFill="1" applyBorder="1" applyAlignment="1">
      <alignment wrapText="1"/>
    </xf>
    <xf numFmtId="0" fontId="0" fillId="11" borderId="89" xfId="0" applyFill="1" applyBorder="1" applyAlignment="1">
      <alignment wrapText="1"/>
    </xf>
    <xf numFmtId="0" fontId="0" fillId="0" borderId="79" xfId="0" applyFill="1" applyBorder="1" applyAlignment="1">
      <alignment wrapText="1"/>
    </xf>
    <xf numFmtId="0" fontId="0" fillId="0" borderId="90" xfId="0" applyFill="1" applyBorder="1" applyAlignment="1">
      <alignment wrapText="1"/>
    </xf>
    <xf numFmtId="0" fontId="0" fillId="0" borderId="82" xfId="0" applyFill="1" applyBorder="1" applyAlignment="1">
      <alignment wrapText="1"/>
    </xf>
    <xf numFmtId="0" fontId="0" fillId="0" borderId="69" xfId="0" applyBorder="1" applyAlignment="1">
      <alignment horizontal="center" vertical="center" wrapText="1"/>
    </xf>
    <xf numFmtId="0" fontId="0" fillId="0" borderId="88" xfId="0" applyBorder="1" applyAlignment="1">
      <alignment wrapText="1"/>
    </xf>
    <xf numFmtId="0" fontId="1" fillId="0" borderId="88" xfId="1" applyFont="1" applyFill="1" applyBorder="1" applyAlignment="1">
      <alignment vertical="center" wrapText="1"/>
    </xf>
    <xf numFmtId="0" fontId="0" fillId="0" borderId="52" xfId="0" applyBorder="1" applyAlignment="1">
      <alignment wrapText="1"/>
    </xf>
    <xf numFmtId="0" fontId="0" fillId="0" borderId="9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11" borderId="81" xfId="0" applyFill="1" applyBorder="1" applyAlignment="1">
      <alignment horizontal="center" vertical="center" wrapText="1"/>
    </xf>
    <xf numFmtId="2" fontId="60" fillId="28" borderId="0" xfId="40" applyNumberFormat="1" applyFont="1" applyFill="1"/>
    <xf numFmtId="0" fontId="0" fillId="17" borderId="0" xfId="0" applyFill="1" applyBorder="1" applyAlignment="1">
      <alignment wrapText="1"/>
    </xf>
    <xf numFmtId="0" fontId="0" fillId="17" borderId="0" xfId="0" applyFill="1" applyAlignment="1">
      <alignment wrapText="1"/>
    </xf>
    <xf numFmtId="0" fontId="94" fillId="17" borderId="0" xfId="0" applyFon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left"/>
    </xf>
    <xf numFmtId="0" fontId="0" fillId="13" borderId="21" xfId="0" applyFill="1" applyBorder="1" applyAlignment="1">
      <alignment wrapText="1"/>
    </xf>
    <xf numFmtId="0" fontId="0" fillId="0" borderId="97" xfId="0" applyBorder="1" applyAlignment="1">
      <alignment horizontal="center" vertical="center" wrapText="1"/>
    </xf>
    <xf numFmtId="0" fontId="0" fillId="13" borderId="97" xfId="0" applyFill="1" applyBorder="1" applyAlignment="1">
      <alignment wrapText="1"/>
    </xf>
    <xf numFmtId="0" fontId="0" fillId="0" borderId="97" xfId="0" applyFill="1" applyBorder="1" applyAlignment="1">
      <alignment wrapText="1"/>
    </xf>
    <xf numFmtId="0" fontId="1" fillId="0" borderId="97" xfId="1" applyFont="1" applyFill="1" applyBorder="1" applyAlignment="1">
      <alignment vertical="center" wrapText="1"/>
    </xf>
    <xf numFmtId="0" fontId="0" fillId="0" borderId="97" xfId="0" applyBorder="1" applyAlignment="1">
      <alignment wrapText="1"/>
    </xf>
    <xf numFmtId="0" fontId="1" fillId="13" borderId="97" xfId="1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13" borderId="25" xfId="0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1" fillId="0" borderId="25" xfId="1" applyFont="1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1" fillId="13" borderId="25" xfId="1" applyFont="1" applyFill="1" applyBorder="1" applyAlignment="1">
      <alignment vertical="center" wrapText="1"/>
    </xf>
    <xf numFmtId="0" fontId="0" fillId="12" borderId="25" xfId="0" applyFill="1" applyBorder="1" applyAlignment="1">
      <alignment wrapText="1"/>
    </xf>
    <xf numFmtId="0" fontId="0" fillId="0" borderId="98" xfId="0" applyBorder="1" applyAlignment="1">
      <alignment horizontal="center" vertical="center" wrapText="1"/>
    </xf>
    <xf numFmtId="0" fontId="0" fillId="13" borderId="98" xfId="0" applyFill="1" applyBorder="1" applyAlignment="1">
      <alignment wrapText="1"/>
    </xf>
    <xf numFmtId="0" fontId="0" fillId="0" borderId="98" xfId="0" applyFill="1" applyBorder="1" applyAlignment="1">
      <alignment wrapText="1"/>
    </xf>
    <xf numFmtId="0" fontId="1" fillId="0" borderId="98" xfId="1" applyFont="1" applyFill="1" applyBorder="1" applyAlignment="1">
      <alignment vertical="center" wrapText="1"/>
    </xf>
    <xf numFmtId="0" fontId="0" fillId="0" borderId="98" xfId="0" applyBorder="1" applyAlignment="1">
      <alignment wrapText="1"/>
    </xf>
    <xf numFmtId="0" fontId="1" fillId="13" borderId="98" xfId="1" applyFont="1" applyFill="1" applyBorder="1" applyAlignment="1">
      <alignment vertical="center" wrapText="1"/>
    </xf>
    <xf numFmtId="0" fontId="0" fillId="12" borderId="98" xfId="0" applyFill="1" applyBorder="1" applyAlignment="1">
      <alignment wrapText="1"/>
    </xf>
    <xf numFmtId="2" fontId="55" fillId="0" borderId="25" xfId="0" applyNumberFormat="1" applyFont="1" applyBorder="1" applyAlignment="1">
      <alignment vertical="center"/>
    </xf>
    <xf numFmtId="0" fontId="55" fillId="0" borderId="15" xfId="0" applyFont="1" applyBorder="1"/>
    <xf numFmtId="2" fontId="60" fillId="28" borderId="0" xfId="40" applyNumberFormat="1" applyFont="1" applyFill="1" applyBorder="1" applyAlignment="1">
      <alignment horizontal="right"/>
    </xf>
    <xf numFmtId="2" fontId="60" fillId="28" borderId="0" xfId="40" applyNumberFormat="1" applyFont="1" applyFill="1" applyBorder="1"/>
    <xf numFmtId="2" fontId="60" fillId="25" borderId="37" xfId="40" applyNumberFormat="1" applyFont="1" applyFill="1" applyBorder="1"/>
    <xf numFmtId="0" fontId="60" fillId="25" borderId="34" xfId="40" applyFont="1" applyFill="1" applyBorder="1" applyAlignment="1">
      <alignment horizontal="right"/>
    </xf>
    <xf numFmtId="2" fontId="60" fillId="24" borderId="37" xfId="40" applyNumberFormat="1" applyFont="1" applyFill="1" applyBorder="1"/>
    <xf numFmtId="0" fontId="60" fillId="24" borderId="34" xfId="40" applyFont="1" applyFill="1" applyBorder="1" applyAlignment="1">
      <alignment horizontal="right"/>
    </xf>
    <xf numFmtId="0" fontId="60" fillId="27" borderId="54" xfId="40" applyFont="1" applyFill="1" applyBorder="1" applyAlignment="1">
      <alignment horizontal="center"/>
    </xf>
    <xf numFmtId="0" fontId="0" fillId="13" borderId="82" xfId="0" applyFill="1" applyBorder="1" applyAlignment="1">
      <alignment wrapText="1"/>
    </xf>
    <xf numFmtId="0" fontId="1" fillId="0" borderId="82" xfId="1" applyFont="1" applyFill="1" applyBorder="1" applyAlignment="1">
      <alignment vertical="center" wrapText="1"/>
    </xf>
    <xf numFmtId="0" fontId="0" fillId="0" borderId="82" xfId="0" applyBorder="1" applyAlignment="1">
      <alignment wrapText="1"/>
    </xf>
    <xf numFmtId="0" fontId="1" fillId="13" borderId="82" xfId="1" applyFont="1" applyFill="1" applyBorder="1" applyAlignment="1">
      <alignment vertical="center" wrapText="1"/>
    </xf>
    <xf numFmtId="0" fontId="0" fillId="12" borderId="82" xfId="0" applyFill="1" applyBorder="1" applyAlignment="1">
      <alignment wrapText="1"/>
    </xf>
    <xf numFmtId="0" fontId="0" fillId="0" borderId="100" xfId="0" applyBorder="1" applyAlignment="1">
      <alignment wrapText="1"/>
    </xf>
    <xf numFmtId="4" fontId="60" fillId="0" borderId="99" xfId="40" applyNumberFormat="1" applyFont="1" applyFill="1" applyBorder="1" applyAlignment="1">
      <alignment horizontal="left" indent="2"/>
    </xf>
    <xf numFmtId="0" fontId="60" fillId="25" borderId="99" xfId="40" applyFont="1" applyFill="1" applyBorder="1" applyAlignment="1">
      <alignment horizontal="left" indent="2"/>
    </xf>
    <xf numFmtId="4" fontId="60" fillId="25" borderId="99" xfId="40" applyNumberFormat="1" applyFont="1" applyFill="1" applyBorder="1" applyAlignment="1">
      <alignment horizontal="left" indent="2"/>
    </xf>
    <xf numFmtId="0" fontId="60" fillId="25" borderId="54" xfId="40" applyFont="1" applyFill="1" applyBorder="1" applyAlignment="1">
      <alignment horizontal="center"/>
    </xf>
    <xf numFmtId="0" fontId="60" fillId="24" borderId="99" xfId="40" applyFont="1" applyFill="1" applyBorder="1" applyAlignment="1">
      <alignment horizontal="left" indent="2"/>
    </xf>
    <xf numFmtId="4" fontId="60" fillId="24" borderId="99" xfId="40" applyNumberFormat="1" applyFont="1" applyFill="1" applyBorder="1" applyAlignment="1">
      <alignment horizontal="left" indent="2"/>
    </xf>
    <xf numFmtId="0" fontId="60" fillId="24" borderId="54" xfId="40" applyFont="1" applyFill="1" applyBorder="1" applyAlignment="1">
      <alignment horizontal="center"/>
    </xf>
    <xf numFmtId="11" fontId="3" fillId="2" borderId="2" xfId="1" applyNumberFormat="1" applyFont="1" applyFill="1" applyBorder="1" applyAlignment="1">
      <alignment horizontal="left"/>
    </xf>
    <xf numFmtId="11" fontId="3" fillId="2" borderId="1" xfId="1" applyNumberFormat="1" applyFont="1" applyFill="1" applyBorder="1" applyAlignment="1">
      <alignment horizontal="center"/>
    </xf>
    <xf numFmtId="11" fontId="5" fillId="2" borderId="1" xfId="1" applyNumberFormat="1" applyFont="1" applyFill="1" applyBorder="1" applyAlignment="1">
      <alignment horizontal="left"/>
    </xf>
    <xf numFmtId="11" fontId="6" fillId="2" borderId="1" xfId="1" applyNumberFormat="1" applyFont="1" applyFill="1" applyBorder="1" applyAlignment="1">
      <alignment horizontal="center"/>
    </xf>
    <xf numFmtId="11" fontId="6" fillId="2" borderId="3" xfId="1" applyNumberFormat="1" applyFont="1" applyFill="1" applyBorder="1" applyAlignment="1">
      <alignment horizontal="right"/>
    </xf>
    <xf numFmtId="0" fontId="78" fillId="0" borderId="1" xfId="1" applyFont="1" applyBorder="1"/>
    <xf numFmtId="0" fontId="9" fillId="2" borderId="4" xfId="1" applyFont="1" applyFill="1" applyBorder="1" applyAlignment="1">
      <alignment horizontal="left"/>
    </xf>
    <xf numFmtId="11" fontId="83" fillId="2" borderId="0" xfId="1" applyNumberFormat="1" applyFont="1" applyFill="1" applyBorder="1" applyAlignment="1"/>
    <xf numFmtId="11" fontId="82" fillId="2" borderId="0" xfId="1" applyNumberFormat="1" applyFont="1" applyFill="1" applyBorder="1" applyAlignment="1"/>
    <xf numFmtId="0" fontId="13" fillId="2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0" fontId="83" fillId="0" borderId="0" xfId="1" applyFont="1"/>
    <xf numFmtId="11" fontId="18" fillId="0" borderId="8" xfId="1" applyNumberFormat="1" applyFont="1" applyFill="1" applyBorder="1" applyAlignment="1">
      <alignment horizontal="centerContinuous" vertical="center" wrapText="1"/>
    </xf>
    <xf numFmtId="11" fontId="19" fillId="0" borderId="8" xfId="1" applyNumberFormat="1" applyFont="1" applyFill="1" applyBorder="1" applyAlignment="1">
      <alignment horizontal="center" vertical="center" wrapText="1"/>
    </xf>
    <xf numFmtId="11" fontId="18" fillId="0" borderId="10" xfId="1" applyNumberFormat="1" applyFont="1" applyFill="1" applyBorder="1" applyAlignment="1">
      <alignment horizontal="center" vertical="top" wrapText="1"/>
    </xf>
    <xf numFmtId="11" fontId="18" fillId="0" borderId="10" xfId="1" applyNumberFormat="1" applyFont="1" applyFill="1" applyBorder="1" applyAlignment="1">
      <alignment vertical="top" wrapText="1"/>
    </xf>
    <xf numFmtId="11" fontId="18" fillId="3" borderId="11" xfId="1" applyNumberFormat="1" applyFont="1" applyFill="1" applyBorder="1" applyAlignment="1">
      <alignment horizontal="center" vertical="top" wrapText="1"/>
    </xf>
    <xf numFmtId="11" fontId="18" fillId="3" borderId="0" xfId="1" applyNumberFormat="1" applyFont="1" applyFill="1" applyBorder="1" applyAlignment="1">
      <alignment horizontal="center" vertical="top" wrapText="1"/>
    </xf>
    <xf numFmtId="11" fontId="18" fillId="3" borderId="9" xfId="1" applyNumberFormat="1" applyFont="1" applyFill="1" applyBorder="1" applyAlignment="1">
      <alignment horizontal="center" vertical="top" wrapText="1"/>
    </xf>
    <xf numFmtId="11" fontId="19" fillId="0" borderId="10" xfId="1" applyNumberFormat="1" applyFont="1" applyFill="1" applyBorder="1" applyAlignment="1">
      <alignment horizontal="center" vertical="top" wrapText="1"/>
    </xf>
    <xf numFmtId="11" fontId="19" fillId="0" borderId="10" xfId="1" applyNumberFormat="1" applyFont="1" applyFill="1" applyBorder="1" applyAlignment="1">
      <alignment vertical="top" wrapText="1"/>
    </xf>
    <xf numFmtId="11" fontId="24" fillId="0" borderId="10" xfId="1" applyNumberFormat="1" applyFont="1" applyFill="1" applyBorder="1" applyAlignment="1">
      <alignment vertical="top" wrapText="1"/>
    </xf>
    <xf numFmtId="11" fontId="24" fillId="0" borderId="10" xfId="1" applyNumberFormat="1" applyFont="1" applyFill="1" applyBorder="1" applyAlignment="1">
      <alignment horizontal="center" vertical="top" wrapText="1"/>
    </xf>
    <xf numFmtId="11" fontId="25" fillId="0" borderId="10" xfId="1" applyNumberFormat="1" applyFont="1" applyFill="1" applyBorder="1" applyAlignment="1">
      <alignment vertical="top" wrapText="1"/>
    </xf>
    <xf numFmtId="11" fontId="25" fillId="3" borderId="7" xfId="1" applyNumberFormat="1" applyFont="1" applyFill="1" applyBorder="1" applyAlignment="1">
      <alignment horizontal="center" vertical="top" wrapText="1"/>
    </xf>
    <xf numFmtId="11" fontId="26" fillId="3" borderId="7" xfId="1" applyNumberFormat="1" applyFont="1" applyFill="1" applyBorder="1" applyAlignment="1">
      <alignment horizontal="center" vertical="top" wrapText="1"/>
    </xf>
    <xf numFmtId="11" fontId="25" fillId="0" borderId="7" xfId="1" applyNumberFormat="1" applyFont="1" applyFill="1" applyBorder="1" applyAlignment="1">
      <alignment horizontal="center" vertical="top" wrapText="1"/>
    </xf>
    <xf numFmtId="11" fontId="26" fillId="0" borderId="7" xfId="1" applyNumberFormat="1" applyFont="1" applyFill="1" applyBorder="1" applyAlignment="1">
      <alignment horizontal="center" vertical="top" wrapText="1"/>
    </xf>
    <xf numFmtId="11" fontId="20" fillId="0" borderId="10" xfId="1" applyNumberFormat="1" applyFont="1" applyFill="1" applyBorder="1" applyAlignment="1">
      <alignment horizontal="center" vertical="top" wrapText="1"/>
    </xf>
    <xf numFmtId="11" fontId="21" fillId="0" borderId="10" xfId="1" applyNumberFormat="1" applyFont="1" applyFill="1" applyBorder="1" applyAlignment="1">
      <alignment horizontal="left" vertical="center" wrapText="1"/>
    </xf>
    <xf numFmtId="11" fontId="26" fillId="0" borderId="10" xfId="1" applyNumberFormat="1" applyFont="1" applyBorder="1" applyAlignment="1">
      <alignment vertical="center"/>
    </xf>
    <xf numFmtId="11" fontId="27" fillId="3" borderId="10" xfId="1" applyNumberFormat="1" applyFont="1" applyFill="1" applyBorder="1" applyAlignment="1">
      <alignment horizontal="center" vertical="top" wrapText="1"/>
    </xf>
    <xf numFmtId="11" fontId="28" fillId="3" borderId="10" xfId="1" applyNumberFormat="1" applyFont="1" applyFill="1" applyBorder="1" applyAlignment="1">
      <alignment horizontal="center" vertical="top" wrapText="1"/>
    </xf>
    <xf numFmtId="11" fontId="27" fillId="0" borderId="10" xfId="1" applyNumberFormat="1" applyFont="1" applyFill="1" applyBorder="1" applyAlignment="1">
      <alignment horizontal="center" vertical="top" wrapText="1"/>
    </xf>
    <xf numFmtId="11" fontId="28" fillId="0" borderId="10" xfId="1" applyNumberFormat="1" applyFont="1" applyFill="1" applyBorder="1" applyAlignment="1">
      <alignment horizontal="center" vertical="top" wrapText="1"/>
    </xf>
    <xf numFmtId="11" fontId="26" fillId="3" borderId="10" xfId="1" applyNumberFormat="1" applyFont="1" applyFill="1" applyBorder="1" applyAlignment="1">
      <alignment horizontal="center" vertical="center" wrapText="1"/>
    </xf>
    <xf numFmtId="11" fontId="26" fillId="0" borderId="10" xfId="1" applyNumberFormat="1" applyFont="1" applyFill="1" applyBorder="1" applyAlignment="1">
      <alignment horizontal="center" vertical="center" wrapText="1"/>
    </xf>
    <xf numFmtId="11" fontId="29" fillId="16" borderId="8" xfId="1" applyNumberFormat="1" applyFont="1" applyFill="1" applyBorder="1" applyAlignment="1">
      <alignment vertical="center" wrapText="1"/>
    </xf>
    <xf numFmtId="11" fontId="29" fillId="16" borderId="8" xfId="1" applyNumberFormat="1" applyFont="1" applyFill="1" applyBorder="1" applyAlignment="1">
      <alignment horizontal="center" vertical="center" wrapText="1"/>
    </xf>
    <xf numFmtId="11" fontId="31" fillId="16" borderId="8" xfId="1" applyNumberFormat="1" applyFont="1" applyFill="1" applyBorder="1" applyAlignment="1">
      <alignment vertical="center" wrapText="1"/>
    </xf>
    <xf numFmtId="11" fontId="31" fillId="3" borderId="8" xfId="1" applyNumberFormat="1" applyFont="1" applyFill="1" applyBorder="1" applyAlignment="1">
      <alignment vertical="center" wrapText="1"/>
    </xf>
    <xf numFmtId="11" fontId="31" fillId="16" borderId="8" xfId="1" applyNumberFormat="1" applyFont="1" applyFill="1" applyBorder="1" applyAlignment="1">
      <alignment horizontal="center" vertical="center"/>
    </xf>
    <xf numFmtId="11" fontId="31" fillId="16" borderId="8" xfId="1" applyNumberFormat="1" applyFont="1" applyFill="1" applyBorder="1" applyAlignment="1">
      <alignment horizontal="center" vertical="center" wrapText="1"/>
    </xf>
    <xf numFmtId="11" fontId="31" fillId="16" borderId="13" xfId="1" applyNumberFormat="1" applyFont="1" applyFill="1" applyBorder="1" applyAlignment="1">
      <alignment horizontal="left" vertical="center" wrapText="1"/>
    </xf>
    <xf numFmtId="0" fontId="1" fillId="0" borderId="1" xfId="1" applyBorder="1"/>
    <xf numFmtId="0" fontId="1" fillId="0" borderId="1" xfId="1" applyFont="1" applyBorder="1" applyAlignment="1">
      <alignment vertical="center"/>
    </xf>
    <xf numFmtId="11" fontId="1" fillId="0" borderId="8" xfId="1" applyNumberFormat="1" applyFont="1" applyBorder="1" applyAlignment="1">
      <alignment vertical="center" wrapText="1"/>
    </xf>
    <xf numFmtId="11" fontId="1" fillId="0" borderId="8" xfId="1" applyNumberFormat="1" applyFont="1" applyBorder="1" applyAlignment="1">
      <alignment horizontal="center" vertical="center" shrinkToFit="1"/>
    </xf>
    <xf numFmtId="11" fontId="1" fillId="0" borderId="8" xfId="1" applyNumberFormat="1" applyFont="1" applyBorder="1" applyAlignment="1">
      <alignment horizontal="center" vertical="center" wrapText="1"/>
    </xf>
    <xf numFmtId="1" fontId="29" fillId="3" borderId="8" xfId="1" applyNumberFormat="1" applyFont="1" applyFill="1" applyBorder="1" applyAlignment="1">
      <alignment horizontal="center" vertical="center" wrapText="1"/>
    </xf>
    <xf numFmtId="1" fontId="1" fillId="3" borderId="8" xfId="1" applyNumberFormat="1" applyFont="1" applyFill="1" applyBorder="1" applyAlignment="1">
      <alignment horizontal="center" vertical="center" wrapText="1"/>
    </xf>
    <xf numFmtId="0" fontId="1" fillId="3" borderId="8" xfId="1" applyNumberFormat="1" applyFont="1" applyFill="1" applyBorder="1" applyAlignment="1">
      <alignment horizontal="center" vertical="center" wrapText="1"/>
    </xf>
    <xf numFmtId="0" fontId="1" fillId="16" borderId="8" xfId="1" applyNumberFormat="1" applyFont="1" applyFill="1" applyBorder="1" applyAlignment="1">
      <alignment horizontal="center" vertical="center" wrapText="1"/>
    </xf>
    <xf numFmtId="168" fontId="25" fillId="0" borderId="8" xfId="1" applyNumberFormat="1" applyFont="1" applyFill="1" applyBorder="1" applyAlignment="1">
      <alignment horizontal="center" vertical="center" wrapText="1"/>
    </xf>
    <xf numFmtId="11" fontId="32" fillId="0" borderId="8" xfId="1" applyNumberFormat="1" applyFont="1" applyBorder="1" applyAlignment="1">
      <alignment horizontal="center" vertical="center" shrinkToFit="1"/>
    </xf>
    <xf numFmtId="11" fontId="32" fillId="0" borderId="8" xfId="1" applyNumberFormat="1" applyFont="1" applyBorder="1" applyAlignment="1">
      <alignment horizontal="left" vertical="center" wrapText="1"/>
    </xf>
    <xf numFmtId="166" fontId="29" fillId="3" borderId="8" xfId="1" applyNumberFormat="1" applyFont="1" applyFill="1" applyBorder="1" applyAlignment="1">
      <alignment horizontal="center" vertical="center" wrapText="1"/>
    </xf>
    <xf numFmtId="166" fontId="1" fillId="3" borderId="8" xfId="1" applyNumberFormat="1" applyFont="1" applyFill="1" applyBorder="1" applyAlignment="1">
      <alignment horizontal="center" vertical="center" wrapText="1"/>
    </xf>
    <xf numFmtId="11" fontId="23" fillId="0" borderId="8" xfId="1" applyNumberFormat="1" applyFont="1" applyBorder="1" applyAlignment="1">
      <alignment vertical="center" wrapText="1"/>
    </xf>
    <xf numFmtId="11" fontId="23" fillId="0" borderId="8" xfId="1" applyNumberFormat="1" applyFont="1" applyBorder="1" applyAlignment="1">
      <alignment horizontal="center" vertical="center" shrinkToFit="1"/>
    </xf>
    <xf numFmtId="11" fontId="23" fillId="0" borderId="8" xfId="1" applyNumberFormat="1" applyFont="1" applyBorder="1" applyAlignment="1">
      <alignment horizontal="center" vertical="center" wrapText="1"/>
    </xf>
    <xf numFmtId="166" fontId="14" fillId="3" borderId="8" xfId="1" applyNumberFormat="1" applyFont="1" applyFill="1" applyBorder="1" applyAlignment="1">
      <alignment horizontal="center" vertical="center" wrapText="1"/>
    </xf>
    <xf numFmtId="166" fontId="23" fillId="3" borderId="8" xfId="1" applyNumberFormat="1" applyFont="1" applyFill="1" applyBorder="1" applyAlignment="1">
      <alignment horizontal="center" vertical="center" wrapText="1"/>
    </xf>
    <xf numFmtId="0" fontId="23" fillId="3" borderId="8" xfId="1" applyNumberFormat="1" applyFont="1" applyFill="1" applyBorder="1" applyAlignment="1">
      <alignment horizontal="center" vertical="center" wrapText="1"/>
    </xf>
    <xf numFmtId="0" fontId="23" fillId="16" borderId="8" xfId="1" applyNumberFormat="1" applyFont="1" applyFill="1" applyBorder="1" applyAlignment="1">
      <alignment horizontal="center" vertical="center" wrapText="1"/>
    </xf>
    <xf numFmtId="168" fontId="81" fillId="0" borderId="8" xfId="1" applyNumberFormat="1" applyFont="1" applyFill="1" applyBorder="1" applyAlignment="1">
      <alignment horizontal="center" vertical="center" wrapText="1"/>
    </xf>
    <xf numFmtId="11" fontId="33" fillId="0" borderId="8" xfId="1" applyNumberFormat="1" applyFont="1" applyBorder="1" applyAlignment="1">
      <alignment horizontal="center" vertical="center" shrinkToFit="1"/>
    </xf>
    <xf numFmtId="11" fontId="33" fillId="0" borderId="8" xfId="1" applyNumberFormat="1" applyFont="1" applyBorder="1" applyAlignment="1">
      <alignment horizontal="left" vertical="center" wrapText="1"/>
    </xf>
    <xf numFmtId="11" fontId="29" fillId="16" borderId="8" xfId="1" applyNumberFormat="1" applyFont="1" applyFill="1" applyBorder="1" applyAlignment="1">
      <alignment horizontal="center" vertical="center" shrinkToFit="1"/>
    </xf>
    <xf numFmtId="11" fontId="1" fillId="16" borderId="8" xfId="1" applyNumberFormat="1" applyFont="1" applyFill="1" applyBorder="1" applyAlignment="1">
      <alignment horizontal="center" vertical="center" wrapText="1"/>
    </xf>
    <xf numFmtId="0" fontId="29" fillId="3" borderId="8" xfId="1" applyNumberFormat="1" applyFont="1" applyFill="1" applyBorder="1" applyAlignment="1">
      <alignment horizontal="center" vertical="center" wrapText="1"/>
    </xf>
    <xf numFmtId="0" fontId="29" fillId="16" borderId="8" xfId="1" applyNumberFormat="1" applyFont="1" applyFill="1" applyBorder="1" applyAlignment="1">
      <alignment horizontal="center" vertical="center" wrapText="1"/>
    </xf>
    <xf numFmtId="0" fontId="25" fillId="16" borderId="8" xfId="1" applyNumberFormat="1" applyFont="1" applyFill="1" applyBorder="1" applyAlignment="1">
      <alignment horizontal="center" vertical="center" wrapText="1"/>
    </xf>
    <xf numFmtId="11" fontId="31" fillId="16" borderId="8" xfId="1" applyNumberFormat="1" applyFont="1" applyFill="1" applyBorder="1" applyAlignment="1">
      <alignment horizontal="center" vertical="center" shrinkToFit="1"/>
    </xf>
    <xf numFmtId="11" fontId="1" fillId="0" borderId="0" xfId="1" applyNumberFormat="1"/>
    <xf numFmtId="11" fontId="1" fillId="3" borderId="8" xfId="1" applyNumberFormat="1" applyFont="1" applyFill="1" applyBorder="1" applyAlignment="1">
      <alignment horizontal="center" vertical="center" wrapText="1"/>
    </xf>
    <xf numFmtId="11" fontId="31" fillId="16" borderId="8" xfId="1" applyNumberFormat="1" applyFont="1" applyFill="1" applyBorder="1" applyAlignment="1">
      <alignment horizontal="left" vertical="center" wrapText="1"/>
    </xf>
    <xf numFmtId="11" fontId="1" fillId="0" borderId="8" xfId="1" applyNumberFormat="1" applyFont="1" applyFill="1" applyBorder="1" applyAlignment="1">
      <alignment vertical="center" wrapText="1"/>
    </xf>
    <xf numFmtId="169" fontId="25" fillId="0" borderId="8" xfId="1" applyNumberFormat="1" applyFont="1" applyFill="1" applyBorder="1" applyAlignment="1">
      <alignment horizontal="center" vertical="center" wrapText="1"/>
    </xf>
    <xf numFmtId="11" fontId="1" fillId="0" borderId="8" xfId="1" applyNumberFormat="1" applyFont="1" applyFill="1" applyBorder="1" applyAlignment="1">
      <alignment horizontal="center" vertical="center" shrinkToFit="1"/>
    </xf>
    <xf numFmtId="11" fontId="1" fillId="0" borderId="8" xfId="1" applyNumberFormat="1" applyFont="1" applyFill="1" applyBorder="1" applyAlignment="1">
      <alignment horizontal="center" vertical="center" wrapText="1"/>
    </xf>
    <xf numFmtId="11" fontId="32" fillId="0" borderId="8" xfId="1" applyNumberFormat="1" applyFont="1" applyFill="1" applyBorder="1" applyAlignment="1">
      <alignment horizontal="left" vertical="center" wrapText="1"/>
    </xf>
    <xf numFmtId="0" fontId="1" fillId="0" borderId="0" xfId="1" applyFill="1"/>
    <xf numFmtId="167" fontId="25" fillId="0" borderId="8" xfId="1" applyNumberFormat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vertical="center"/>
    </xf>
    <xf numFmtId="11" fontId="36" fillId="0" borderId="0" xfId="1" applyNumberFormat="1" applyFont="1" applyBorder="1" applyAlignment="1">
      <alignment vertical="center" wrapText="1"/>
    </xf>
    <xf numFmtId="11" fontId="36" fillId="0" borderId="0" xfId="1" applyNumberFormat="1" applyFont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center" vertical="center" wrapText="1"/>
    </xf>
    <xf numFmtId="11" fontId="37" fillId="0" borderId="0" xfId="1" applyNumberFormat="1" applyFont="1" applyBorder="1" applyAlignment="1">
      <alignment horizontal="center" vertical="center" wrapText="1"/>
    </xf>
    <xf numFmtId="11" fontId="37" fillId="0" borderId="0" xfId="1" applyNumberFormat="1" applyFont="1" applyBorder="1" applyAlignment="1">
      <alignment horizontal="left" vertical="center" wrapText="1"/>
    </xf>
    <xf numFmtId="0" fontId="1" fillId="0" borderId="0" xfId="1" applyBorder="1"/>
    <xf numFmtId="0" fontId="1" fillId="0" borderId="0" xfId="1" applyFont="1" applyBorder="1" applyAlignment="1">
      <alignment vertical="center"/>
    </xf>
    <xf numFmtId="11" fontId="36" fillId="0" borderId="0" xfId="1" applyNumberFormat="1" applyFont="1" applyFill="1" applyBorder="1" applyAlignment="1">
      <alignment horizontal="center" vertical="center" wrapText="1"/>
    </xf>
    <xf numFmtId="11" fontId="18" fillId="0" borderId="0" xfId="1" applyNumberFormat="1" applyFont="1" applyFill="1" applyBorder="1" applyAlignment="1">
      <alignment horizontal="center" vertical="center" wrapText="1"/>
    </xf>
    <xf numFmtId="0" fontId="0" fillId="13" borderId="15" xfId="0" applyFill="1" applyBorder="1" applyAlignment="1">
      <alignment wrapText="1"/>
    </xf>
    <xf numFmtId="0" fontId="1" fillId="0" borderId="15" xfId="1" applyFont="1" applyFill="1" applyBorder="1" applyAlignment="1">
      <alignment vertical="center" wrapText="1"/>
    </xf>
    <xf numFmtId="0" fontId="1" fillId="13" borderId="15" xfId="1" applyFont="1" applyFill="1" applyBorder="1" applyAlignment="1">
      <alignment vertical="center" wrapText="1"/>
    </xf>
    <xf numFmtId="0" fontId="0" fillId="12" borderId="15" xfId="0" applyFill="1" applyBorder="1" applyAlignment="1">
      <alignment wrapText="1"/>
    </xf>
    <xf numFmtId="4" fontId="60" fillId="27" borderId="101" xfId="40" applyNumberFormat="1" applyFont="1" applyFill="1" applyBorder="1"/>
    <xf numFmtId="0" fontId="2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78" fillId="0" borderId="0" xfId="1" applyFont="1"/>
    <xf numFmtId="0" fontId="7" fillId="2" borderId="5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77" fillId="2" borderId="5" xfId="1" applyFont="1" applyFill="1" applyBorder="1" applyAlignment="1">
      <alignment horizontal="center"/>
    </xf>
    <xf numFmtId="0" fontId="31" fillId="0" borderId="10" xfId="1" applyFont="1" applyFill="1" applyBorder="1" applyAlignment="1">
      <alignment horizontal="center" vertical="top" wrapText="1"/>
    </xf>
    <xf numFmtId="0" fontId="36" fillId="0" borderId="10" xfId="1" applyFont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top" wrapText="1"/>
    </xf>
    <xf numFmtId="0" fontId="29" fillId="16" borderId="14" xfId="1" applyFont="1" applyFill="1" applyBorder="1" applyAlignment="1">
      <alignment vertical="center" wrapText="1"/>
    </xf>
    <xf numFmtId="0" fontId="29" fillId="16" borderId="14" xfId="1" applyFont="1" applyFill="1" applyBorder="1" applyAlignment="1">
      <alignment horizontal="center" vertical="center" wrapText="1"/>
    </xf>
    <xf numFmtId="0" fontId="29" fillId="16" borderId="8" xfId="1" applyFont="1" applyFill="1" applyBorder="1" applyAlignment="1">
      <alignment horizontal="center" vertical="center" wrapText="1"/>
    </xf>
    <xf numFmtId="0" fontId="29" fillId="3" borderId="8" xfId="1" applyFont="1" applyFill="1" applyBorder="1" applyAlignment="1">
      <alignment horizontal="center" vertical="center" wrapText="1"/>
    </xf>
    <xf numFmtId="0" fontId="31" fillId="16" borderId="8" xfId="1" applyFont="1" applyFill="1" applyBorder="1" applyAlignment="1">
      <alignment horizontal="center" vertical="center" wrapText="1"/>
    </xf>
    <xf numFmtId="0" fontId="31" fillId="16" borderId="13" xfId="1" applyFont="1" applyFill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14" xfId="1" applyFont="1" applyBorder="1" applyAlignment="1">
      <alignment horizontal="center" vertical="center" shrinkToFit="1"/>
    </xf>
    <xf numFmtId="3" fontId="1" fillId="3" borderId="8" xfId="1" applyNumberFormat="1" applyFont="1" applyFill="1" applyBorder="1" applyAlignment="1">
      <alignment horizontal="center" vertical="center" wrapText="1"/>
    </xf>
    <xf numFmtId="189" fontId="1" fillId="3" borderId="8" xfId="1" applyNumberFormat="1" applyFont="1" applyFill="1" applyBorder="1" applyAlignment="1">
      <alignment horizontal="center" vertical="center" wrapText="1"/>
    </xf>
    <xf numFmtId="4" fontId="29" fillId="0" borderId="8" xfId="1" applyNumberFormat="1" applyFont="1" applyFill="1" applyBorder="1" applyAlignment="1">
      <alignment horizontal="center" vertical="center" wrapText="1"/>
    </xf>
    <xf numFmtId="4" fontId="1" fillId="0" borderId="8" xfId="1" applyNumberFormat="1" applyFont="1" applyFill="1" applyBorder="1" applyAlignment="1">
      <alignment horizontal="center" vertical="center" wrapText="1"/>
    </xf>
    <xf numFmtId="191" fontId="1" fillId="0" borderId="8" xfId="1" applyNumberFormat="1" applyFont="1" applyFill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13" xfId="1" applyFont="1" applyBorder="1" applyAlignment="1">
      <alignment vertical="center" wrapText="1"/>
    </xf>
    <xf numFmtId="0" fontId="1" fillId="0" borderId="8" xfId="1" applyFont="1" applyBorder="1" applyAlignment="1">
      <alignment horizontal="left" vertical="center" shrinkToFit="1"/>
    </xf>
    <xf numFmtId="3" fontId="29" fillId="3" borderId="8" xfId="1" applyNumberFormat="1" applyFont="1" applyFill="1" applyBorder="1" applyAlignment="1">
      <alignment horizontal="center" vertical="center" shrinkToFit="1"/>
    </xf>
    <xf numFmtId="3" fontId="1" fillId="3" borderId="8" xfId="1" applyNumberFormat="1" applyFont="1" applyFill="1" applyBorder="1" applyAlignment="1">
      <alignment horizontal="center" vertical="center" shrinkToFit="1"/>
    </xf>
    <xf numFmtId="189" fontId="1" fillId="3" borderId="8" xfId="1" applyNumberFormat="1" applyFont="1" applyFill="1" applyBorder="1" applyAlignment="1">
      <alignment horizontal="center" vertical="center" shrinkToFit="1"/>
    </xf>
    <xf numFmtId="189" fontId="29" fillId="0" borderId="8" xfId="1" applyNumberFormat="1" applyFont="1" applyFill="1" applyBorder="1" applyAlignment="1">
      <alignment horizontal="center" vertical="center" shrinkToFit="1"/>
    </xf>
    <xf numFmtId="189" fontId="1" fillId="0" borderId="8" xfId="1" applyNumberFormat="1" applyFont="1" applyFill="1" applyBorder="1" applyAlignment="1">
      <alignment horizontal="center" vertical="center" shrinkToFit="1"/>
    </xf>
    <xf numFmtId="190" fontId="1" fillId="0" borderId="8" xfId="1" applyNumberFormat="1" applyFont="1" applyFill="1" applyBorder="1" applyAlignment="1">
      <alignment horizontal="center" vertical="center" shrinkToFit="1"/>
    </xf>
    <xf numFmtId="167" fontId="1" fillId="0" borderId="8" xfId="1" applyNumberFormat="1" applyFont="1" applyFill="1" applyBorder="1" applyAlignment="1">
      <alignment horizontal="center" vertical="center" shrinkToFit="1"/>
    </xf>
    <xf numFmtId="2" fontId="29" fillId="0" borderId="8" xfId="1" applyNumberFormat="1" applyFont="1" applyFill="1" applyBorder="1" applyAlignment="1">
      <alignment horizontal="center" vertical="center" shrinkToFit="1"/>
    </xf>
    <xf numFmtId="2" fontId="1" fillId="0" borderId="8" xfId="1" applyNumberFormat="1" applyFont="1" applyFill="1" applyBorder="1" applyAlignment="1">
      <alignment horizontal="center" vertical="center" shrinkToFit="1"/>
    </xf>
    <xf numFmtId="168" fontId="1" fillId="0" borderId="8" xfId="1" applyNumberFormat="1" applyFont="1" applyFill="1" applyBorder="1" applyAlignment="1">
      <alignment horizontal="center" vertical="center" shrinkToFit="1"/>
    </xf>
    <xf numFmtId="0" fontId="32" fillId="0" borderId="8" xfId="1" applyFont="1" applyBorder="1" applyAlignment="1">
      <alignment horizontal="center" vertical="center" shrinkToFit="1"/>
    </xf>
    <xf numFmtId="0" fontId="32" fillId="0" borderId="13" xfId="1" applyFont="1" applyBorder="1" applyAlignment="1">
      <alignment horizontal="left" vertical="center" shrinkToFit="1"/>
    </xf>
    <xf numFmtId="3" fontId="29" fillId="0" borderId="8" xfId="1" applyNumberFormat="1" applyFont="1" applyFill="1" applyBorder="1" applyAlignment="1">
      <alignment horizontal="center" vertical="center" shrinkToFit="1"/>
    </xf>
    <xf numFmtId="3" fontId="1" fillId="0" borderId="8" xfId="1" applyNumberFormat="1" applyFont="1" applyFill="1" applyBorder="1" applyAlignment="1">
      <alignment horizontal="center" vertical="center" shrinkToFit="1"/>
    </xf>
    <xf numFmtId="4" fontId="1" fillId="0" borderId="8" xfId="1" applyNumberFormat="1" applyFont="1" applyFill="1" applyBorder="1" applyAlignment="1">
      <alignment horizontal="center" vertical="center" shrinkToFit="1"/>
    </xf>
    <xf numFmtId="166" fontId="29" fillId="0" borderId="8" xfId="1" applyNumberFormat="1" applyFont="1" applyFill="1" applyBorder="1" applyAlignment="1">
      <alignment horizontal="center" vertical="center" shrinkToFit="1"/>
    </xf>
    <xf numFmtId="166" fontId="1" fillId="0" borderId="8" xfId="1" applyNumberFormat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vertical="center"/>
    </xf>
    <xf numFmtId="1" fontId="29" fillId="0" borderId="8" xfId="1" applyNumberFormat="1" applyFont="1" applyFill="1" applyBorder="1" applyAlignment="1">
      <alignment horizontal="center" vertical="center" shrinkToFit="1"/>
    </xf>
    <xf numFmtId="1" fontId="1" fillId="0" borderId="8" xfId="1" applyNumberFormat="1" applyFont="1" applyFill="1" applyBorder="1" applyAlignment="1">
      <alignment horizontal="center" vertical="center" shrinkToFit="1"/>
    </xf>
    <xf numFmtId="0" fontId="32" fillId="0" borderId="13" xfId="1" applyFont="1" applyFill="1" applyBorder="1" applyAlignment="1">
      <alignment horizontal="left" vertical="center" shrinkToFit="1"/>
    </xf>
    <xf numFmtId="191" fontId="1" fillId="0" borderId="8" xfId="1" applyNumberFormat="1" applyFont="1" applyFill="1" applyBorder="1" applyAlignment="1">
      <alignment horizontal="center" vertical="center" shrinkToFit="1"/>
    </xf>
    <xf numFmtId="0" fontId="29" fillId="16" borderId="14" xfId="1" applyFont="1" applyFill="1" applyBorder="1" applyAlignment="1">
      <alignment horizontal="left" vertical="center" shrinkToFit="1"/>
    </xf>
    <xf numFmtId="0" fontId="29" fillId="16" borderId="14" xfId="1" applyFont="1" applyFill="1" applyBorder="1" applyAlignment="1">
      <alignment horizontal="center" vertical="center" shrinkToFit="1"/>
    </xf>
    <xf numFmtId="0" fontId="29" fillId="16" borderId="8" xfId="1" applyFont="1" applyFill="1" applyBorder="1" applyAlignment="1">
      <alignment horizontal="center" vertical="center" shrinkToFit="1"/>
    </xf>
    <xf numFmtId="0" fontId="29" fillId="3" borderId="8" xfId="1" applyFont="1" applyFill="1" applyBorder="1" applyAlignment="1">
      <alignment horizontal="center" vertical="center" shrinkToFit="1"/>
    </xf>
    <xf numFmtId="0" fontId="1" fillId="3" borderId="8" xfId="1" applyFont="1" applyFill="1" applyBorder="1" applyAlignment="1">
      <alignment horizontal="center" vertical="center" shrinkToFit="1"/>
    </xf>
    <xf numFmtId="0" fontId="31" fillId="16" borderId="8" xfId="1" applyFont="1" applyFill="1" applyBorder="1" applyAlignment="1">
      <alignment horizontal="center" vertical="center" shrinkToFit="1"/>
    </xf>
    <xf numFmtId="0" fontId="32" fillId="16" borderId="8" xfId="1" applyFont="1" applyFill="1" applyBorder="1" applyAlignment="1">
      <alignment horizontal="center" vertical="center" shrinkToFit="1"/>
    </xf>
    <xf numFmtId="0" fontId="31" fillId="16" borderId="13" xfId="1" applyFont="1" applyFill="1" applyBorder="1" applyAlignment="1">
      <alignment horizontal="left" vertical="center" shrinkToFit="1"/>
    </xf>
    <xf numFmtId="0" fontId="23" fillId="0" borderId="8" xfId="1" applyFont="1" applyFill="1" applyBorder="1" applyAlignment="1">
      <alignment horizontal="left" vertical="center" shrinkToFit="1"/>
    </xf>
    <xf numFmtId="0" fontId="23" fillId="0" borderId="14" xfId="1" applyFont="1" applyBorder="1" applyAlignment="1">
      <alignment horizontal="center" vertical="center" shrinkToFit="1"/>
    </xf>
    <xf numFmtId="0" fontId="14" fillId="3" borderId="8" xfId="1" applyNumberFormat="1" applyFont="1" applyFill="1" applyBorder="1" applyAlignment="1">
      <alignment horizontal="center" vertical="center" shrinkToFit="1"/>
    </xf>
    <xf numFmtId="0" fontId="23" fillId="3" borderId="8" xfId="1" applyNumberFormat="1" applyFont="1" applyFill="1" applyBorder="1" applyAlignment="1">
      <alignment horizontal="center" vertical="center" shrinkToFit="1"/>
    </xf>
    <xf numFmtId="0" fontId="14" fillId="0" borderId="8" xfId="1" applyNumberFormat="1" applyFont="1" applyFill="1" applyBorder="1" applyAlignment="1">
      <alignment horizontal="center" vertical="center" shrinkToFit="1"/>
    </xf>
    <xf numFmtId="0" fontId="23" fillId="0" borderId="8" xfId="1" applyNumberFormat="1" applyFont="1" applyFill="1" applyBorder="1" applyAlignment="1">
      <alignment horizontal="center" vertical="center" shrinkToFit="1"/>
    </xf>
    <xf numFmtId="2" fontId="23" fillId="0" borderId="8" xfId="1" applyNumberFormat="1" applyFont="1" applyFill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166" fontId="23" fillId="0" borderId="8" xfId="1" applyNumberFormat="1" applyFont="1" applyFill="1" applyBorder="1" applyAlignment="1">
      <alignment horizontal="center" vertical="center" shrinkToFit="1"/>
    </xf>
    <xf numFmtId="0" fontId="33" fillId="0" borderId="8" xfId="1" applyFont="1" applyFill="1" applyBorder="1" applyAlignment="1">
      <alignment horizontal="left" vertical="center" shrinkToFit="1"/>
    </xf>
    <xf numFmtId="166" fontId="23" fillId="3" borderId="8" xfId="1" applyNumberFormat="1" applyFont="1" applyFill="1" applyBorder="1" applyAlignment="1">
      <alignment horizontal="center" vertical="center" shrinkToFit="1"/>
    </xf>
    <xf numFmtId="167" fontId="23" fillId="0" borderId="8" xfId="1" applyNumberFormat="1" applyFont="1" applyFill="1" applyBorder="1" applyAlignment="1">
      <alignment horizontal="center" vertical="center" shrinkToFit="1"/>
    </xf>
    <xf numFmtId="2" fontId="14" fillId="0" borderId="8" xfId="1" applyNumberFormat="1" applyFont="1" applyFill="1" applyBorder="1" applyAlignment="1">
      <alignment horizontal="center" vertical="center" shrinkToFit="1"/>
    </xf>
    <xf numFmtId="0" fontId="29" fillId="3" borderId="8" xfId="1" applyNumberFormat="1" applyFont="1" applyFill="1" applyBorder="1" applyAlignment="1">
      <alignment horizontal="center" vertical="center" shrinkToFit="1"/>
    </xf>
    <xf numFmtId="0" fontId="1" fillId="3" borderId="8" xfId="1" applyNumberFormat="1" applyFont="1" applyFill="1" applyBorder="1" applyAlignment="1">
      <alignment horizontal="center" vertical="center" shrinkToFit="1"/>
    </xf>
    <xf numFmtId="0" fontId="31" fillId="16" borderId="8" xfId="1" applyNumberFormat="1" applyFont="1" applyFill="1" applyBorder="1" applyAlignment="1">
      <alignment horizontal="center" vertical="center" shrinkToFit="1"/>
    </xf>
    <xf numFmtId="0" fontId="32" fillId="16" borderId="8" xfId="1" applyNumberFormat="1" applyFont="1" applyFill="1" applyBorder="1" applyAlignment="1">
      <alignment horizontal="center" vertical="center" shrinkToFit="1"/>
    </xf>
    <xf numFmtId="166" fontId="14" fillId="0" borderId="8" xfId="1" applyNumberFormat="1" applyFont="1" applyFill="1" applyBorder="1" applyAlignment="1">
      <alignment horizontal="center" vertical="center" shrinkToFit="1"/>
    </xf>
    <xf numFmtId="0" fontId="23" fillId="0" borderId="64" xfId="1" applyFont="1" applyFill="1" applyBorder="1" applyAlignment="1">
      <alignment horizontal="center" vertical="center" shrinkToFit="1"/>
    </xf>
    <xf numFmtId="0" fontId="23" fillId="0" borderId="8" xfId="1" applyFont="1" applyFill="1" applyBorder="1" applyAlignment="1">
      <alignment horizontal="center" vertical="center" shrinkToFit="1"/>
    </xf>
    <xf numFmtId="0" fontId="33" fillId="0" borderId="8" xfId="1" applyFont="1" applyFill="1" applyBorder="1" applyAlignment="1">
      <alignment horizontal="center" vertical="center" shrinkToFit="1"/>
    </xf>
    <xf numFmtId="0" fontId="33" fillId="0" borderId="13" xfId="1" applyFont="1" applyFill="1" applyBorder="1" applyAlignment="1">
      <alignment horizontal="left" vertical="center" shrinkToFit="1"/>
    </xf>
    <xf numFmtId="0" fontId="23" fillId="0" borderId="0" xfId="1" applyFont="1" applyFill="1"/>
    <xf numFmtId="0" fontId="23" fillId="0" borderId="0" xfId="1" applyFont="1" applyFill="1" applyAlignment="1">
      <alignment vertical="center"/>
    </xf>
    <xf numFmtId="0" fontId="36" fillId="0" borderId="0" xfId="1" applyFont="1" applyBorder="1" applyAlignment="1">
      <alignment vertical="center" wrapText="1"/>
    </xf>
    <xf numFmtId="0" fontId="36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vertical="center" wrapText="1"/>
    </xf>
    <xf numFmtId="0" fontId="37" fillId="0" borderId="0" xfId="1" applyFont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60" fillId="0" borderId="29" xfId="40" applyFont="1" applyBorder="1" applyAlignment="1">
      <alignment vertical="center"/>
    </xf>
    <xf numFmtId="0" fontId="60" fillId="0" borderId="30" xfId="40" applyFont="1" applyBorder="1" applyAlignment="1">
      <alignment vertical="center"/>
    </xf>
    <xf numFmtId="0" fontId="60" fillId="12" borderId="15" xfId="40" applyFont="1" applyFill="1" applyBorder="1"/>
    <xf numFmtId="166" fontId="60" fillId="0" borderId="29" xfId="40" applyNumberFormat="1" applyFont="1" applyBorder="1" applyAlignment="1">
      <alignment horizontal="center" vertical="center"/>
    </xf>
    <xf numFmtId="166" fontId="60" fillId="0" borderId="40" xfId="40" applyNumberFormat="1" applyFont="1" applyFill="1" applyBorder="1" applyAlignment="1">
      <alignment vertical="center"/>
    </xf>
    <xf numFmtId="166" fontId="60" fillId="0" borderId="0" xfId="40" applyNumberFormat="1" applyFont="1" applyFill="1" applyBorder="1" applyAlignment="1">
      <alignment vertical="center"/>
    </xf>
    <xf numFmtId="0" fontId="60" fillId="0" borderId="0" xfId="40" applyFont="1" applyFill="1" applyBorder="1" applyAlignment="1">
      <alignment vertical="center"/>
    </xf>
    <xf numFmtId="1" fontId="60" fillId="0" borderId="28" xfId="40" applyNumberFormat="1" applyFont="1" applyBorder="1" applyAlignment="1">
      <alignment vertical="center"/>
    </xf>
    <xf numFmtId="166" fontId="60" fillId="0" borderId="29" xfId="40" applyNumberFormat="1" applyFont="1" applyFill="1" applyBorder="1" applyAlignment="1">
      <alignment vertical="center"/>
    </xf>
    <xf numFmtId="166" fontId="60" fillId="0" borderId="30" xfId="40" applyNumberFormat="1" applyFont="1" applyFill="1" applyBorder="1" applyAlignment="1">
      <alignment vertical="center"/>
    </xf>
    <xf numFmtId="166" fontId="60" fillId="0" borderId="15" xfId="40" applyNumberFormat="1" applyFont="1" applyFill="1" applyBorder="1" applyAlignment="1">
      <alignment vertical="center"/>
    </xf>
    <xf numFmtId="1" fontId="60" fillId="0" borderId="40" xfId="40" applyNumberFormat="1" applyFont="1" applyFill="1" applyBorder="1" applyAlignment="1">
      <alignment vertical="center"/>
    </xf>
    <xf numFmtId="0" fontId="60" fillId="0" borderId="40" xfId="40" applyFont="1" applyFill="1" applyBorder="1" applyAlignment="1">
      <alignment vertical="center"/>
    </xf>
    <xf numFmtId="1" fontId="60" fillId="0" borderId="0" xfId="40" applyNumberFormat="1" applyFont="1" applyFill="1" applyBorder="1" applyAlignment="1">
      <alignment vertical="center"/>
    </xf>
    <xf numFmtId="0" fontId="60" fillId="0" borderId="40" xfId="40" applyFont="1" applyFill="1" applyBorder="1"/>
    <xf numFmtId="0" fontId="59" fillId="0" borderId="0" xfId="40" applyFill="1" applyBorder="1"/>
    <xf numFmtId="166" fontId="60" fillId="0" borderId="28" xfId="40" applyNumberFormat="1" applyFont="1" applyBorder="1" applyAlignment="1">
      <alignment vertical="center"/>
    </xf>
    <xf numFmtId="166" fontId="60" fillId="0" borderId="29" xfId="40" applyNumberFormat="1" applyFont="1" applyBorder="1" applyAlignment="1">
      <alignment vertical="center"/>
    </xf>
    <xf numFmtId="4" fontId="60" fillId="25" borderId="102" xfId="40" applyNumberFormat="1" applyFont="1" applyFill="1" applyBorder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63" xfId="0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20" xfId="0" applyNumberFormat="1" applyBorder="1" applyAlignment="1">
      <alignment wrapText="1"/>
    </xf>
    <xf numFmtId="2" fontId="0" fillId="0" borderId="52" xfId="0" applyNumberFormat="1" applyBorder="1" applyAlignment="1">
      <alignment wrapText="1"/>
    </xf>
    <xf numFmtId="2" fontId="0" fillId="0" borderId="18" xfId="0" applyNumberFormat="1" applyBorder="1" applyAlignment="1">
      <alignment wrapText="1"/>
    </xf>
    <xf numFmtId="0" fontId="0" fillId="19" borderId="0" xfId="0" applyFill="1" applyAlignment="1">
      <alignment wrapText="1"/>
    </xf>
    <xf numFmtId="0" fontId="1" fillId="11" borderId="90" xfId="1" applyFont="1" applyFill="1" applyBorder="1" applyAlignment="1">
      <alignment vertical="center" wrapText="1"/>
    </xf>
    <xf numFmtId="0" fontId="55" fillId="13" borderId="29" xfId="0" applyFont="1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/>
    <xf numFmtId="0" fontId="95" fillId="0" borderId="69" xfId="0" applyFont="1" applyFill="1" applyBorder="1" applyAlignment="1">
      <alignment wrapText="1"/>
    </xf>
    <xf numFmtId="0" fontId="95" fillId="0" borderId="69" xfId="0" applyFont="1" applyBorder="1" applyAlignment="1">
      <alignment horizontal="center" vertical="center" wrapText="1"/>
    </xf>
    <xf numFmtId="0" fontId="95" fillId="0" borderId="21" xfId="0" applyFont="1" applyBorder="1" applyAlignment="1">
      <alignment horizontal="center" vertical="center" wrapText="1"/>
    </xf>
    <xf numFmtId="0" fontId="95" fillId="0" borderId="21" xfId="0" applyFont="1" applyFill="1" applyBorder="1" applyAlignment="1">
      <alignment wrapText="1"/>
    </xf>
    <xf numFmtId="0" fontId="95" fillId="0" borderId="22" xfId="0" applyFont="1" applyFill="1" applyBorder="1" applyAlignment="1">
      <alignment horizontal="center" vertical="center" wrapText="1"/>
    </xf>
    <xf numFmtId="0" fontId="95" fillId="0" borderId="22" xfId="0" applyFont="1" applyFill="1" applyBorder="1" applyAlignment="1">
      <alignment wrapText="1"/>
    </xf>
    <xf numFmtId="0" fontId="95" fillId="0" borderId="22" xfId="0" applyFont="1" applyBorder="1" applyAlignment="1">
      <alignment horizontal="center" vertical="center" wrapText="1"/>
    </xf>
    <xf numFmtId="0" fontId="95" fillId="0" borderId="22" xfId="0" applyFont="1" applyBorder="1" applyAlignment="1">
      <alignment wrapText="1"/>
    </xf>
    <xf numFmtId="0" fontId="95" fillId="11" borderId="83" xfId="0" applyFont="1" applyFill="1" applyBorder="1" applyAlignment="1">
      <alignment horizontal="center" vertical="center" wrapText="1"/>
    </xf>
    <xf numFmtId="0" fontId="95" fillId="11" borderId="21" xfId="0" applyFont="1" applyFill="1" applyBorder="1" applyAlignment="1">
      <alignment wrapText="1"/>
    </xf>
    <xf numFmtId="0" fontId="95" fillId="11" borderId="88" xfId="0" applyFont="1" applyFill="1" applyBorder="1" applyAlignment="1">
      <alignment horizontal="center" vertical="center" wrapText="1"/>
    </xf>
    <xf numFmtId="0" fontId="95" fillId="11" borderId="69" xfId="0" applyFont="1" applyFill="1" applyBorder="1" applyAlignment="1">
      <alignment wrapText="1"/>
    </xf>
    <xf numFmtId="0" fontId="95" fillId="11" borderId="84" xfId="0" applyFont="1" applyFill="1" applyBorder="1" applyAlignment="1">
      <alignment horizontal="center" vertical="center" wrapText="1"/>
    </xf>
    <xf numFmtId="0" fontId="95" fillId="11" borderId="22" xfId="0" applyFont="1" applyFill="1" applyBorder="1" applyAlignment="1">
      <alignment wrapText="1"/>
    </xf>
    <xf numFmtId="0" fontId="95" fillId="11" borderId="86" xfId="0" applyFont="1" applyFill="1" applyBorder="1" applyAlignment="1">
      <alignment horizontal="center" vertical="center" wrapText="1"/>
    </xf>
    <xf numFmtId="0" fontId="95" fillId="11" borderId="82" xfId="0" applyFont="1" applyFill="1" applyBorder="1" applyAlignment="1">
      <alignment wrapText="1"/>
    </xf>
    <xf numFmtId="0" fontId="95" fillId="11" borderId="81" xfId="0" applyFont="1" applyFill="1" applyBorder="1" applyAlignment="1">
      <alignment horizontal="center" vertical="center" wrapText="1"/>
    </xf>
    <xf numFmtId="0" fontId="95" fillId="11" borderId="22" xfId="0" applyFont="1" applyFill="1" applyBorder="1" applyAlignment="1">
      <alignment horizontal="center" vertical="center" wrapText="1"/>
    </xf>
    <xf numFmtId="0" fontId="95" fillId="0" borderId="90" xfId="0" applyFont="1" applyBorder="1" applyAlignment="1">
      <alignment horizontal="center" vertical="center" wrapText="1"/>
    </xf>
    <xf numFmtId="0" fontId="95" fillId="0" borderId="91" xfId="0" applyFont="1" applyFill="1" applyBorder="1" applyAlignment="1">
      <alignment horizontal="center" vertical="center" wrapText="1"/>
    </xf>
    <xf numFmtId="0" fontId="95" fillId="13" borderId="88" xfId="0" applyFont="1" applyFill="1" applyBorder="1" applyAlignment="1">
      <alignment wrapText="1"/>
    </xf>
    <xf numFmtId="0" fontId="23" fillId="13" borderId="69" xfId="1" applyFont="1" applyFill="1" applyBorder="1" applyAlignment="1">
      <alignment vertical="center" wrapText="1"/>
    </xf>
    <xf numFmtId="0" fontId="95" fillId="0" borderId="90" xfId="0" applyFont="1" applyFill="1" applyBorder="1" applyAlignment="1">
      <alignment wrapText="1"/>
    </xf>
    <xf numFmtId="0" fontId="95" fillId="13" borderId="69" xfId="0" applyFont="1" applyFill="1" applyBorder="1" applyAlignment="1">
      <alignment wrapText="1"/>
    </xf>
    <xf numFmtId="0" fontId="23" fillId="13" borderId="88" xfId="1" applyFont="1" applyFill="1" applyBorder="1" applyAlignment="1">
      <alignment vertical="center" wrapText="1"/>
    </xf>
    <xf numFmtId="0" fontId="23" fillId="0" borderId="22" xfId="1" applyFont="1" applyFill="1" applyBorder="1" applyAlignment="1">
      <alignment vertical="center" wrapText="1"/>
    </xf>
    <xf numFmtId="0" fontId="95" fillId="0" borderId="92" xfId="0" applyFont="1" applyFill="1" applyBorder="1" applyAlignment="1">
      <alignment horizontal="center" vertical="center" wrapText="1"/>
    </xf>
    <xf numFmtId="0" fontId="95" fillId="11" borderId="80" xfId="0" applyFont="1" applyFill="1" applyBorder="1" applyAlignment="1">
      <alignment horizontal="right" vertical="center" wrapText="1"/>
    </xf>
    <xf numFmtId="0" fontId="95" fillId="13" borderId="22" xfId="0" applyFont="1" applyFill="1" applyBorder="1" applyAlignment="1">
      <alignment wrapText="1"/>
    </xf>
    <xf numFmtId="0" fontId="95" fillId="0" borderId="21" xfId="0" applyFont="1" applyBorder="1" applyAlignment="1">
      <alignment wrapText="1"/>
    </xf>
    <xf numFmtId="0" fontId="23" fillId="13" borderId="22" xfId="1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70" fillId="0" borderId="28" xfId="40" applyFont="1" applyBorder="1" applyAlignment="1">
      <alignment horizontal="center"/>
    </xf>
    <xf numFmtId="0" fontId="70" fillId="0" borderId="29" xfId="40" applyFont="1" applyBorder="1" applyAlignment="1">
      <alignment horizontal="center"/>
    </xf>
    <xf numFmtId="0" fontId="70" fillId="0" borderId="30" xfId="40" applyFont="1" applyBorder="1" applyAlignment="1">
      <alignment horizontal="center"/>
    </xf>
    <xf numFmtId="0" fontId="60" fillId="28" borderId="18" xfId="40" applyFont="1" applyFill="1" applyBorder="1" applyAlignment="1">
      <alignment horizontal="center"/>
    </xf>
    <xf numFmtId="168" fontId="60" fillId="28" borderId="31" xfId="40" applyNumberFormat="1" applyFont="1" applyFill="1" applyBorder="1" applyAlignment="1">
      <alignment horizontal="left"/>
    </xf>
    <xf numFmtId="168" fontId="60" fillId="28" borderId="20" xfId="40" applyNumberFormat="1" applyFont="1" applyFill="1" applyBorder="1" applyAlignment="1">
      <alignment horizontal="left"/>
    </xf>
    <xf numFmtId="0" fontId="60" fillId="28" borderId="31" xfId="40" applyFont="1" applyFill="1" applyBorder="1" applyAlignment="1">
      <alignment horizontal="left"/>
    </xf>
    <xf numFmtId="0" fontId="60" fillId="28" borderId="20" xfId="40" applyFont="1" applyFill="1" applyBorder="1" applyAlignment="1">
      <alignment horizontal="left"/>
    </xf>
    <xf numFmtId="0" fontId="60" fillId="28" borderId="40" xfId="40" applyFont="1" applyFill="1" applyBorder="1" applyAlignment="1">
      <alignment horizontal="center"/>
    </xf>
    <xf numFmtId="0" fontId="60" fillId="28" borderId="61" xfId="40" applyFont="1" applyFill="1" applyBorder="1" applyAlignment="1">
      <alignment horizontal="center"/>
    </xf>
    <xf numFmtId="0" fontId="60" fillId="28" borderId="19" xfId="40" applyFont="1" applyFill="1" applyBorder="1" applyAlignment="1">
      <alignment horizontal="center"/>
    </xf>
    <xf numFmtId="168" fontId="60" fillId="28" borderId="60" xfId="40" applyNumberFormat="1" applyFont="1" applyFill="1" applyBorder="1" applyAlignment="1">
      <alignment horizontal="center"/>
    </xf>
    <xf numFmtId="168" fontId="60" fillId="28" borderId="18" xfId="40" applyNumberFormat="1" applyFont="1" applyFill="1" applyBorder="1" applyAlignment="1">
      <alignment horizontal="center"/>
    </xf>
    <xf numFmtId="0" fontId="1" fillId="11" borderId="63" xfId="1" applyFont="1" applyFill="1" applyBorder="1" applyAlignment="1">
      <alignment vertical="center" wrapText="1"/>
    </xf>
    <xf numFmtId="0" fontId="0" fillId="11" borderId="25" xfId="0" applyFill="1" applyBorder="1" applyAlignment="1">
      <alignment wrapText="1"/>
    </xf>
    <xf numFmtId="0" fontId="0" fillId="12" borderId="63" xfId="0" applyFill="1" applyBorder="1" applyAlignment="1">
      <alignment wrapText="1"/>
    </xf>
    <xf numFmtId="0" fontId="55" fillId="0" borderId="22" xfId="0" applyFont="1" applyFill="1" applyBorder="1"/>
    <xf numFmtId="0" fontId="1" fillId="15" borderId="22" xfId="1" applyFont="1" applyFill="1" applyBorder="1" applyAlignment="1">
      <alignment vertical="center" wrapText="1"/>
    </xf>
    <xf numFmtId="0" fontId="0" fillId="15" borderId="22" xfId="0" applyFill="1" applyBorder="1" applyAlignment="1">
      <alignment wrapText="1"/>
    </xf>
    <xf numFmtId="0" fontId="60" fillId="27" borderId="25" xfId="40" applyFont="1" applyFill="1" applyBorder="1" applyAlignment="1">
      <alignment horizontal="right"/>
    </xf>
    <xf numFmtId="0" fontId="60" fillId="27" borderId="63" xfId="40" applyFont="1" applyFill="1" applyBorder="1" applyAlignment="1">
      <alignment horizontal="right"/>
    </xf>
    <xf numFmtId="0" fontId="60" fillId="27" borderId="27" xfId="40" applyFont="1" applyFill="1" applyBorder="1" applyAlignment="1">
      <alignment horizontal="right"/>
    </xf>
    <xf numFmtId="0" fontId="1" fillId="0" borderId="0" xfId="1" applyFont="1" applyFill="1" applyBorder="1"/>
    <xf numFmtId="0" fontId="23" fillId="0" borderId="98" xfId="1" applyFont="1" applyFill="1" applyBorder="1" applyAlignment="1">
      <alignment vertical="center" wrapText="1"/>
    </xf>
    <xf numFmtId="0" fontId="95" fillId="0" borderId="82" xfId="0" applyFont="1" applyBorder="1" applyAlignment="1">
      <alignment wrapText="1"/>
    </xf>
    <xf numFmtId="0" fontId="95" fillId="13" borderId="82" xfId="0" applyFont="1" applyFill="1" applyBorder="1" applyAlignment="1">
      <alignment wrapText="1"/>
    </xf>
    <xf numFmtId="0" fontId="95" fillId="0" borderId="23" xfId="0" applyFont="1" applyBorder="1" applyAlignment="1">
      <alignment wrapText="1"/>
    </xf>
    <xf numFmtId="0" fontId="23" fillId="0" borderId="23" xfId="1" applyFont="1" applyFill="1" applyBorder="1" applyAlignment="1">
      <alignment vertical="center" wrapText="1"/>
    </xf>
    <xf numFmtId="2" fontId="60" fillId="0" borderId="37" xfId="40" applyNumberFormat="1" applyFont="1" applyBorder="1"/>
    <xf numFmtId="0" fontId="60" fillId="0" borderId="60" xfId="40" applyFont="1" applyBorder="1"/>
    <xf numFmtId="0" fontId="60" fillId="0" borderId="52" xfId="40" applyFont="1" applyBorder="1"/>
    <xf numFmtId="0" fontId="60" fillId="0" borderId="18" xfId="40" applyFont="1" applyBorder="1" applyAlignment="1">
      <alignment horizontal="left"/>
    </xf>
    <xf numFmtId="168" fontId="60" fillId="0" borderId="28" xfId="40" applyNumberFormat="1" applyFont="1" applyBorder="1"/>
    <xf numFmtId="168" fontId="60" fillId="0" borderId="30" xfId="40" applyNumberFormat="1" applyFont="1" applyBorder="1"/>
    <xf numFmtId="0" fontId="60" fillId="12" borderId="15" xfId="40" applyFont="1" applyFill="1" applyBorder="1" applyAlignment="1">
      <alignment horizontal="center" vertical="top" wrapText="1"/>
    </xf>
    <xf numFmtId="0" fontId="73" fillId="31" borderId="20" xfId="40" applyFont="1" applyFill="1" applyBorder="1" applyAlignment="1"/>
    <xf numFmtId="0" fontId="73" fillId="31" borderId="0" xfId="40" applyFont="1" applyFill="1" applyAlignment="1">
      <alignment horizontal="left" vertical="top" wrapText="1"/>
    </xf>
    <xf numFmtId="0" fontId="60" fillId="12" borderId="15" xfId="40" applyFont="1" applyFill="1" applyBorder="1" applyAlignment="1">
      <alignment horizontal="center" wrapText="1"/>
    </xf>
    <xf numFmtId="0" fontId="59" fillId="0" borderId="31" xfId="40" applyBorder="1"/>
    <xf numFmtId="166" fontId="66" fillId="0" borderId="0" xfId="40" applyNumberFormat="1" applyFont="1" applyBorder="1"/>
    <xf numFmtId="166" fontId="60" fillId="0" borderId="63" xfId="40" applyNumberFormat="1" applyFont="1" applyBorder="1"/>
    <xf numFmtId="0" fontId="60" fillId="28" borderId="60" xfId="40" applyFont="1" applyFill="1" applyBorder="1" applyAlignment="1">
      <alignment horizontal="left"/>
    </xf>
    <xf numFmtId="0" fontId="0" fillId="0" borderId="17" xfId="0" applyBorder="1" applyAlignment="1">
      <alignment horizontal="center" vertical="center" wrapText="1"/>
    </xf>
    <xf numFmtId="0" fontId="60" fillId="0" borderId="20" xfId="40" applyFont="1" applyBorder="1" applyAlignment="1">
      <alignment wrapText="1"/>
    </xf>
    <xf numFmtId="0" fontId="0" fillId="0" borderId="15" xfId="0" applyBorder="1"/>
    <xf numFmtId="0" fontId="0" fillId="12" borderId="17" xfId="0" applyFill="1" applyBorder="1" applyAlignment="1">
      <alignment wrapText="1"/>
    </xf>
    <xf numFmtId="167" fontId="59" fillId="0" borderId="25" xfId="40" applyNumberFormat="1" applyBorder="1"/>
    <xf numFmtId="167" fontId="59" fillId="0" borderId="15" xfId="40" applyNumberFormat="1" applyBorder="1"/>
    <xf numFmtId="167" fontId="59" fillId="25" borderId="67" xfId="40" applyNumberFormat="1" applyFill="1" applyBorder="1"/>
    <xf numFmtId="167" fontId="59" fillId="25" borderId="27" xfId="40" applyNumberFormat="1" applyFill="1" applyBorder="1"/>
    <xf numFmtId="167" fontId="59" fillId="33" borderId="65" xfId="40" applyNumberFormat="1" applyFill="1" applyBorder="1"/>
    <xf numFmtId="167" fontId="59" fillId="33" borderId="27" xfId="40" applyNumberFormat="1" applyFill="1" applyBorder="1"/>
    <xf numFmtId="167" fontId="59" fillId="0" borderId="30" xfId="40" applyNumberFormat="1" applyBorder="1"/>
    <xf numFmtId="167" fontId="59" fillId="0" borderId="19" xfId="40" applyNumberFormat="1" applyBorder="1"/>
    <xf numFmtId="167" fontId="59" fillId="33" borderId="67" xfId="40" applyNumberFormat="1" applyFill="1" applyBorder="1"/>
    <xf numFmtId="167" fontId="59" fillId="0" borderId="67" xfId="40" applyNumberFormat="1" applyBorder="1"/>
    <xf numFmtId="167" fontId="59" fillId="0" borderId="27" xfId="40" applyNumberFormat="1" applyBorder="1"/>
    <xf numFmtId="0" fontId="0" fillId="0" borderId="0" xfId="0" applyBorder="1"/>
    <xf numFmtId="0" fontId="0" fillId="0" borderId="35" xfId="0" applyBorder="1"/>
    <xf numFmtId="0" fontId="95" fillId="12" borderId="22" xfId="0" applyFont="1" applyFill="1" applyBorder="1" applyAlignment="1">
      <alignment wrapText="1"/>
    </xf>
    <xf numFmtId="0" fontId="96" fillId="12" borderId="69" xfId="0" applyFont="1" applyFill="1" applyBorder="1" applyAlignment="1">
      <alignment wrapText="1"/>
    </xf>
    <xf numFmtId="0" fontId="96" fillId="12" borderId="22" xfId="0" applyFont="1" applyFill="1" applyBorder="1" applyAlignment="1">
      <alignment wrapText="1"/>
    </xf>
    <xf numFmtId="0" fontId="96" fillId="12" borderId="21" xfId="0" applyFont="1" applyFill="1" applyBorder="1" applyAlignment="1">
      <alignment wrapText="1"/>
    </xf>
    <xf numFmtId="0" fontId="96" fillId="12" borderId="63" xfId="0" applyFont="1" applyFill="1" applyBorder="1" applyAlignment="1">
      <alignment wrapText="1"/>
    </xf>
    <xf numFmtId="0" fontId="96" fillId="12" borderId="25" xfId="0" applyFont="1" applyFill="1" applyBorder="1" applyAlignment="1">
      <alignment wrapText="1"/>
    </xf>
    <xf numFmtId="0" fontId="96" fillId="12" borderId="79" xfId="0" applyFont="1" applyFill="1" applyBorder="1" applyAlignment="1">
      <alignment wrapText="1"/>
    </xf>
    <xf numFmtId="0" fontId="95" fillId="0" borderId="0" xfId="0" applyFont="1"/>
    <xf numFmtId="0" fontId="0" fillId="0" borderId="28" xfId="0" applyBorder="1" applyAlignment="1">
      <alignment wrapText="1"/>
    </xf>
    <xf numFmtId="0" fontId="60" fillId="0" borderId="17" xfId="40" applyFont="1" applyBorder="1" applyAlignment="1">
      <alignment wrapText="1"/>
    </xf>
    <xf numFmtId="0" fontId="60" fillId="0" borderId="15" xfId="40" applyFont="1" applyBorder="1" applyAlignment="1">
      <alignment wrapText="1"/>
    </xf>
    <xf numFmtId="0" fontId="1" fillId="15" borderId="21" xfId="1" applyFont="1" applyFill="1" applyBorder="1" applyAlignment="1">
      <alignment vertical="center" wrapText="1"/>
    </xf>
    <xf numFmtId="0" fontId="0" fillId="15" borderId="21" xfId="0" applyFill="1" applyBorder="1" applyAlignment="1">
      <alignment wrapText="1"/>
    </xf>
    <xf numFmtId="0" fontId="55" fillId="12" borderId="0" xfId="0" applyFont="1" applyFill="1" applyAlignment="1">
      <alignment vertical="center" wrapText="1"/>
    </xf>
    <xf numFmtId="0" fontId="55" fillId="0" borderId="28" xfId="0" applyFont="1" applyBorder="1"/>
    <xf numFmtId="0" fontId="55" fillId="0" borderId="30" xfId="0" applyFont="1" applyBorder="1"/>
    <xf numFmtId="0" fontId="55" fillId="13" borderId="22" xfId="0" applyFont="1" applyFill="1" applyBorder="1"/>
    <xf numFmtId="0" fontId="55" fillId="13" borderId="23" xfId="0" applyFont="1" applyFill="1" applyBorder="1"/>
    <xf numFmtId="0" fontId="1" fillId="0" borderId="24" xfId="1" applyFont="1" applyFill="1" applyBorder="1"/>
    <xf numFmtId="0" fontId="84" fillId="0" borderId="0" xfId="0" applyFont="1" applyAlignment="1">
      <alignment wrapText="1"/>
    </xf>
    <xf numFmtId="166" fontId="53" fillId="0" borderId="22" xfId="0" applyNumberFormat="1" applyFont="1" applyBorder="1"/>
    <xf numFmtId="166" fontId="53" fillId="0" borderId="25" xfId="0" applyNumberFormat="1" applyFont="1" applyBorder="1" applyAlignment="1">
      <alignment vertical="center"/>
    </xf>
    <xf numFmtId="166" fontId="53" fillId="0" borderId="15" xfId="0" applyNumberFormat="1" applyFont="1" applyBorder="1" applyAlignment="1">
      <alignment vertical="center"/>
    </xf>
    <xf numFmtId="166" fontId="53" fillId="0" borderId="21" xfId="0" applyNumberFormat="1" applyFont="1" applyFill="1" applyBorder="1"/>
    <xf numFmtId="166" fontId="53" fillId="0" borderId="23" xfId="0" applyNumberFormat="1" applyFont="1" applyFill="1" applyBorder="1"/>
    <xf numFmtId="2" fontId="53" fillId="0" borderId="22" xfId="0" applyNumberFormat="1" applyFont="1" applyBorder="1"/>
    <xf numFmtId="0" fontId="84" fillId="0" borderId="0" xfId="0" applyFont="1" applyFill="1"/>
    <xf numFmtId="0" fontId="97" fillId="0" borderId="0" xfId="0" applyFont="1"/>
    <xf numFmtId="0" fontId="23" fillId="0" borderId="0" xfId="0" applyFont="1" applyFill="1" applyBorder="1"/>
    <xf numFmtId="0" fontId="101" fillId="27" borderId="34" xfId="40" applyFont="1" applyFill="1" applyBorder="1"/>
    <xf numFmtId="0" fontId="0" fillId="11" borderId="84" xfId="0" applyFill="1" applyBorder="1" applyAlignment="1">
      <alignment horizontal="right" vertical="center" wrapText="1"/>
    </xf>
    <xf numFmtId="0" fontId="0" fillId="11" borderId="87" xfId="0" applyFill="1" applyBorder="1" applyAlignment="1">
      <alignment horizontal="right" vertical="center" wrapText="1"/>
    </xf>
    <xf numFmtId="0" fontId="0" fillId="11" borderId="80" xfId="0" applyFill="1" applyBorder="1" applyAlignment="1">
      <alignment horizontal="right" vertical="center" wrapText="1"/>
    </xf>
    <xf numFmtId="0" fontId="0" fillId="11" borderId="88" xfId="0" applyFill="1" applyBorder="1" applyAlignment="1">
      <alignment horizontal="right" vertical="center" wrapText="1"/>
    </xf>
    <xf numFmtId="0" fontId="0" fillId="11" borderId="85" xfId="0" applyFill="1" applyBorder="1" applyAlignment="1">
      <alignment horizontal="right" vertical="center" wrapText="1"/>
    </xf>
    <xf numFmtId="0" fontId="105" fillId="11" borderId="80" xfId="0" applyFont="1" applyFill="1" applyBorder="1" applyAlignment="1">
      <alignment horizontal="left" vertical="center" wrapText="1"/>
    </xf>
    <xf numFmtId="0" fontId="105" fillId="11" borderId="22" xfId="0" applyFont="1" applyFill="1" applyBorder="1" applyAlignment="1">
      <alignment wrapText="1"/>
    </xf>
    <xf numFmtId="0" fontId="105" fillId="11" borderId="17" xfId="0" applyFont="1" applyFill="1" applyBorder="1" applyAlignment="1">
      <alignment wrapText="1"/>
    </xf>
    <xf numFmtId="0" fontId="104" fillId="12" borderId="22" xfId="0" applyFont="1" applyFill="1" applyBorder="1" applyAlignment="1">
      <alignment wrapText="1"/>
    </xf>
    <xf numFmtId="0" fontId="0" fillId="0" borderId="82" xfId="0" applyFill="1" applyBorder="1" applyAlignment="1">
      <alignment horizontal="center" vertical="center" wrapText="1"/>
    </xf>
    <xf numFmtId="0" fontId="0" fillId="0" borderId="17" xfId="0" applyFill="1" applyBorder="1" applyAlignment="1">
      <alignment wrapText="1"/>
    </xf>
    <xf numFmtId="0" fontId="0" fillId="0" borderId="21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95" fillId="0" borderId="82" xfId="0" applyFont="1" applyFill="1" applyBorder="1" applyAlignment="1">
      <alignment horizontal="center" vertical="center" wrapText="1"/>
    </xf>
    <xf numFmtId="0" fontId="105" fillId="0" borderId="22" xfId="0" applyFont="1" applyFill="1" applyBorder="1" applyAlignment="1">
      <alignment wrapText="1"/>
    </xf>
    <xf numFmtId="0" fontId="95" fillId="0" borderId="79" xfId="0" applyFont="1" applyFill="1" applyBorder="1" applyAlignment="1">
      <alignment horizontal="center" vertical="center" wrapText="1"/>
    </xf>
    <xf numFmtId="0" fontId="105" fillId="0" borderId="79" xfId="0" applyFont="1" applyBorder="1" applyAlignment="1">
      <alignment wrapText="1"/>
    </xf>
    <xf numFmtId="0" fontId="104" fillId="12" borderId="23" xfId="0" applyFont="1" applyFill="1" applyBorder="1" applyAlignment="1">
      <alignment wrapText="1"/>
    </xf>
    <xf numFmtId="0" fontId="14" fillId="0" borderId="0" xfId="0" applyFont="1"/>
    <xf numFmtId="0" fontId="55" fillId="15" borderId="24" xfId="0" applyFont="1" applyFill="1" applyBorder="1" applyProtection="1">
      <protection locked="0"/>
    </xf>
    <xf numFmtId="0" fontId="1" fillId="14" borderId="24" xfId="1" applyFont="1" applyFill="1" applyBorder="1" applyProtection="1">
      <protection locked="0"/>
    </xf>
    <xf numFmtId="2" fontId="53" fillId="0" borderId="25" xfId="0" applyNumberFormat="1" applyFont="1" applyBorder="1" applyAlignment="1">
      <alignment vertical="center"/>
    </xf>
    <xf numFmtId="2" fontId="53" fillId="0" borderId="15" xfId="0" applyNumberFormat="1" applyFont="1" applyBorder="1" applyAlignment="1">
      <alignment vertical="center"/>
    </xf>
    <xf numFmtId="1" fontId="55" fillId="0" borderId="25" xfId="0" applyNumberFormat="1" applyFont="1" applyBorder="1" applyAlignment="1">
      <alignment vertical="center"/>
    </xf>
    <xf numFmtId="1" fontId="53" fillId="0" borderId="15" xfId="0" applyNumberFormat="1" applyFont="1" applyBorder="1" applyAlignment="1">
      <alignment vertical="center"/>
    </xf>
    <xf numFmtId="1" fontId="53" fillId="13" borderId="15" xfId="0" applyNumberFormat="1" applyFont="1" applyFill="1" applyBorder="1"/>
    <xf numFmtId="0" fontId="55" fillId="14" borderId="21" xfId="0" applyFont="1" applyFill="1" applyBorder="1" applyProtection="1">
      <protection locked="0"/>
    </xf>
    <xf numFmtId="0" fontId="55" fillId="14" borderId="22" xfId="0" applyFont="1" applyFill="1" applyBorder="1" applyProtection="1">
      <protection locked="0"/>
    </xf>
    <xf numFmtId="0" fontId="55" fillId="15" borderId="21" xfId="0" applyFont="1" applyFill="1" applyBorder="1" applyProtection="1">
      <protection locked="0"/>
    </xf>
    <xf numFmtId="0" fontId="55" fillId="15" borderId="22" xfId="0" applyFont="1" applyFill="1" applyBorder="1" applyProtection="1">
      <protection locked="0"/>
    </xf>
    <xf numFmtId="166" fontId="53" fillId="15" borderId="22" xfId="0" applyNumberFormat="1" applyFont="1" applyFill="1" applyBorder="1" applyProtection="1">
      <protection locked="0"/>
    </xf>
    <xf numFmtId="2" fontId="55" fillId="15" borderId="22" xfId="0" applyNumberFormat="1" applyFont="1" applyFill="1" applyBorder="1" applyProtection="1">
      <protection locked="0"/>
    </xf>
    <xf numFmtId="3" fontId="55" fillId="15" borderId="22" xfId="0" applyNumberFormat="1" applyFont="1" applyFill="1" applyBorder="1" applyProtection="1">
      <protection locked="0"/>
    </xf>
    <xf numFmtId="0" fontId="1" fillId="14" borderId="23" xfId="40" applyFont="1" applyFill="1" applyBorder="1" applyAlignment="1" applyProtection="1">
      <alignment vertical="center"/>
      <protection locked="0"/>
    </xf>
    <xf numFmtId="0" fontId="1" fillId="14" borderId="22" xfId="40" applyFont="1" applyFill="1" applyBorder="1" applyAlignment="1" applyProtection="1">
      <alignment vertical="center"/>
      <protection locked="0"/>
    </xf>
    <xf numFmtId="0" fontId="55" fillId="14" borderId="69" xfId="0" applyFont="1" applyFill="1" applyBorder="1" applyProtection="1">
      <protection locked="0"/>
    </xf>
    <xf numFmtId="0" fontId="55" fillId="14" borderId="25" xfId="0" applyFont="1" applyFill="1" applyBorder="1" applyProtection="1">
      <protection locked="0"/>
    </xf>
    <xf numFmtId="0" fontId="98" fillId="0" borderId="0" xfId="42" applyAlignment="1" applyProtection="1">
      <alignment wrapText="1"/>
      <protection locked="0"/>
    </xf>
    <xf numFmtId="0" fontId="1" fillId="27" borderId="69" xfId="1" applyFont="1" applyFill="1" applyBorder="1" applyAlignment="1">
      <alignment vertical="center" wrapText="1"/>
    </xf>
    <xf numFmtId="0" fontId="0" fillId="27" borderId="69" xfId="0" applyFill="1" applyBorder="1" applyAlignment="1">
      <alignment wrapText="1"/>
    </xf>
    <xf numFmtId="0" fontId="1" fillId="27" borderId="22" xfId="1" applyFont="1" applyFill="1" applyBorder="1" applyAlignment="1">
      <alignment vertical="center" wrapText="1"/>
    </xf>
    <xf numFmtId="0" fontId="0" fillId="27" borderId="22" xfId="0" applyFill="1" applyBorder="1" applyAlignment="1">
      <alignment wrapText="1"/>
    </xf>
    <xf numFmtId="0" fontId="0" fillId="27" borderId="82" xfId="0" applyFill="1" applyBorder="1" applyAlignment="1">
      <alignment wrapText="1"/>
    </xf>
    <xf numFmtId="0" fontId="103" fillId="0" borderId="0" xfId="0" applyFont="1" applyAlignment="1">
      <alignment horizontal="left" vertical="top" wrapText="1"/>
    </xf>
    <xf numFmtId="0" fontId="103" fillId="0" borderId="20" xfId="0" applyFont="1" applyBorder="1" applyAlignment="1">
      <alignment horizontal="left" vertical="top"/>
    </xf>
    <xf numFmtId="0" fontId="99" fillId="0" borderId="31" xfId="0" applyFont="1" applyBorder="1" applyAlignment="1">
      <alignment horizontal="left" vertical="top"/>
    </xf>
    <xf numFmtId="0" fontId="99" fillId="0" borderId="0" xfId="0" applyFont="1" applyAlignment="1">
      <alignment horizontal="left" vertical="top"/>
    </xf>
    <xf numFmtId="0" fontId="102" fillId="0" borderId="0" xfId="0" applyFont="1" applyAlignment="1">
      <alignment horizontal="left" vertical="top"/>
    </xf>
    <xf numFmtId="0" fontId="102" fillId="0" borderId="20" xfId="0" applyFont="1" applyBorder="1" applyAlignment="1">
      <alignment horizontal="left" vertical="top"/>
    </xf>
    <xf numFmtId="0" fontId="102" fillId="0" borderId="61" xfId="0" applyFont="1" applyBorder="1" applyAlignment="1">
      <alignment horizontal="left" vertical="top" wrapText="1"/>
    </xf>
    <xf numFmtId="0" fontId="102" fillId="0" borderId="40" xfId="0" applyFont="1" applyBorder="1" applyAlignment="1">
      <alignment horizontal="left" vertical="top" wrapText="1"/>
    </xf>
    <xf numFmtId="0" fontId="0" fillId="0" borderId="29" xfId="0" applyBorder="1" applyAlignment="1">
      <alignment horizontal="left"/>
    </xf>
    <xf numFmtId="0" fontId="99" fillId="0" borderId="61" xfId="0" applyFont="1" applyBorder="1" applyAlignment="1">
      <alignment horizontal="left" vertical="top" wrapText="1"/>
    </xf>
    <xf numFmtId="0" fontId="99" fillId="0" borderId="40" xfId="0" applyFont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100" fillId="0" borderId="40" xfId="0" applyFont="1" applyBorder="1" applyAlignment="1">
      <alignment horizontal="left" vertical="top"/>
    </xf>
    <xf numFmtId="0" fontId="100" fillId="0" borderId="19" xfId="0" applyFont="1" applyBorder="1" applyAlignment="1">
      <alignment horizontal="left" vertical="top"/>
    </xf>
    <xf numFmtId="0" fontId="99" fillId="0" borderId="19" xfId="0" applyFont="1" applyBorder="1" applyAlignment="1">
      <alignment horizontal="left" vertical="top" wrapText="1"/>
    </xf>
    <xf numFmtId="0" fontId="99" fillId="0" borderId="20" xfId="0" applyFont="1" applyBorder="1" applyAlignment="1">
      <alignment horizontal="left" vertical="top"/>
    </xf>
    <xf numFmtId="0" fontId="99" fillId="0" borderId="31" xfId="0" applyFont="1" applyBorder="1" applyAlignment="1">
      <alignment horizontal="left" vertical="top" wrapText="1"/>
    </xf>
    <xf numFmtId="0" fontId="99" fillId="0" borderId="0" xfId="0" applyFont="1" applyAlignment="1">
      <alignment horizontal="left" vertical="top" wrapText="1"/>
    </xf>
    <xf numFmtId="0" fontId="0" fillId="0" borderId="0" xfId="0" applyBorder="1" applyAlignment="1">
      <alignment horizontal="left"/>
    </xf>
    <xf numFmtId="0" fontId="53" fillId="12" borderId="0" xfId="0" applyFont="1" applyFill="1" applyBorder="1" applyAlignment="1">
      <alignment horizontal="left"/>
    </xf>
    <xf numFmtId="0" fontId="55" fillId="15" borderId="76" xfId="0" applyFont="1" applyFill="1" applyBorder="1" applyAlignment="1" applyProtection="1">
      <alignment horizontal="left" vertical="top" wrapText="1"/>
      <protection locked="0"/>
    </xf>
    <xf numFmtId="0" fontId="55" fillId="15" borderId="77" xfId="0" applyFont="1" applyFill="1" applyBorder="1" applyAlignment="1" applyProtection="1">
      <alignment horizontal="left" vertical="top" wrapText="1"/>
      <protection locked="0"/>
    </xf>
    <xf numFmtId="0" fontId="55" fillId="15" borderId="78" xfId="0" applyFont="1" applyFill="1" applyBorder="1" applyAlignment="1" applyProtection="1">
      <alignment horizontal="left" vertical="top" wrapText="1"/>
      <protection locked="0"/>
    </xf>
    <xf numFmtId="0" fontId="55" fillId="15" borderId="76" xfId="0" applyFont="1" applyFill="1" applyBorder="1" applyAlignment="1" applyProtection="1">
      <alignment horizontal="left" vertical="top"/>
      <protection locked="0"/>
    </xf>
    <xf numFmtId="0" fontId="55" fillId="15" borderId="78" xfId="0" applyFont="1" applyFill="1" applyBorder="1" applyAlignment="1" applyProtection="1">
      <alignment horizontal="left" vertical="top"/>
      <protection locked="0"/>
    </xf>
    <xf numFmtId="0" fontId="2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5" fillId="15" borderId="77" xfId="0" applyFont="1" applyFill="1" applyBorder="1" applyAlignment="1" applyProtection="1">
      <alignment horizontal="left" vertical="top"/>
      <protection locked="0"/>
    </xf>
    <xf numFmtId="0" fontId="55" fillId="0" borderId="73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75" xfId="0" applyFont="1" applyBorder="1" applyAlignment="1">
      <alignment horizontal="left"/>
    </xf>
    <xf numFmtId="0" fontId="55" fillId="0" borderId="28" xfId="0" applyFont="1" applyBorder="1" applyAlignment="1">
      <alignment horizontal="left"/>
    </xf>
    <xf numFmtId="0" fontId="55" fillId="0" borderId="29" xfId="0" applyFont="1" applyBorder="1" applyAlignment="1">
      <alignment horizontal="left"/>
    </xf>
    <xf numFmtId="0" fontId="53" fillId="12" borderId="28" xfId="0" applyFont="1" applyFill="1" applyBorder="1" applyAlignment="1">
      <alignment horizontal="left" vertical="center" wrapText="1"/>
    </xf>
    <xf numFmtId="0" fontId="53" fillId="12" borderId="29" xfId="0" applyFont="1" applyFill="1" applyBorder="1" applyAlignment="1">
      <alignment horizontal="left" vertical="center" wrapText="1"/>
    </xf>
    <xf numFmtId="0" fontId="53" fillId="12" borderId="30" xfId="0" applyFont="1" applyFill="1" applyBorder="1" applyAlignment="1">
      <alignment horizontal="left" vertical="center" wrapText="1"/>
    </xf>
    <xf numFmtId="0" fontId="55" fillId="0" borderId="30" xfId="0" applyFont="1" applyBorder="1" applyAlignment="1">
      <alignment horizontal="left"/>
    </xf>
    <xf numFmtId="0" fontId="53" fillId="12" borderId="28" xfId="0" applyFont="1" applyFill="1" applyBorder="1" applyAlignment="1">
      <alignment vertical="center" wrapText="1"/>
    </xf>
    <xf numFmtId="0" fontId="53" fillId="12" borderId="29" xfId="0" applyFont="1" applyFill="1" applyBorder="1" applyAlignment="1">
      <alignment vertical="center" wrapText="1"/>
    </xf>
    <xf numFmtId="0" fontId="53" fillId="12" borderId="30" xfId="0" applyFont="1" applyFill="1" applyBorder="1" applyAlignment="1">
      <alignment vertical="center" wrapText="1"/>
    </xf>
    <xf numFmtId="0" fontId="55" fillId="0" borderId="70" xfId="0" applyFont="1" applyBorder="1" applyAlignment="1">
      <alignment horizontal="left"/>
    </xf>
    <xf numFmtId="0" fontId="55" fillId="0" borderId="71" xfId="0" applyFont="1" applyBorder="1" applyAlignment="1">
      <alignment horizontal="left"/>
    </xf>
    <xf numFmtId="0" fontId="55" fillId="0" borderId="72" xfId="0" applyFont="1" applyBorder="1" applyAlignment="1">
      <alignment horizontal="left"/>
    </xf>
    <xf numFmtId="0" fontId="55" fillId="0" borderId="52" xfId="0" applyFont="1" applyBorder="1" applyAlignment="1">
      <alignment horizontal="center"/>
    </xf>
    <xf numFmtId="0" fontId="53" fillId="0" borderId="28" xfId="0" applyFont="1" applyFill="1" applyBorder="1" applyAlignment="1">
      <alignment horizontal="left" wrapText="1"/>
    </xf>
    <xf numFmtId="0" fontId="53" fillId="0" borderId="29" xfId="0" applyFont="1" applyFill="1" applyBorder="1" applyAlignment="1">
      <alignment horizontal="left" wrapText="1"/>
    </xf>
    <xf numFmtId="0" fontId="53" fillId="0" borderId="30" xfId="0" applyFont="1" applyFill="1" applyBorder="1" applyAlignment="1">
      <alignment horizontal="left" wrapText="1"/>
    </xf>
    <xf numFmtId="0" fontId="55" fillId="0" borderId="61" xfId="0" applyFont="1" applyBorder="1" applyAlignment="1">
      <alignment horizontal="left"/>
    </xf>
    <xf numFmtId="0" fontId="55" fillId="0" borderId="40" xfId="0" applyFont="1" applyBorder="1" applyAlignment="1">
      <alignment horizontal="left"/>
    </xf>
    <xf numFmtId="0" fontId="55" fillId="0" borderId="19" xfId="0" applyFont="1" applyBorder="1" applyAlignment="1">
      <alignment horizontal="left"/>
    </xf>
    <xf numFmtId="0" fontId="55" fillId="0" borderId="28" xfId="0" applyFont="1" applyFill="1" applyBorder="1" applyAlignment="1">
      <alignment horizontal="left" wrapText="1"/>
    </xf>
    <xf numFmtId="0" fontId="55" fillId="0" borderId="29" xfId="0" applyFont="1" applyFill="1" applyBorder="1" applyAlignment="1">
      <alignment horizontal="left" wrapText="1"/>
    </xf>
    <xf numFmtId="0" fontId="55" fillId="0" borderId="30" xfId="0" applyFont="1" applyFill="1" applyBorder="1" applyAlignment="1">
      <alignment horizontal="left" wrapText="1"/>
    </xf>
    <xf numFmtId="0" fontId="0" fillId="11" borderId="103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63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0" borderId="52" xfId="0" applyBorder="1" applyAlignment="1">
      <alignment horizontal="center" wrapText="1"/>
    </xf>
    <xf numFmtId="0" fontId="0" fillId="12" borderId="68" xfId="0" applyFill="1" applyBorder="1" applyAlignment="1">
      <alignment horizontal="center" vertical="center" wrapText="1"/>
    </xf>
    <xf numFmtId="0" fontId="0" fillId="12" borderId="48" xfId="0" applyFill="1" applyBorder="1" applyAlignment="1">
      <alignment horizontal="center" vertical="center" wrapText="1"/>
    </xf>
    <xf numFmtId="0" fontId="0" fillId="12" borderId="104" xfId="0" applyFill="1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37" xfId="0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 wrapText="1"/>
    </xf>
    <xf numFmtId="0" fontId="0" fillId="12" borderId="105" xfId="0" applyFill="1" applyBorder="1" applyAlignment="1">
      <alignment horizontal="center" vertical="center" wrapText="1"/>
    </xf>
    <xf numFmtId="0" fontId="0" fillId="11" borderId="89" xfId="0" applyFill="1" applyBorder="1" applyAlignment="1">
      <alignment horizontal="center" vertical="center" wrapText="1"/>
    </xf>
    <xf numFmtId="166" fontId="58" fillId="0" borderId="28" xfId="40" applyNumberFormat="1" applyFont="1" applyBorder="1" applyAlignment="1">
      <alignment horizontal="center"/>
    </xf>
    <xf numFmtId="166" fontId="58" fillId="0" borderId="29" xfId="40" applyNumberFormat="1" applyFont="1" applyBorder="1" applyAlignment="1">
      <alignment horizontal="center"/>
    </xf>
    <xf numFmtId="166" fontId="58" fillId="0" borderId="30" xfId="40" applyNumberFormat="1" applyFont="1" applyBorder="1" applyAlignment="1">
      <alignment horizontal="center"/>
    </xf>
    <xf numFmtId="0" fontId="53" fillId="12" borderId="28" xfId="0" applyFont="1" applyFill="1" applyBorder="1" applyAlignment="1">
      <alignment horizontal="center" wrapText="1"/>
    </xf>
    <xf numFmtId="0" fontId="53" fillId="12" borderId="29" xfId="0" applyFont="1" applyFill="1" applyBorder="1" applyAlignment="1">
      <alignment horizontal="center" wrapText="1"/>
    </xf>
    <xf numFmtId="0" fontId="53" fillId="12" borderId="30" xfId="0" applyFont="1" applyFill="1" applyBorder="1" applyAlignment="1">
      <alignment horizontal="center" wrapText="1"/>
    </xf>
    <xf numFmtId="0" fontId="0" fillId="11" borderId="27" xfId="0" applyFill="1" applyBorder="1" applyAlignment="1">
      <alignment horizontal="center" vertical="center" wrapText="1"/>
    </xf>
    <xf numFmtId="0" fontId="95" fillId="13" borderId="106" xfId="0" applyFont="1" applyFill="1" applyBorder="1" applyAlignment="1">
      <alignment horizontal="center" vertical="center" wrapText="1"/>
    </xf>
    <xf numFmtId="0" fontId="95" fillId="13" borderId="107" xfId="0" applyFont="1" applyFill="1" applyBorder="1" applyAlignment="1">
      <alignment horizontal="center" vertical="center" wrapText="1"/>
    </xf>
    <xf numFmtId="0" fontId="95" fillId="13" borderId="108" xfId="0" applyFont="1" applyFill="1" applyBorder="1" applyAlignment="1">
      <alignment horizontal="center" vertical="center" wrapText="1"/>
    </xf>
    <xf numFmtId="0" fontId="95" fillId="13" borderId="31" xfId="0" applyFont="1" applyFill="1" applyBorder="1" applyAlignment="1">
      <alignment horizontal="center" vertical="center" wrapText="1"/>
    </xf>
    <xf numFmtId="0" fontId="95" fillId="13" borderId="0" xfId="0" applyFont="1" applyFill="1" applyBorder="1" applyAlignment="1">
      <alignment horizontal="center" vertical="center" wrapText="1"/>
    </xf>
    <xf numFmtId="0" fontId="95" fillId="13" borderId="20" xfId="0" applyFont="1" applyFill="1" applyBorder="1" applyAlignment="1">
      <alignment horizontal="center" vertical="center" wrapText="1"/>
    </xf>
    <xf numFmtId="0" fontId="95" fillId="13" borderId="37" xfId="0" applyFont="1" applyFill="1" applyBorder="1" applyAlignment="1">
      <alignment horizontal="center" vertical="center" wrapText="1"/>
    </xf>
    <xf numFmtId="0" fontId="95" fillId="13" borderId="35" xfId="0" applyFont="1" applyFill="1" applyBorder="1" applyAlignment="1">
      <alignment horizontal="center" vertical="center" wrapText="1"/>
    </xf>
    <xf numFmtId="0" fontId="95" fillId="13" borderId="105" xfId="0" applyFont="1" applyFill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0" fillId="0" borderId="48" xfId="40" applyFont="1" applyBorder="1" applyAlignment="1">
      <alignment horizontal="center"/>
    </xf>
    <xf numFmtId="0" fontId="60" fillId="0" borderId="47" xfId="40" applyFont="1" applyBorder="1" applyAlignment="1">
      <alignment horizontal="center"/>
    </xf>
    <xf numFmtId="4" fontId="60" fillId="0" borderId="0" xfId="40" applyNumberFormat="1" applyFont="1" applyFill="1" applyBorder="1" applyAlignment="1">
      <alignment horizontal="center" textRotation="90" shrinkToFit="1"/>
    </xf>
    <xf numFmtId="4" fontId="60" fillId="0" borderId="52" xfId="40" applyNumberFormat="1" applyFont="1" applyFill="1" applyBorder="1" applyAlignment="1">
      <alignment horizontal="center" textRotation="90" shrinkToFit="1"/>
    </xf>
    <xf numFmtId="166" fontId="60" fillId="24" borderId="0" xfId="40" applyNumberFormat="1" applyFont="1" applyFill="1" applyBorder="1" applyAlignment="1">
      <alignment horizontal="center"/>
    </xf>
    <xf numFmtId="4" fontId="60" fillId="0" borderId="33" xfId="40" applyNumberFormat="1" applyFont="1" applyFill="1" applyBorder="1" applyAlignment="1">
      <alignment horizontal="center" textRotation="90" shrinkToFit="1"/>
    </xf>
    <xf numFmtId="4" fontId="60" fillId="0" borderId="51" xfId="40" applyNumberFormat="1" applyFont="1" applyFill="1" applyBorder="1" applyAlignment="1">
      <alignment horizontal="center" textRotation="90" shrinkToFit="1"/>
    </xf>
    <xf numFmtId="166" fontId="60" fillId="24" borderId="35" xfId="40" applyNumberFormat="1" applyFont="1" applyFill="1" applyBorder="1" applyAlignment="1">
      <alignment horizontal="center"/>
    </xf>
    <xf numFmtId="0" fontId="60" fillId="0" borderId="45" xfId="40" applyFont="1" applyBorder="1" applyAlignment="1">
      <alignment horizontal="right"/>
    </xf>
    <xf numFmtId="0" fontId="60" fillId="0" borderId="41" xfId="40" applyFont="1" applyBorder="1" applyAlignment="1">
      <alignment horizontal="left"/>
    </xf>
    <xf numFmtId="0" fontId="60" fillId="0" borderId="40" xfId="40" applyFont="1" applyBorder="1" applyAlignment="1">
      <alignment horizontal="left"/>
    </xf>
    <xf numFmtId="2" fontId="60" fillId="25" borderId="40" xfId="40" applyNumberFormat="1" applyFont="1" applyFill="1" applyBorder="1" applyAlignment="1">
      <alignment horizontal="center"/>
    </xf>
    <xf numFmtId="2" fontId="60" fillId="25" borderId="0" xfId="40" applyNumberFormat="1" applyFont="1" applyFill="1" applyBorder="1" applyAlignment="1">
      <alignment horizontal="center"/>
    </xf>
    <xf numFmtId="2" fontId="60" fillId="25" borderId="35" xfId="40" applyNumberFormat="1" applyFont="1" applyFill="1" applyBorder="1" applyAlignment="1">
      <alignment horizontal="center"/>
    </xf>
    <xf numFmtId="166" fontId="60" fillId="24" borderId="40" xfId="40" applyNumberFormat="1" applyFont="1" applyFill="1" applyBorder="1" applyAlignment="1">
      <alignment horizontal="center"/>
    </xf>
    <xf numFmtId="0" fontId="66" fillId="19" borderId="56" xfId="40" applyFont="1" applyFill="1" applyBorder="1" applyAlignment="1">
      <alignment horizontal="left" vertical="top" wrapText="1"/>
    </xf>
    <xf numFmtId="0" fontId="66" fillId="19" borderId="38" xfId="40" applyFont="1" applyFill="1" applyBorder="1" applyAlignment="1">
      <alignment horizontal="left" vertical="top" wrapText="1"/>
    </xf>
    <xf numFmtId="0" fontId="66" fillId="19" borderId="53" xfId="40" applyFont="1" applyFill="1" applyBorder="1" applyAlignment="1">
      <alignment horizontal="left" vertical="top" wrapText="1"/>
    </xf>
    <xf numFmtId="0" fontId="66" fillId="19" borderId="44" xfId="40" applyFont="1" applyFill="1" applyBorder="1" applyAlignment="1">
      <alignment horizontal="center"/>
    </xf>
    <xf numFmtId="0" fontId="66" fillId="19" borderId="45" xfId="40" applyFont="1" applyFill="1" applyBorder="1" applyAlignment="1">
      <alignment horizontal="center"/>
    </xf>
    <xf numFmtId="166" fontId="60" fillId="27" borderId="40" xfId="40" applyNumberFormat="1" applyFont="1" applyFill="1" applyBorder="1" applyAlignment="1">
      <alignment horizontal="center"/>
    </xf>
    <xf numFmtId="166" fontId="60" fillId="27" borderId="0" xfId="40" applyNumberFormat="1" applyFont="1" applyFill="1" applyBorder="1" applyAlignment="1">
      <alignment horizontal="center"/>
    </xf>
    <xf numFmtId="166" fontId="60" fillId="27" borderId="35" xfId="40" applyNumberFormat="1" applyFont="1" applyFill="1" applyBorder="1" applyAlignment="1">
      <alignment horizontal="center"/>
    </xf>
    <xf numFmtId="0" fontId="66" fillId="18" borderId="50" xfId="40" applyFont="1" applyFill="1" applyBorder="1" applyAlignment="1">
      <alignment horizontal="left" vertical="top" wrapText="1"/>
    </xf>
    <xf numFmtId="0" fontId="66" fillId="18" borderId="32" xfId="40" applyFont="1" applyFill="1" applyBorder="1" applyAlignment="1">
      <alignment horizontal="left" vertical="top" wrapText="1"/>
    </xf>
    <xf numFmtId="0" fontId="66" fillId="17" borderId="56" xfId="40" applyFont="1" applyFill="1" applyBorder="1" applyAlignment="1">
      <alignment horizontal="left" vertical="top" wrapText="1"/>
    </xf>
    <xf numFmtId="0" fontId="66" fillId="17" borderId="38" xfId="40" applyFont="1" applyFill="1" applyBorder="1" applyAlignment="1">
      <alignment horizontal="left" vertical="top" wrapText="1"/>
    </xf>
    <xf numFmtId="0" fontId="66" fillId="17" borderId="53" xfId="40" applyFont="1" applyFill="1" applyBorder="1" applyAlignment="1">
      <alignment horizontal="left" vertical="top" wrapText="1"/>
    </xf>
    <xf numFmtId="0" fontId="60" fillId="0" borderId="0" xfId="40" applyFont="1" applyBorder="1" applyAlignment="1">
      <alignment horizontal="center" vertical="center"/>
    </xf>
    <xf numFmtId="0" fontId="60" fillId="0" borderId="52" xfId="40" applyFont="1" applyBorder="1" applyAlignment="1">
      <alignment horizontal="center" vertical="center"/>
    </xf>
    <xf numFmtId="0" fontId="60" fillId="12" borderId="63" xfId="40" applyFont="1" applyFill="1" applyBorder="1" applyAlignment="1">
      <alignment horizontal="center" vertical="top"/>
    </xf>
    <xf numFmtId="0" fontId="60" fillId="12" borderId="17" xfId="40" applyFont="1" applyFill="1" applyBorder="1" applyAlignment="1">
      <alignment horizontal="center" vertical="top"/>
    </xf>
    <xf numFmtId="0" fontId="60" fillId="12" borderId="40" xfId="40" applyFont="1" applyFill="1" applyBorder="1" applyAlignment="1">
      <alignment horizontal="center"/>
    </xf>
    <xf numFmtId="0" fontId="60" fillId="28" borderId="61" xfId="40" applyFont="1" applyFill="1" applyBorder="1" applyAlignment="1">
      <alignment horizontal="center"/>
    </xf>
    <xf numFmtId="0" fontId="60" fillId="28" borderId="19" xfId="40" applyFont="1" applyFill="1" applyBorder="1" applyAlignment="1">
      <alignment horizontal="center"/>
    </xf>
    <xf numFmtId="0" fontId="70" fillId="0" borderId="28" xfId="40" applyFont="1" applyBorder="1" applyAlignment="1">
      <alignment horizontal="center"/>
    </xf>
    <xf numFmtId="0" fontId="70" fillId="0" borderId="29" xfId="40" applyFont="1" applyBorder="1" applyAlignment="1">
      <alignment horizontal="center"/>
    </xf>
    <xf numFmtId="0" fontId="70" fillId="0" borderId="30" xfId="40" applyFont="1" applyBorder="1" applyAlignment="1">
      <alignment horizontal="center"/>
    </xf>
    <xf numFmtId="0" fontId="60" fillId="0" borderId="31" xfId="40" applyFont="1" applyBorder="1" applyAlignment="1">
      <alignment horizontal="right"/>
    </xf>
    <xf numFmtId="0" fontId="60" fillId="0" borderId="0" xfId="40" applyFont="1" applyBorder="1" applyAlignment="1">
      <alignment horizontal="right"/>
    </xf>
    <xf numFmtId="0" fontId="60" fillId="0" borderId="20" xfId="40" applyFont="1" applyBorder="1" applyAlignment="1">
      <alignment horizontal="right"/>
    </xf>
    <xf numFmtId="0" fontId="60" fillId="28" borderId="40" xfId="40" applyFont="1" applyFill="1" applyBorder="1" applyAlignment="1">
      <alignment horizontal="center"/>
    </xf>
    <xf numFmtId="0" fontId="73" fillId="30" borderId="20" xfId="40" applyFont="1" applyFill="1" applyBorder="1" applyAlignment="1">
      <alignment horizontal="center"/>
    </xf>
    <xf numFmtId="0" fontId="60" fillId="28" borderId="60" xfId="40" applyFont="1" applyFill="1" applyBorder="1" applyAlignment="1">
      <alignment horizontal="left"/>
    </xf>
    <xf numFmtId="0" fontId="60" fillId="28" borderId="18" xfId="40" applyFont="1" applyFill="1" applyBorder="1" applyAlignment="1">
      <alignment horizontal="left"/>
    </xf>
    <xf numFmtId="168" fontId="60" fillId="28" borderId="60" xfId="40" applyNumberFormat="1" applyFont="1" applyFill="1" applyBorder="1" applyAlignment="1">
      <alignment horizontal="left"/>
    </xf>
    <xf numFmtId="168" fontId="60" fillId="28" borderId="18" xfId="40" applyNumberFormat="1" applyFont="1" applyFill="1" applyBorder="1" applyAlignment="1">
      <alignment horizontal="left"/>
    </xf>
    <xf numFmtId="0" fontId="73" fillId="30" borderId="20" xfId="40" applyFont="1" applyFill="1" applyBorder="1" applyAlignment="1">
      <alignment horizontal="center" wrapText="1"/>
    </xf>
    <xf numFmtId="0" fontId="60" fillId="0" borderId="60" xfId="40" applyFont="1" applyBorder="1" applyAlignment="1">
      <alignment horizontal="right"/>
    </xf>
    <xf numFmtId="0" fontId="60" fillId="0" borderId="52" xfId="40" applyFont="1" applyBorder="1" applyAlignment="1">
      <alignment horizontal="right"/>
    </xf>
    <xf numFmtId="0" fontId="60" fillId="0" borderId="18" xfId="40" applyFont="1" applyBorder="1" applyAlignment="1">
      <alignment horizontal="right"/>
    </xf>
    <xf numFmtId="0" fontId="60" fillId="0" borderId="61" xfId="40" applyFont="1" applyBorder="1" applyAlignment="1">
      <alignment horizontal="right"/>
    </xf>
    <xf numFmtId="0" fontId="60" fillId="0" borderId="40" xfId="40" applyFont="1" applyBorder="1" applyAlignment="1">
      <alignment horizontal="right"/>
    </xf>
    <xf numFmtId="0" fontId="60" fillId="0" borderId="19" xfId="40" applyFont="1" applyBorder="1" applyAlignment="1">
      <alignment horizontal="right"/>
    </xf>
    <xf numFmtId="0" fontId="20" fillId="0" borderId="7" xfId="1" applyFont="1" applyFill="1" applyBorder="1" applyAlignment="1">
      <alignment horizontal="left" vertical="center" wrapText="1"/>
    </xf>
    <xf numFmtId="0" fontId="1" fillId="0" borderId="10" xfId="1" applyBorder="1" applyAlignment="1">
      <alignment vertical="center" wrapText="1"/>
    </xf>
    <xf numFmtId="0" fontId="22" fillId="0" borderId="9" xfId="1" applyFont="1" applyBorder="1" applyAlignment="1">
      <alignment wrapText="1"/>
    </xf>
    <xf numFmtId="0" fontId="8" fillId="0" borderId="9" xfId="2" applyBorder="1" applyAlignment="1"/>
    <xf numFmtId="0" fontId="18" fillId="0" borderId="10" xfId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 wrapText="1"/>
    </xf>
    <xf numFmtId="0" fontId="1" fillId="0" borderId="10" xfId="1" applyBorder="1" applyAlignment="1">
      <alignment horizontal="center" vertical="top" wrapText="1"/>
    </xf>
    <xf numFmtId="0" fontId="16" fillId="0" borderId="10" xfId="1" applyFont="1" applyFill="1" applyBorder="1" applyAlignment="1">
      <alignment horizontal="center" wrapText="1"/>
    </xf>
    <xf numFmtId="0" fontId="8" fillId="0" borderId="10" xfId="2" applyBorder="1" applyAlignment="1">
      <alignment horizontal="center"/>
    </xf>
    <xf numFmtId="0" fontId="19" fillId="3" borderId="12" xfId="1" applyFont="1" applyFill="1" applyBorder="1" applyAlignment="1">
      <alignment horizontal="center" vertical="top" wrapText="1"/>
    </xf>
    <xf numFmtId="0" fontId="19" fillId="0" borderId="12" xfId="1" applyFont="1" applyFill="1" applyBorder="1" applyAlignment="1">
      <alignment horizontal="center" vertical="top" wrapText="1"/>
    </xf>
    <xf numFmtId="0" fontId="15" fillId="0" borderId="7" xfId="1" applyFont="1" applyFill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14" fillId="0" borderId="7" xfId="1" applyFont="1" applyBorder="1" applyAlignment="1">
      <alignment horizontal="center" wrapText="1"/>
    </xf>
    <xf numFmtId="0" fontId="14" fillId="0" borderId="10" xfId="1" applyFont="1" applyBorder="1" applyAlignment="1">
      <alignment horizontal="center" wrapText="1"/>
    </xf>
    <xf numFmtId="0" fontId="16" fillId="0" borderId="7" xfId="1" applyFont="1" applyFill="1" applyBorder="1" applyAlignment="1">
      <alignment horizontal="center" vertical="center" textRotation="90" wrapText="1"/>
    </xf>
    <xf numFmtId="0" fontId="8" fillId="0" borderId="12" xfId="2" applyBorder="1" applyAlignment="1">
      <alignment horizontal="center"/>
    </xf>
    <xf numFmtId="0" fontId="18" fillId="3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top" wrapText="1"/>
    </xf>
    <xf numFmtId="11" fontId="15" fillId="0" borderId="7" xfId="1" applyNumberFormat="1" applyFont="1" applyFill="1" applyBorder="1" applyAlignment="1">
      <alignment vertical="center" wrapText="1"/>
    </xf>
    <xf numFmtId="11" fontId="18" fillId="3" borderId="7" xfId="1" applyNumberFormat="1" applyFont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11" fontId="18" fillId="0" borderId="8" xfId="1" applyNumberFormat="1" applyFont="1" applyFill="1" applyBorder="1" applyAlignment="1">
      <alignment horizontal="center" vertical="top" wrapText="1"/>
    </xf>
    <xf numFmtId="0" fontId="1" fillId="0" borderId="8" xfId="1" applyBorder="1" applyAlignment="1">
      <alignment horizontal="center" vertical="top" wrapText="1"/>
    </xf>
    <xf numFmtId="11" fontId="18" fillId="0" borderId="7" xfId="1" applyNumberFormat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11" fontId="76" fillId="0" borderId="7" xfId="1" applyNumberFormat="1" applyFont="1" applyFill="1" applyBorder="1" applyAlignment="1">
      <alignment vertical="center" wrapText="1"/>
    </xf>
    <xf numFmtId="11" fontId="18" fillId="0" borderId="10" xfId="1" applyNumberFormat="1" applyFont="1" applyFill="1" applyBorder="1" applyAlignment="1">
      <alignment horizontal="center" vertical="top" wrapText="1"/>
    </xf>
    <xf numFmtId="0" fontId="19" fillId="0" borderId="10" xfId="1" applyFont="1" applyFill="1" applyBorder="1" applyAlignment="1">
      <alignment horizontal="center" vertical="top"/>
    </xf>
    <xf numFmtId="0" fontId="1" fillId="0" borderId="10" xfId="1" applyBorder="1" applyAlignment="1">
      <alignment horizontal="center" vertical="top"/>
    </xf>
    <xf numFmtId="11" fontId="19" fillId="3" borderId="12" xfId="1" applyNumberFormat="1" applyFont="1" applyFill="1" applyBorder="1" applyAlignment="1">
      <alignment horizontal="center" vertical="top" wrapText="1"/>
    </xf>
    <xf numFmtId="0" fontId="1" fillId="3" borderId="12" xfId="1" applyFill="1" applyBorder="1" applyAlignment="1">
      <alignment horizontal="center" vertical="top" wrapText="1"/>
    </xf>
    <xf numFmtId="11" fontId="19" fillId="0" borderId="12" xfId="1" applyNumberFormat="1" applyFont="1" applyFill="1" applyBorder="1" applyAlignment="1">
      <alignment horizontal="center" vertical="top" wrapText="1"/>
    </xf>
    <xf numFmtId="0" fontId="1" fillId="0" borderId="12" xfId="1" applyBorder="1" applyAlignment="1">
      <alignment horizontal="center" vertical="top" wrapText="1"/>
    </xf>
    <xf numFmtId="0" fontId="9" fillId="2" borderId="4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/>
    </xf>
    <xf numFmtId="0" fontId="15" fillId="0" borderId="7" xfId="1" applyFont="1" applyFill="1" applyBorder="1" applyAlignment="1">
      <alignment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31" fillId="16" borderId="14" xfId="1" applyFont="1" applyFill="1" applyBorder="1" applyAlignment="1">
      <alignment horizontal="center" vertical="center" wrapText="1"/>
    </xf>
    <xf numFmtId="0" fontId="31" fillId="16" borderId="64" xfId="1" applyFont="1" applyFill="1" applyBorder="1" applyAlignment="1">
      <alignment horizontal="center" vertical="center" wrapText="1"/>
    </xf>
    <xf numFmtId="0" fontId="31" fillId="16" borderId="13" xfId="1" applyFont="1" applyFill="1" applyBorder="1" applyAlignment="1">
      <alignment horizontal="center" vertical="center" wrapText="1"/>
    </xf>
    <xf numFmtId="0" fontId="76" fillId="0" borderId="7" xfId="1" applyFont="1" applyFill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" fillId="0" borderId="9" xfId="1" applyBorder="1" applyAlignment="1"/>
    <xf numFmtId="0" fontId="80" fillId="0" borderId="10" xfId="1" applyFont="1" applyFill="1" applyBorder="1" applyAlignment="1">
      <alignment horizontal="center" vertical="top" wrapText="1"/>
    </xf>
    <xf numFmtId="0" fontId="79" fillId="0" borderId="10" xfId="1" applyFont="1" applyBorder="1" applyAlignment="1">
      <alignment horizontal="center" vertical="top" wrapText="1"/>
    </xf>
  </cellXfs>
  <cellStyles count="43">
    <cellStyle name="2x indented GHG Textfiels" xfId="3"/>
    <cellStyle name="5x indented GHG Textfiels" xfId="4"/>
    <cellStyle name="Boden" xfId="5"/>
    <cellStyle name="Bold GHG Numbers (0.00)" xfId="6"/>
    <cellStyle name="Comma [0]_CAS Ciba" xfId="7"/>
    <cellStyle name="Comma_CAS Ciba" xfId="8"/>
    <cellStyle name="comment" xfId="9"/>
    <cellStyle name="Currency [0]_CAS Ciba" xfId="10"/>
    <cellStyle name="Currency_CAS Ciba" xfId="11"/>
    <cellStyle name="dt" xfId="12"/>
    <cellStyle name="EcoTitel" xfId="13"/>
    <cellStyle name="Euro" xfId="14"/>
    <cellStyle name="Headline" xfId="15"/>
    <cellStyle name="kg" xfId="16"/>
    <cellStyle name="Komma 2" xfId="41"/>
    <cellStyle name="l" xfId="17"/>
    <cellStyle name="Link" xfId="42" builtinId="8"/>
    <cellStyle name="Luft" xfId="18"/>
    <cellStyle name="m2" xfId="19"/>
    <cellStyle name="m2a" xfId="20"/>
    <cellStyle name="m3" xfId="21"/>
    <cellStyle name="Niels" xfId="22"/>
    <cellStyle name="NielsProz" xfId="23"/>
    <cellStyle name="NielsProzent" xfId="24"/>
    <cellStyle name="Normal GHG Numbers (0.00)" xfId="25"/>
    <cellStyle name="Normal GHG Textfiels Bold" xfId="26"/>
    <cellStyle name="Normal GHG whole table" xfId="27"/>
    <cellStyle name="Normal_CAS Ciba" xfId="28"/>
    <cellStyle name="prozent+" xfId="29"/>
    <cellStyle name="Prüfung" xfId="30"/>
    <cellStyle name="Standard" xfId="0" builtinId="0"/>
    <cellStyle name="Standard 2" xfId="1"/>
    <cellStyle name="Standard 3" xfId="2"/>
    <cellStyle name="Standard 4" xfId="40"/>
    <cellStyle name="text" xfId="31"/>
    <cellStyle name="Text-Manual" xfId="32"/>
    <cellStyle name="unit" xfId="33"/>
    <cellStyle name="Wasser" xfId="34"/>
    <cellStyle name="wis" xfId="35"/>
    <cellStyle name="wissenschaft" xfId="36"/>
    <cellStyle name="wissenschaft+" xfId="37"/>
    <cellStyle name="wissenschaft-Eingabe" xfId="38"/>
    <cellStyle name="zkh" xfId="39"/>
  </cellStyles>
  <dxfs count="19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33"/>
      <color rgb="FFFFFFFF"/>
      <color rgb="FFFFFFCC"/>
      <color rgb="FF66FFFF"/>
      <color rgb="FF008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5" Type="http://schemas.openxmlformats.org/officeDocument/2006/relationships/image" Target="../media/image13.jpeg"/><Relationship Id="rId10" Type="http://schemas.openxmlformats.org/officeDocument/2006/relationships/image" Target="../media/image18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44</xdr:row>
      <xdr:rowOff>219076</xdr:rowOff>
    </xdr:from>
    <xdr:to>
      <xdr:col>8</xdr:col>
      <xdr:colOff>0</xdr:colOff>
      <xdr:row>45</xdr:row>
      <xdr:rowOff>171450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0982325" y="10991851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44</xdr:row>
      <xdr:rowOff>219076</xdr:rowOff>
    </xdr:from>
    <xdr:to>
      <xdr:col>9</xdr:col>
      <xdr:colOff>0</xdr:colOff>
      <xdr:row>45</xdr:row>
      <xdr:rowOff>171450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11896725" y="10991851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367393</xdr:colOff>
      <xdr:row>45</xdr:row>
      <xdr:rowOff>171450</xdr:rowOff>
    </xdr:from>
    <xdr:to>
      <xdr:col>8</xdr:col>
      <xdr:colOff>457199</xdr:colOff>
      <xdr:row>46</xdr:row>
      <xdr:rowOff>217714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1225893" y="11819164"/>
          <a:ext cx="1001485" cy="277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1</a:t>
          </a:r>
          <a:endParaRPr lang="de-CH" sz="1100"/>
        </a:p>
      </xdr:txBody>
    </xdr:sp>
    <xdr:clientData/>
  </xdr:twoCellAnchor>
  <xdr:twoCellAnchor>
    <xdr:from>
      <xdr:col>8</xdr:col>
      <xdr:colOff>504824</xdr:colOff>
      <xdr:row>45</xdr:row>
      <xdr:rowOff>180975</xdr:rowOff>
    </xdr:from>
    <xdr:to>
      <xdr:col>9</xdr:col>
      <xdr:colOff>666750</xdr:colOff>
      <xdr:row>46</xdr:row>
      <xdr:rowOff>217714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2275003" y="11828689"/>
          <a:ext cx="1073604" cy="268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2</a:t>
          </a:r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43</xdr:row>
      <xdr:rowOff>219076</xdr:rowOff>
    </xdr:from>
    <xdr:to>
      <xdr:col>8</xdr:col>
      <xdr:colOff>0</xdr:colOff>
      <xdr:row>44</xdr:row>
      <xdr:rowOff>171450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1772900" y="11363326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43</xdr:row>
      <xdr:rowOff>219076</xdr:rowOff>
    </xdr:from>
    <xdr:to>
      <xdr:col>9</xdr:col>
      <xdr:colOff>0</xdr:colOff>
      <xdr:row>44</xdr:row>
      <xdr:rowOff>171450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2687300" y="11363326"/>
          <a:ext cx="0" cy="1809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367393</xdr:colOff>
      <xdr:row>44</xdr:row>
      <xdr:rowOff>103358</xdr:rowOff>
    </xdr:from>
    <xdr:to>
      <xdr:col>8</xdr:col>
      <xdr:colOff>457199</xdr:colOff>
      <xdr:row>45</xdr:row>
      <xdr:rowOff>190444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225893" y="16445537"/>
          <a:ext cx="1001485" cy="318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1</a:t>
          </a:r>
          <a:endParaRPr lang="de-CH" sz="1100"/>
        </a:p>
      </xdr:txBody>
    </xdr:sp>
    <xdr:clientData/>
  </xdr:twoCellAnchor>
  <xdr:twoCellAnchor>
    <xdr:from>
      <xdr:col>8</xdr:col>
      <xdr:colOff>504824</xdr:colOff>
      <xdr:row>44</xdr:row>
      <xdr:rowOff>112883</xdr:rowOff>
    </xdr:from>
    <xdr:to>
      <xdr:col>9</xdr:col>
      <xdr:colOff>707572</xdr:colOff>
      <xdr:row>45</xdr:row>
      <xdr:rowOff>204052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275003" y="16455062"/>
          <a:ext cx="1114426" cy="322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Grenzwert</a:t>
          </a:r>
          <a:r>
            <a:rPr lang="de-CH" sz="1100" baseline="0"/>
            <a:t> 2</a:t>
          </a:r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5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5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5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5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5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5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5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5</xdr:row>
          <xdr:rowOff>78921</xdr:rowOff>
        </xdr:from>
        <xdr:to>
          <xdr:col>1</xdr:col>
          <xdr:colOff>39461</xdr:colOff>
          <xdr:row>5</xdr:row>
          <xdr:rowOff>240846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5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5</xdr:col>
      <xdr:colOff>285750</xdr:colOff>
      <xdr:row>7</xdr:row>
      <xdr:rowOff>19050</xdr:rowOff>
    </xdr:to>
    <xdr:pic>
      <xdr:nvPicPr>
        <xdr:cNvPr id="2" name="BTBild" descr="http://www.bauteilkatalog.ch/images/bt/Di01D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09550"/>
          <a:ext cx="27336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5</xdr:col>
      <xdr:colOff>9525</xdr:colOff>
      <xdr:row>15</xdr:row>
      <xdr:rowOff>0</xdr:rowOff>
    </xdr:to>
    <xdr:pic>
      <xdr:nvPicPr>
        <xdr:cNvPr id="3" name="Grafik 2" descr="http://www.bauteilkatalog.ch/images/bt/D01D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724025"/>
          <a:ext cx="24669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5</xdr:col>
      <xdr:colOff>247650</xdr:colOff>
      <xdr:row>23</xdr:row>
      <xdr:rowOff>0</xdr:rowOff>
    </xdr:to>
    <xdr:pic>
      <xdr:nvPicPr>
        <xdr:cNvPr id="4" name="Grafik 3" descr="http://www.bauteilkatalog.ch/images/bt/D10D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257550"/>
          <a:ext cx="27051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4</xdr:col>
      <xdr:colOff>295275</xdr:colOff>
      <xdr:row>31</xdr:row>
      <xdr:rowOff>0</xdr:rowOff>
    </xdr:to>
    <xdr:pic>
      <xdr:nvPicPr>
        <xdr:cNvPr id="5" name="Grafik 4" descr="http://www.bauteilkatalog.ch/images/bt/W47D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4791075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4</xdr:col>
      <xdr:colOff>295275</xdr:colOff>
      <xdr:row>39</xdr:row>
      <xdr:rowOff>0</xdr:rowOff>
    </xdr:to>
    <xdr:pic>
      <xdr:nvPicPr>
        <xdr:cNvPr id="6" name="BTBild" descr="http://www.bauteilkatalog.ch/images/bt/W01D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324600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4</xdr:col>
      <xdr:colOff>295275</xdr:colOff>
      <xdr:row>47</xdr:row>
      <xdr:rowOff>0</xdr:rowOff>
    </xdr:to>
    <xdr:pic>
      <xdr:nvPicPr>
        <xdr:cNvPr id="7" name="Grafik 6" descr="http://www.bauteilkatalog.ch/images/bt/W08D.jp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858125"/>
          <a:ext cx="19335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4</xdr:col>
      <xdr:colOff>409575</xdr:colOff>
      <xdr:row>56</xdr:row>
      <xdr:rowOff>0</xdr:rowOff>
    </xdr:to>
    <xdr:pic>
      <xdr:nvPicPr>
        <xdr:cNvPr id="8" name="Grafik 7" descr="http://www.bauteilkatalog.ch/images/bt/W09D.jp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9582150"/>
          <a:ext cx="20478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4</xdr:col>
      <xdr:colOff>704850</xdr:colOff>
      <xdr:row>66</xdr:row>
      <xdr:rowOff>0</xdr:rowOff>
    </xdr:to>
    <xdr:pic>
      <xdr:nvPicPr>
        <xdr:cNvPr id="9" name="BTBild" descr="http://www.bauteilkatalog.ch/images/bt/Wi01D.jp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1496675"/>
          <a:ext cx="23431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4</xdr:col>
      <xdr:colOff>390525</xdr:colOff>
      <xdr:row>74</xdr:row>
      <xdr:rowOff>0</xdr:rowOff>
    </xdr:to>
    <xdr:pic>
      <xdr:nvPicPr>
        <xdr:cNvPr id="10" name="Grafik 9" descr="http://www.bauteilkatalog.ch/images/bt/W05iD.jp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3030200"/>
          <a:ext cx="20288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4</xdr:col>
      <xdr:colOff>523875</xdr:colOff>
      <xdr:row>82</xdr:row>
      <xdr:rowOff>0</xdr:rowOff>
    </xdr:to>
    <xdr:pic>
      <xdr:nvPicPr>
        <xdr:cNvPr id="11" name="Grafik 10" descr="http://www.bauteilkatalog.ch/images/bt/W37D.jp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563725"/>
          <a:ext cx="21621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6</xdr:col>
      <xdr:colOff>85725</xdr:colOff>
      <xdr:row>90</xdr:row>
      <xdr:rowOff>0</xdr:rowOff>
    </xdr:to>
    <xdr:pic>
      <xdr:nvPicPr>
        <xdr:cNvPr id="12" name="Grafik 11" descr="http://www.bauteilkatalog.ch/images/bt/B09D.jp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6097250"/>
          <a:ext cx="336232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-012811\holliger%20consult\Dokumente%20und%20Einstellungen\Matthias\Eigene%20Dateien\Needs\Solarthermie\background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Ext Costs - €"/>
      <sheetName val="Ext costs - %"/>
      <sheetName val="Techn. 1"/>
      <sheetName val="diag Techn. 1"/>
      <sheetName val="Techn. 2"/>
      <sheetName val="diag Techn. 2"/>
      <sheetName val="Techn. 3"/>
      <sheetName val="diag Techn. 3"/>
      <sheetName val="Techn. 4"/>
      <sheetName val="diag Techn. 4"/>
      <sheetName val="dummy-Data"/>
      <sheetName val="2) electricity, at Fresnel_CHP,"/>
      <sheetName val="12) electricity, solar tower, a"/>
      <sheetName val="21) electricity, trough, at pow"/>
      <sheetName val="Data Selection"/>
      <sheetName val="Subcategories"/>
    </sheetNames>
    <sheetDataSet>
      <sheetData sheetId="0">
        <row r="4">
          <cell r="C4"/>
        </row>
        <row r="23">
          <cell r="C23"/>
        </row>
        <row r="67">
          <cell r="C67"/>
        </row>
        <row r="94">
          <cell r="C94"/>
        </row>
      </sheetData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inergie.ch/tl_files/download/Nachweistools/Minergie-ECO/Berechnung_Graue_Energie_online_2014.pdf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D29"/>
  <sheetViews>
    <sheetView view="pageLayout" topLeftCell="A4" zoomScaleNormal="100" workbookViewId="0">
      <selection activeCell="A17" sqref="A17:B17"/>
    </sheetView>
  </sheetViews>
  <sheetFormatPr baseColWidth="10" defaultColWidth="11.42578125" defaultRowHeight="15"/>
  <cols>
    <col min="1" max="4" width="20.140625" customWidth="1"/>
  </cols>
  <sheetData>
    <row r="2" spans="1:4">
      <c r="A2" t="s">
        <v>1218</v>
      </c>
    </row>
    <row r="3" spans="1:4">
      <c r="C3" s="1019" t="s">
        <v>1224</v>
      </c>
      <c r="D3" s="1019"/>
    </row>
    <row r="4" spans="1:4">
      <c r="A4" s="1016" t="s">
        <v>1220</v>
      </c>
      <c r="B4" s="1016"/>
      <c r="C4" s="1016"/>
      <c r="D4" s="1016"/>
    </row>
    <row r="5" spans="1:4" ht="29.25" customHeight="1">
      <c r="A5" s="1020" t="s">
        <v>1219</v>
      </c>
      <c r="B5" s="1021"/>
      <c r="C5" s="1017" t="s">
        <v>1221</v>
      </c>
      <c r="D5" s="1018"/>
    </row>
    <row r="6" spans="1:4">
      <c r="A6" s="1016" t="s">
        <v>1222</v>
      </c>
      <c r="B6" s="1016"/>
      <c r="C6" s="1016"/>
      <c r="D6" s="1016"/>
    </row>
    <row r="7" spans="1:4" ht="53.25" customHeight="1">
      <c r="A7" s="1018" t="s">
        <v>1223</v>
      </c>
      <c r="B7" s="1022"/>
      <c r="C7" s="1017" t="s">
        <v>1225</v>
      </c>
      <c r="D7" s="1018"/>
    </row>
    <row r="8" spans="1:4">
      <c r="A8" s="1016" t="s">
        <v>1226</v>
      </c>
      <c r="B8" s="1016"/>
      <c r="C8" s="1016"/>
      <c r="D8" s="1016"/>
    </row>
    <row r="9" spans="1:4" ht="39.75" customHeight="1">
      <c r="A9" s="1011" t="s">
        <v>1230</v>
      </c>
      <c r="B9" s="1023"/>
      <c r="C9" s="1017" t="s">
        <v>1227</v>
      </c>
      <c r="D9" s="1018"/>
    </row>
    <row r="10" spans="1:4">
      <c r="A10" s="1011" t="s">
        <v>1230</v>
      </c>
      <c r="B10" s="1023"/>
      <c r="C10" s="1010" t="s">
        <v>1228</v>
      </c>
      <c r="D10" s="1011"/>
    </row>
    <row r="11" spans="1:4" ht="38.25" customHeight="1">
      <c r="A11" s="1011" t="s">
        <v>1230</v>
      </c>
      <c r="B11" s="1023"/>
      <c r="C11" s="1024" t="s">
        <v>1229</v>
      </c>
      <c r="D11" s="1025"/>
    </row>
    <row r="12" spans="1:4">
      <c r="A12" s="1016" t="s">
        <v>1025</v>
      </c>
      <c r="B12" s="1016"/>
      <c r="C12" s="1016"/>
      <c r="D12" s="1016"/>
    </row>
    <row r="13" spans="1:4" ht="45.75" customHeight="1">
      <c r="A13" s="1011" t="s">
        <v>1230</v>
      </c>
      <c r="B13" s="1023"/>
      <c r="C13" s="1017" t="s">
        <v>1231</v>
      </c>
      <c r="D13" s="1018"/>
    </row>
    <row r="14" spans="1:4" ht="64.5" customHeight="1">
      <c r="A14" s="1011" t="s">
        <v>1230</v>
      </c>
      <c r="B14" s="1023"/>
      <c r="C14" s="1017" t="s">
        <v>1232</v>
      </c>
      <c r="D14" s="1018"/>
    </row>
    <row r="15" spans="1:4">
      <c r="A15" s="1016" t="s">
        <v>383</v>
      </c>
      <c r="B15" s="1016"/>
      <c r="C15" s="1016"/>
      <c r="D15" s="1016"/>
    </row>
    <row r="16" spans="1:4" ht="38.25" customHeight="1">
      <c r="A16" s="1012" t="s">
        <v>1233</v>
      </c>
      <c r="B16" s="1013"/>
      <c r="C16" s="1014" t="s">
        <v>1234</v>
      </c>
      <c r="D16" s="1015"/>
    </row>
    <row r="17" spans="1:4" ht="38.25" customHeight="1">
      <c r="A17" s="1012" t="s">
        <v>1254</v>
      </c>
      <c r="B17" s="1013"/>
      <c r="C17" s="1014"/>
      <c r="D17" s="1015"/>
    </row>
    <row r="18" spans="1:4" ht="28.5" customHeight="1">
      <c r="A18" s="1012"/>
      <c r="B18" s="1013"/>
      <c r="C18" s="1014" t="s">
        <v>1240</v>
      </c>
      <c r="D18" s="1015"/>
    </row>
    <row r="19" spans="1:4">
      <c r="A19" s="1016" t="s">
        <v>1137</v>
      </c>
      <c r="B19" s="1016"/>
      <c r="C19" s="1016"/>
      <c r="D19" s="1016"/>
    </row>
    <row r="20" spans="1:4">
      <c r="A20" s="1012" t="s">
        <v>1233</v>
      </c>
      <c r="B20" s="1013"/>
      <c r="C20" s="1014" t="s">
        <v>1235</v>
      </c>
      <c r="D20" s="1015"/>
    </row>
    <row r="21" spans="1:4" ht="45.75" customHeight="1">
      <c r="A21" s="1012"/>
      <c r="B21" s="1013"/>
      <c r="C21" s="1014" t="s">
        <v>1240</v>
      </c>
      <c r="D21" s="1015"/>
    </row>
    <row r="22" spans="1:4">
      <c r="A22" s="1016" t="s">
        <v>1236</v>
      </c>
      <c r="B22" s="1016"/>
      <c r="C22" s="1016"/>
      <c r="D22" s="1016"/>
    </row>
    <row r="23" spans="1:4">
      <c r="A23" s="1012" t="s">
        <v>1248</v>
      </c>
      <c r="B23" s="1013"/>
      <c r="C23" s="1014"/>
      <c r="D23" s="1015"/>
    </row>
    <row r="24" spans="1:4" ht="45.75" customHeight="1">
      <c r="A24" s="1012" t="s">
        <v>1233</v>
      </c>
      <c r="B24" s="1013"/>
      <c r="C24" s="1014" t="s">
        <v>1237</v>
      </c>
      <c r="D24" s="1015"/>
    </row>
    <row r="25" spans="1:4">
      <c r="A25" s="1016" t="s">
        <v>1138</v>
      </c>
      <c r="B25" s="1016"/>
      <c r="C25" s="1016"/>
      <c r="D25" s="1016"/>
    </row>
    <row r="26" spans="1:4" ht="60" customHeight="1">
      <c r="A26" s="1008" t="s">
        <v>1238</v>
      </c>
      <c r="B26" s="1009"/>
      <c r="C26" s="1017" t="s">
        <v>1239</v>
      </c>
      <c r="D26" s="1018"/>
    </row>
    <row r="27" spans="1:4" ht="28.5" customHeight="1">
      <c r="A27" s="1008" t="s">
        <v>1241</v>
      </c>
      <c r="B27" s="1009"/>
      <c r="C27" s="1010"/>
      <c r="D27" s="1011"/>
    </row>
    <row r="28" spans="1:4">
      <c r="A28" s="1026" t="s">
        <v>385</v>
      </c>
      <c r="B28" s="1026"/>
      <c r="C28" s="1026"/>
      <c r="D28" s="1026"/>
    </row>
    <row r="29" spans="1:4">
      <c r="A29" s="1008" t="s">
        <v>1245</v>
      </c>
      <c r="B29" s="1009"/>
      <c r="C29" s="1010"/>
      <c r="D29" s="1011"/>
    </row>
  </sheetData>
  <mergeCells count="44">
    <mergeCell ref="A28:D28"/>
    <mergeCell ref="A16:B16"/>
    <mergeCell ref="C16:D16"/>
    <mergeCell ref="A15:D15"/>
    <mergeCell ref="A19:D19"/>
    <mergeCell ref="A20:B20"/>
    <mergeCell ref="C20:D20"/>
    <mergeCell ref="A18:B18"/>
    <mergeCell ref="C18:D18"/>
    <mergeCell ref="A13:B13"/>
    <mergeCell ref="C13:D13"/>
    <mergeCell ref="A14:B14"/>
    <mergeCell ref="C14:D14"/>
    <mergeCell ref="A12:D12"/>
    <mergeCell ref="A9:B9"/>
    <mergeCell ref="C9:D9"/>
    <mergeCell ref="A10:B10"/>
    <mergeCell ref="C10:D10"/>
    <mergeCell ref="A11:B11"/>
    <mergeCell ref="C11:D11"/>
    <mergeCell ref="C3:D3"/>
    <mergeCell ref="A8:D8"/>
    <mergeCell ref="A4:D4"/>
    <mergeCell ref="A5:B5"/>
    <mergeCell ref="C5:D5"/>
    <mergeCell ref="A6:D6"/>
    <mergeCell ref="A7:B7"/>
    <mergeCell ref="C7:D7"/>
    <mergeCell ref="A29:B29"/>
    <mergeCell ref="C29:D29"/>
    <mergeCell ref="A23:B23"/>
    <mergeCell ref="C23:D23"/>
    <mergeCell ref="A17:B17"/>
    <mergeCell ref="C17:D17"/>
    <mergeCell ref="A25:D25"/>
    <mergeCell ref="A21:B21"/>
    <mergeCell ref="C21:D21"/>
    <mergeCell ref="A24:B24"/>
    <mergeCell ref="C24:D24"/>
    <mergeCell ref="A22:D22"/>
    <mergeCell ref="A26:B26"/>
    <mergeCell ref="C26:D26"/>
    <mergeCell ref="A27:B27"/>
    <mergeCell ref="C27:D27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103"/>
  <sheetViews>
    <sheetView topLeftCell="A19" zoomScale="90" zoomScaleNormal="90" workbookViewId="0">
      <selection activeCell="I44" sqref="I44"/>
    </sheetView>
  </sheetViews>
  <sheetFormatPr baseColWidth="10" defaultColWidth="11.42578125" defaultRowHeight="12.75" zeroHeight="1"/>
  <cols>
    <col min="1" max="1" width="26.5703125" style="146" customWidth="1"/>
    <col min="2" max="2" width="7.42578125" style="146" customWidth="1"/>
    <col min="3" max="3" width="18.140625" style="146" bestFit="1" customWidth="1"/>
    <col min="4" max="4" width="22.28515625" style="146" customWidth="1"/>
    <col min="5" max="5" width="1.42578125" style="146" customWidth="1"/>
    <col min="6" max="6" width="1" style="147" customWidth="1"/>
    <col min="7" max="7" width="1.42578125" style="146" customWidth="1"/>
    <col min="8" max="8" width="43.5703125" style="146" customWidth="1"/>
    <col min="9" max="9" width="13.42578125" style="146" customWidth="1"/>
    <col min="10" max="10" width="18.140625" style="146" customWidth="1"/>
    <col min="11" max="11" width="8.42578125" style="146" customWidth="1"/>
    <col min="12" max="13" width="4.5703125" style="146" customWidth="1"/>
    <col min="14" max="14" width="3.5703125" style="146" customWidth="1"/>
    <col min="15" max="15" width="7.7109375" style="146" customWidth="1"/>
    <col min="16" max="17" width="7.140625" style="146" customWidth="1"/>
    <col min="18" max="18" width="7.28515625" style="146" customWidth="1"/>
    <col min="19" max="19" width="24.28515625" style="146" customWidth="1"/>
    <col min="20" max="20" width="14.42578125" style="146" customWidth="1"/>
    <col min="21" max="21" width="12.5703125" style="146" customWidth="1"/>
    <col min="22" max="22" width="8.85546875" style="146" customWidth="1"/>
    <col min="23" max="23" width="8.7109375" style="146" customWidth="1"/>
    <col min="24" max="24" width="27.42578125" style="146" customWidth="1"/>
    <col min="25" max="25" width="6.5703125" style="146" customWidth="1"/>
    <col min="26" max="26" width="14.140625" style="146" customWidth="1"/>
    <col min="27" max="27" width="18.5703125" style="146" customWidth="1"/>
    <col min="28" max="28" width="26.5703125" style="146" customWidth="1"/>
    <col min="29" max="29" width="2.42578125" style="146" customWidth="1"/>
    <col min="30" max="30" width="56.28515625" style="146" customWidth="1"/>
    <col min="31" max="16384" width="11.42578125" style="146"/>
  </cols>
  <sheetData>
    <row r="1" spans="1:17" s="170" customFormat="1" ht="6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7" s="166" customFormat="1">
      <c r="A2" s="169" t="s">
        <v>506</v>
      </c>
      <c r="B2" s="169"/>
      <c r="C2" s="169" t="s">
        <v>505</v>
      </c>
      <c r="D2" s="169"/>
      <c r="E2" s="169"/>
      <c r="F2" s="169"/>
      <c r="G2" s="169"/>
      <c r="H2" s="169"/>
      <c r="I2" s="169" t="s">
        <v>504</v>
      </c>
      <c r="J2" s="169"/>
      <c r="K2" s="169"/>
      <c r="L2" s="169"/>
    </row>
    <row r="3" spans="1:17" ht="4.5" customHeight="1">
      <c r="E3" s="148"/>
      <c r="F3" s="160"/>
      <c r="G3" s="148"/>
      <c r="H3" s="148"/>
    </row>
    <row r="4" spans="1:17">
      <c r="A4" s="162" t="s">
        <v>419</v>
      </c>
      <c r="D4" s="148"/>
      <c r="E4" s="148"/>
      <c r="F4" s="160"/>
      <c r="G4" s="148"/>
      <c r="H4" s="152" t="s">
        <v>503</v>
      </c>
    </row>
    <row r="5" spans="1:17" ht="15.75">
      <c r="A5" s="150" t="s">
        <v>501</v>
      </c>
      <c r="B5" s="165" t="s">
        <v>502</v>
      </c>
      <c r="C5" s="163">
        <f>Referenzblatt!B50</f>
        <v>0.4</v>
      </c>
      <c r="E5" s="148"/>
      <c r="F5" s="160"/>
      <c r="G5" s="148"/>
      <c r="H5" s="150" t="s">
        <v>501</v>
      </c>
      <c r="I5" s="163">
        <f>Referenzblatt!B50</f>
        <v>0.4</v>
      </c>
    </row>
    <row r="6" spans="1:17" ht="15.75">
      <c r="A6" s="164" t="s">
        <v>499</v>
      </c>
      <c r="B6" s="161" t="s">
        <v>500</v>
      </c>
      <c r="C6" s="163">
        <f>H*Ae*C5</f>
        <v>0</v>
      </c>
      <c r="D6" s="148" t="s">
        <v>498</v>
      </c>
      <c r="E6" s="148"/>
      <c r="F6" s="160"/>
      <c r="G6" s="148"/>
      <c r="H6" s="164" t="s">
        <v>499</v>
      </c>
      <c r="I6" s="163">
        <f>H_mod*Ae_mod*I5</f>
        <v>0</v>
      </c>
      <c r="J6" s="148" t="s">
        <v>498</v>
      </c>
    </row>
    <row r="7" spans="1:17" ht="15.75">
      <c r="A7" s="150" t="s">
        <v>527</v>
      </c>
      <c r="B7" s="161" t="s">
        <v>529</v>
      </c>
      <c r="C7" s="153" t="e">
        <f>VLOOKUP(IW_Konstruktion,IW_BT,35,FALSE)</f>
        <v>#N/A</v>
      </c>
      <c r="D7" s="148" t="s">
        <v>507</v>
      </c>
      <c r="E7" s="148"/>
      <c r="F7" s="160"/>
      <c r="G7" s="148"/>
      <c r="H7" s="154" t="s">
        <v>496</v>
      </c>
      <c r="P7" s="148"/>
      <c r="Q7" s="148"/>
    </row>
    <row r="8" spans="1:17" ht="15.75">
      <c r="A8" s="150" t="s">
        <v>525</v>
      </c>
      <c r="B8" s="161" t="s">
        <v>528</v>
      </c>
      <c r="C8" s="163" t="e">
        <f>C6*C7/Ae</f>
        <v>#N/A</v>
      </c>
      <c r="D8" s="148" t="s">
        <v>507</v>
      </c>
      <c r="E8" s="148"/>
      <c r="F8" s="160"/>
      <c r="G8" s="148"/>
      <c r="H8" s="150" t="s">
        <v>512</v>
      </c>
      <c r="I8" s="153" t="e">
        <f>VLOOKUP(Eingriffstiefe,tbl_Eingriffstiefe_THGE,MATCH(H7,array_Eingriffstiefe_THGE,0),FALSE)*Referenzblatt!AB63</f>
        <v>#N/A</v>
      </c>
      <c r="J8" s="146" t="s">
        <v>510</v>
      </c>
      <c r="K8" s="157"/>
    </row>
    <row r="9" spans="1:17" ht="13.5" customHeight="1">
      <c r="A9" s="148"/>
      <c r="D9" s="148"/>
      <c r="E9" s="148"/>
      <c r="H9" s="150" t="s">
        <v>511</v>
      </c>
      <c r="I9" s="153" t="e">
        <f>I8*I6/Ae_mod</f>
        <v>#N/A</v>
      </c>
      <c r="J9" s="146" t="s">
        <v>510</v>
      </c>
      <c r="K9" s="157"/>
      <c r="P9" s="148"/>
      <c r="Q9" s="148"/>
    </row>
    <row r="10" spans="1:17">
      <c r="A10" s="162" t="s">
        <v>418</v>
      </c>
      <c r="D10" s="148"/>
      <c r="E10" s="148"/>
      <c r="H10" s="154" t="s">
        <v>494</v>
      </c>
    </row>
    <row r="11" spans="1:17" ht="15.75">
      <c r="A11" s="150" t="s">
        <v>527</v>
      </c>
      <c r="B11" s="161" t="s">
        <v>526</v>
      </c>
      <c r="C11" s="153" t="e">
        <f>VLOOKUP(ZD_Konstruktion,ZD_BT,35,FALSE)</f>
        <v>#N/A</v>
      </c>
      <c r="D11" s="148" t="s">
        <v>507</v>
      </c>
      <c r="E11" s="148"/>
      <c r="F11" s="160"/>
      <c r="G11" s="148"/>
      <c r="H11" s="150" t="s">
        <v>512</v>
      </c>
      <c r="I11" s="153" t="e">
        <f>VLOOKUP(Eingriffstiefe,tbl_Eingriffstiefe_THGE,MATCH(H10,array_Eingriffstiefe_THGE,0),FALSE)*Referenzblatt!AB67</f>
        <v>#N/A</v>
      </c>
      <c r="J11" s="146" t="s">
        <v>510</v>
      </c>
      <c r="K11" s="157"/>
    </row>
    <row r="12" spans="1:17" ht="15.75">
      <c r="A12" s="150" t="s">
        <v>525</v>
      </c>
      <c r="B12" s="161" t="s">
        <v>524</v>
      </c>
      <c r="C12" s="607" t="e">
        <f>C11*(Ae-AFU)/Ae</f>
        <v>#N/A</v>
      </c>
      <c r="D12" s="148" t="s">
        <v>507</v>
      </c>
      <c r="E12" s="161"/>
      <c r="F12" s="160"/>
      <c r="G12" s="148"/>
      <c r="H12" s="150" t="s">
        <v>511</v>
      </c>
      <c r="I12" s="153" t="e">
        <f>I11*I6/Ae_mod</f>
        <v>#N/A</v>
      </c>
      <c r="J12" s="146" t="s">
        <v>510</v>
      </c>
      <c r="K12" s="157"/>
      <c r="P12" s="148"/>
      <c r="Q12" s="148"/>
    </row>
    <row r="13" spans="1:17">
      <c r="D13" s="148"/>
      <c r="H13" s="154" t="s">
        <v>489</v>
      </c>
    </row>
    <row r="14" spans="1:17">
      <c r="A14" s="152" t="s">
        <v>488</v>
      </c>
      <c r="H14" s="150" t="s">
        <v>487</v>
      </c>
      <c r="I14" s="153" t="e">
        <f>(I5*Ae_mod*VLOOKUP(Eingriffstiefe,tbl_Eingriffstiefe_THGE,MATCH(H13,array_Eingriffstiefe_THGE,0),FALSE)+H_mod)/(I6*VLOOKUP(Eingriffstiefe,tbl_Eingriffstiefe_THGE,MATCH(H13,array_Eingriffstiefe_THGE,0),FALSE))</f>
        <v>#N/A</v>
      </c>
      <c r="J14" s="146" t="s">
        <v>475</v>
      </c>
      <c r="K14" s="157"/>
    </row>
    <row r="15" spans="1:17">
      <c r="A15" s="150" t="s">
        <v>523</v>
      </c>
      <c r="C15" s="153">
        <v>0</v>
      </c>
      <c r="D15" s="148" t="s">
        <v>520</v>
      </c>
      <c r="H15" s="150" t="s">
        <v>512</v>
      </c>
      <c r="I15" s="153" t="e">
        <f>VLOOKUP(Eingriffstiefe,tbl_Eingriffstiefe_GE,MATCH(H13,array_Eingriffstiefe_GE,0),FALSE)*Referenzblatt!AB72*I14</f>
        <v>#N/A</v>
      </c>
      <c r="J15" s="146" t="s">
        <v>510</v>
      </c>
      <c r="K15" s="157"/>
    </row>
    <row r="16" spans="1:17">
      <c r="A16" s="150" t="s">
        <v>522</v>
      </c>
      <c r="C16" s="153">
        <f>Referenzblatt!E54</f>
        <v>2.4860441362597157</v>
      </c>
      <c r="D16" s="148" t="s">
        <v>520</v>
      </c>
      <c r="H16" s="150" t="s">
        <v>511</v>
      </c>
      <c r="I16" s="153" t="e">
        <f>I15*I6/Ae_mod</f>
        <v>#N/A</v>
      </c>
      <c r="J16" s="146" t="s">
        <v>510</v>
      </c>
      <c r="K16" s="157"/>
    </row>
    <row r="17" spans="1:11">
      <c r="A17" s="150" t="s">
        <v>521</v>
      </c>
      <c r="C17" s="153">
        <f>Referenzblatt!E53</f>
        <v>3.1892116852792944</v>
      </c>
      <c r="D17" s="148" t="s">
        <v>520</v>
      </c>
      <c r="H17" s="154" t="s">
        <v>482</v>
      </c>
    </row>
    <row r="18" spans="1:11">
      <c r="A18" s="150" t="s">
        <v>519</v>
      </c>
      <c r="C18" s="153">
        <v>0</v>
      </c>
      <c r="D18" s="148" t="s">
        <v>509</v>
      </c>
      <c r="H18" s="150" t="s">
        <v>480</v>
      </c>
      <c r="I18" s="153" t="e">
        <f>(I5*Ae_mod*VLOOKUP(Eingriffstiefe,tbl_Eingriffstiefe_THGE,MATCH(H17,array_Eingriffstiefe_THGE,0),FALSE)+H_mod)/(I6*VLOOKUP(Eingriffstiefe,tbl_Eingriffstiefe_THGE,MATCH(H17,array_Eingriffstiefe_THGE,0),FALSE))</f>
        <v>#N/A</v>
      </c>
      <c r="J18" s="146" t="s">
        <v>475</v>
      </c>
      <c r="K18" s="157"/>
    </row>
    <row r="19" spans="1:11">
      <c r="A19" s="150" t="s">
        <v>518</v>
      </c>
      <c r="C19" s="159" t="e">
        <f>C16*(Gf-Ae)/Ae</f>
        <v>#DIV/0!</v>
      </c>
      <c r="D19" s="148" t="s">
        <v>509</v>
      </c>
      <c r="E19" s="151"/>
      <c r="H19" s="150" t="s">
        <v>478</v>
      </c>
      <c r="I19" s="153" t="e">
        <f>1/H_mod</f>
        <v>#DIV/0!</v>
      </c>
      <c r="J19" s="146" t="s">
        <v>475</v>
      </c>
      <c r="K19" s="157"/>
    </row>
    <row r="20" spans="1:11">
      <c r="A20" s="150" t="s">
        <v>517</v>
      </c>
      <c r="C20" s="153">
        <f>IF(NF_UB=0,0,C17*Referenzblatt!B55*SQRT((Gf-Ae)/NF_UB)*NF_UB*H/Ae)</f>
        <v>0</v>
      </c>
      <c r="D20" s="148" t="s">
        <v>509</v>
      </c>
      <c r="H20" s="150" t="s">
        <v>476</v>
      </c>
      <c r="I20" s="153" t="e">
        <f>H_mod/(I6*VLOOKUP(Eingriffstiefe,tbl_Eingriffstiefe_THGE,MATCH(H17,array_Eingriffstiefe_THGE,0),FALSE))</f>
        <v>#N/A</v>
      </c>
      <c r="J20" s="146" t="s">
        <v>475</v>
      </c>
      <c r="K20" s="157"/>
    </row>
    <row r="21" spans="1:11">
      <c r="A21" s="146" t="s">
        <v>516</v>
      </c>
      <c r="C21" s="153">
        <f>IF(NF_UB=0,0,C16*((GF_ST/NF_ST)-AFU)/Ae)</f>
        <v>0</v>
      </c>
      <c r="D21" s="148" t="s">
        <v>509</v>
      </c>
      <c r="H21" s="150" t="s">
        <v>512</v>
      </c>
      <c r="I21" s="153" t="e">
        <f>VLOOKUP(Eingriffstiefe,tbl_Eingriffstiefe_THGE,MATCH(H17,array_Eingriffstiefe_THGE,0),FALSE)*(SUM(Referenzblatt!AB75:AB76)*I18+Referenzblatt!AB77*I19+Referenzblatt!AB78*I20)</f>
        <v>#N/A</v>
      </c>
      <c r="J21" s="146" t="s">
        <v>510</v>
      </c>
      <c r="K21" s="157"/>
    </row>
    <row r="22" spans="1:11">
      <c r="A22" s="150" t="s">
        <v>515</v>
      </c>
      <c r="C22" s="153" t="e">
        <f>C19+C18+C20+C21</f>
        <v>#DIV/0!</v>
      </c>
      <c r="D22" s="148" t="s">
        <v>509</v>
      </c>
      <c r="H22" s="150" t="s">
        <v>511</v>
      </c>
      <c r="I22" s="153" t="e">
        <f>I21*I6/Ae_mod</f>
        <v>#N/A</v>
      </c>
      <c r="J22" s="146" t="s">
        <v>510</v>
      </c>
      <c r="K22" s="157"/>
    </row>
    <row r="23" spans="1:11">
      <c r="H23" s="154" t="s">
        <v>472</v>
      </c>
    </row>
    <row r="24" spans="1:11">
      <c r="A24" s="152" t="s">
        <v>416</v>
      </c>
      <c r="H24" s="150" t="s">
        <v>512</v>
      </c>
      <c r="I24" s="153" t="e">
        <f>VLOOKUP(Eingriffstiefe,tbl_Eingriffstiefe_THGE,MATCH(H23,array_Eingriffstiefe_THGE,0),FALSE)*VLOOKUP(IW_Konstruktion_mod,tbl_Konstruktionstyp_mod_THGE,2,FALSE)</f>
        <v>#N/A</v>
      </c>
      <c r="J24" s="146" t="s">
        <v>510</v>
      </c>
      <c r="K24" s="157"/>
    </row>
    <row r="25" spans="1:11" ht="15.75">
      <c r="A25" s="150" t="s">
        <v>471</v>
      </c>
      <c r="B25" s="146" t="s">
        <v>470</v>
      </c>
      <c r="C25" s="153">
        <f>IF(NF_ST=0,0,(H*NF_ST)*((GF_ST/NF_ST)^(0.5)+1.6)^2+4*((GF_ST/NF_ST)^(0.5)+1.6)*(((2/3)*(H*NF_ST)^2)/2)+4*(1/3)*(4/9)*(H*NF_ST)^3)</f>
        <v>0</v>
      </c>
      <c r="D25" s="143" t="s">
        <v>469</v>
      </c>
      <c r="H25" s="150" t="s">
        <v>511</v>
      </c>
      <c r="I25" s="153" t="e">
        <f>I24*I6/Ae_mod</f>
        <v>#N/A</v>
      </c>
      <c r="J25" s="146" t="s">
        <v>510</v>
      </c>
      <c r="K25" s="157"/>
    </row>
    <row r="26" spans="1:11" ht="15.75">
      <c r="A26" s="150" t="s">
        <v>514</v>
      </c>
      <c r="B26" s="146" t="s">
        <v>513</v>
      </c>
      <c r="C26" s="149" t="e">
        <f>(C25*Referenzblatt!E50)/Ae</f>
        <v>#DIV/0!</v>
      </c>
      <c r="D26" s="148" t="s">
        <v>507</v>
      </c>
      <c r="H26" s="154" t="s">
        <v>466</v>
      </c>
    </row>
    <row r="27" spans="1:11">
      <c r="H27" s="150" t="s">
        <v>512</v>
      </c>
      <c r="I27" s="153" t="e">
        <f>VLOOKUP(Eingriffstiefe,tbl_Eingriffstiefe_THGE,MATCH(H26,array_Eingriffstiefe_THGE,0),FALSE)*Referenzblatt!AB81</f>
        <v>#N/A</v>
      </c>
      <c r="J27" s="146" t="s">
        <v>510</v>
      </c>
      <c r="K27" s="157"/>
    </row>
    <row r="28" spans="1:11">
      <c r="A28" s="152" t="s">
        <v>417</v>
      </c>
      <c r="E28" s="151"/>
      <c r="H28" s="150" t="s">
        <v>511</v>
      </c>
      <c r="I28" s="153" t="e">
        <f>I27*I6/Ae_mod</f>
        <v>#N/A</v>
      </c>
      <c r="J28" s="146" t="s">
        <v>510</v>
      </c>
      <c r="K28" s="157"/>
    </row>
    <row r="29" spans="1:11">
      <c r="A29" s="158" t="s">
        <v>465</v>
      </c>
      <c r="C29" s="149">
        <f>Referenzblatt!B69</f>
        <v>1.1625763793469446</v>
      </c>
      <c r="D29" s="148" t="s">
        <v>509</v>
      </c>
      <c r="H29" s="154" t="s">
        <v>464</v>
      </c>
    </row>
    <row r="30" spans="1:11">
      <c r="A30" s="150" t="s">
        <v>450</v>
      </c>
      <c r="C30" s="149" t="e">
        <f>VLOOKUP(Minergie,tbl_Minergie_THGE,IF(Erdsonde="Ja",2,3),FALSE)</f>
        <v>#N/A</v>
      </c>
      <c r="D30" s="148" t="s">
        <v>509</v>
      </c>
      <c r="H30" s="150" t="s">
        <v>512</v>
      </c>
      <c r="I30" s="153" t="e">
        <f>VLOOKUP(Eingriffstiefe,tbl_Eingriffstiefe_THGE,MATCH(H29,array_Eingriffstiefe_THGE,0),FALSE)*Referenzblatt!AB86</f>
        <v>#N/A</v>
      </c>
      <c r="J30" s="146" t="s">
        <v>510</v>
      </c>
      <c r="K30" s="157"/>
    </row>
    <row r="31" spans="1:11">
      <c r="A31" s="150" t="s">
        <v>448</v>
      </c>
      <c r="C31" s="149">
        <f>VLOOKUP(A31,tbl_Haustechnik_THGE,2,FALSE)</f>
        <v>9.6666666666666661</v>
      </c>
      <c r="D31" s="148" t="s">
        <v>508</v>
      </c>
      <c r="H31" s="150" t="s">
        <v>511</v>
      </c>
      <c r="I31" s="153" t="e">
        <f>I30*I6/Ae_mod</f>
        <v>#N/A</v>
      </c>
      <c r="J31" s="146" t="s">
        <v>510</v>
      </c>
      <c r="K31" s="157"/>
    </row>
    <row r="32" spans="1:11">
      <c r="A32" s="150" t="s">
        <v>447</v>
      </c>
      <c r="C32" s="149">
        <f>VLOOKUP(A32,tbl_Haustechnik_THGE,2,FALSE)</f>
        <v>11.438516</v>
      </c>
      <c r="D32" s="148" t="s">
        <v>508</v>
      </c>
      <c r="H32" s="154" t="s">
        <v>458</v>
      </c>
    </row>
    <row r="33" spans="1:12">
      <c r="A33" s="150" t="s">
        <v>463</v>
      </c>
      <c r="C33" s="149" t="e">
        <f>(Ae*(SUM(C29:C30))+C31*PV_Fläche+SK_Fläche*C32)/Ae</f>
        <v>#N/A</v>
      </c>
      <c r="D33" s="148" t="s">
        <v>507</v>
      </c>
      <c r="H33" s="150" t="s">
        <v>512</v>
      </c>
      <c r="I33" s="153" t="e">
        <f>SUM(I30,I27,I24,I21,I15,I11,I8)</f>
        <v>#N/A</v>
      </c>
      <c r="J33" s="146" t="s">
        <v>510</v>
      </c>
      <c r="K33" s="157"/>
    </row>
    <row r="34" spans="1:12">
      <c r="H34" s="150" t="s">
        <v>511</v>
      </c>
      <c r="I34" s="153" t="e">
        <f>SUM(I31,I28,I25,I22,I16,I12,I9)</f>
        <v>#N/A</v>
      </c>
      <c r="J34" s="146" t="s">
        <v>510</v>
      </c>
      <c r="K34" s="157"/>
    </row>
    <row r="35" spans="1:12"/>
    <row r="36" spans="1:12">
      <c r="H36" s="152" t="s">
        <v>461</v>
      </c>
    </row>
    <row r="37" spans="1:12">
      <c r="H37" s="154" t="s">
        <v>460</v>
      </c>
    </row>
    <row r="38" spans="1:12">
      <c r="C38" s="156"/>
      <c r="H38" s="150" t="s">
        <v>511</v>
      </c>
      <c r="I38" s="153" t="e">
        <f>VLOOKUP(Eingriffstiefe,tbl_Eingriffstiefe_THGE,MATCH(H37,array_Eingriffstiefe_THGE,0),FALSE)*Referenzblatt!AB89*(Ae_mod-AFU_mod)/Ae_mod</f>
        <v>#N/A</v>
      </c>
      <c r="J38" s="146" t="s">
        <v>510</v>
      </c>
      <c r="L38" s="151"/>
    </row>
    <row r="39" spans="1:12">
      <c r="H39" s="154" t="s">
        <v>459</v>
      </c>
    </row>
    <row r="40" spans="1:12">
      <c r="H40" s="150" t="s">
        <v>511</v>
      </c>
      <c r="I40" s="153" t="e">
        <f>VLOOKUP(Eingriffstiefe,tbl_Eingriffstiefe_THGE,MATCH(H39,array_Eingriffstiefe_THGE,0),FALSE)*Referenzblatt!AB93*(Ae_mod-AFU_mod)/Ae_mod</f>
        <v>#N/A</v>
      </c>
      <c r="J40" s="146" t="s">
        <v>510</v>
      </c>
      <c r="L40" s="151"/>
    </row>
    <row r="41" spans="1:12" ht="25.5">
      <c r="A41" s="155"/>
      <c r="H41" s="154" t="s">
        <v>458</v>
      </c>
    </row>
    <row r="42" spans="1:12">
      <c r="H42" s="150" t="s">
        <v>511</v>
      </c>
      <c r="I42" s="153" t="e">
        <f>SUM(I40,I38)</f>
        <v>#N/A</v>
      </c>
      <c r="J42" s="146" t="s">
        <v>510</v>
      </c>
    </row>
    <row r="43" spans="1:12"/>
    <row r="44" spans="1:12">
      <c r="H44" s="152" t="s">
        <v>417</v>
      </c>
    </row>
    <row r="45" spans="1:12"/>
    <row r="46" spans="1:12">
      <c r="H46" s="150" t="s">
        <v>455</v>
      </c>
      <c r="I46" s="149">
        <f>IF(Lüftung="Ja",VLOOKUP(H46,tbl_Haustechnik_THGE_mod,2,FALSE)/Referenzblatt!$B$78,0)</f>
        <v>0</v>
      </c>
      <c r="J46" s="148" t="s">
        <v>509</v>
      </c>
      <c r="L46" s="151"/>
    </row>
    <row r="47" spans="1:12">
      <c r="H47" s="150" t="s">
        <v>454</v>
      </c>
      <c r="I47" s="149">
        <f>IF(Erdregister ="Ja",VLOOKUP(H47,tbl_Haustechnik_THGE_mod,2,FALSE)/Referenzblatt!$B$78,0)</f>
        <v>0</v>
      </c>
      <c r="J47" s="148" t="s">
        <v>509</v>
      </c>
      <c r="L47" s="151"/>
    </row>
    <row r="48" spans="1:12">
      <c r="H48" s="150" t="s">
        <v>453</v>
      </c>
      <c r="I48" s="149">
        <f>IF(Abluftanlagen ="Ja",VLOOKUP(H48,tbl_Haustechnik_THGE_mod,2,FALSE)/Referenzblatt!$B$78,0)</f>
        <v>0</v>
      </c>
      <c r="J48" s="148" t="s">
        <v>509</v>
      </c>
      <c r="L48" s="151"/>
    </row>
    <row r="49" spans="8:12">
      <c r="H49" s="150" t="s">
        <v>422</v>
      </c>
      <c r="I49" s="149">
        <f>IF(Sanitär="Ja",VLOOKUP(H49,tbl_Haustechnik_THGE_mod,2,FALSE)/Referenzblatt!B78,0)</f>
        <v>0</v>
      </c>
      <c r="J49" s="148" t="s">
        <v>509</v>
      </c>
      <c r="L49" s="151"/>
    </row>
    <row r="50" spans="8:12">
      <c r="H50" s="150" t="s">
        <v>421</v>
      </c>
      <c r="I50" s="149">
        <f>IF(Elektro="Ja",VLOOKUP(H50,tbl_Haustechnik_THGE_mod,2,FALSE)/Referenzblatt!$B$78,0)</f>
        <v>0</v>
      </c>
      <c r="J50" s="148" t="s">
        <v>509</v>
      </c>
      <c r="L50" s="151"/>
    </row>
    <row r="51" spans="8:12">
      <c r="H51" s="150" t="s">
        <v>452</v>
      </c>
      <c r="I51" s="149">
        <f>IF(Wärmeerzeugung="Ja",IF(Objektdaten_Modernisierung!E8="MINERGIE",Referenzblatt!O92,Referenzblatt!P92),0)</f>
        <v>0</v>
      </c>
      <c r="J51" s="148" t="s">
        <v>509</v>
      </c>
      <c r="L51" s="151"/>
    </row>
    <row r="52" spans="8:12">
      <c r="H52" s="150" t="s">
        <v>451</v>
      </c>
      <c r="I52" s="149">
        <f>IF(Wärmeverteilung="Ja",IF(Objektdaten_Modernisierung!E8="MINERGIE",Referenzblatt!O93,Referenzblatt!P93),0)</f>
        <v>0</v>
      </c>
      <c r="J52" s="148" t="s">
        <v>509</v>
      </c>
      <c r="L52" s="151"/>
    </row>
    <row r="53" spans="8:12">
      <c r="H53" s="150" t="s">
        <v>450</v>
      </c>
      <c r="I53" s="149">
        <f>IF(Erdsonde_mod="Ja",IF(Objektdaten_Modernisierung!E8="MINERGIE",Referenzblatt!O94,Referenzblatt!P94),0)</f>
        <v>0</v>
      </c>
      <c r="J53" s="148" t="s">
        <v>509</v>
      </c>
      <c r="L53" s="151"/>
    </row>
    <row r="54" spans="8:12">
      <c r="H54" s="150" t="s">
        <v>448</v>
      </c>
      <c r="I54" s="149">
        <f>VLOOKUP(A31,tbl_Haustechnik_THGE_mod,2,FALSE)</f>
        <v>9.6666666666666661</v>
      </c>
      <c r="J54" s="148" t="s">
        <v>508</v>
      </c>
    </row>
    <row r="55" spans="8:12">
      <c r="H55" s="150" t="s">
        <v>447</v>
      </c>
      <c r="I55" s="149">
        <f>VLOOKUP(A32,tbl_Haustechnik_THGE_mod,2,FALSE)</f>
        <v>11.438516</v>
      </c>
      <c r="J55" s="148" t="s">
        <v>508</v>
      </c>
    </row>
    <row r="56" spans="8:12">
      <c r="H56" s="150" t="s">
        <v>445</v>
      </c>
      <c r="I56" s="149" t="e">
        <f>(Ae_mod*(SUM(I46:I53))+I54*PV_Fläche_mod+SK_Fläche_mod*I55)/Ae_mod</f>
        <v>#DIV/0!</v>
      </c>
      <c r="J56" s="148" t="s">
        <v>507</v>
      </c>
    </row>
    <row r="57" spans="8:12" hidden="1"/>
    <row r="58" spans="8:12" hidden="1"/>
    <row r="59" spans="8:12" hidden="1"/>
    <row r="60" spans="8:12" hidden="1"/>
    <row r="61" spans="8:12" hidden="1"/>
    <row r="62" spans="8:12" hidden="1"/>
    <row r="63" spans="8:12" hidden="1"/>
    <row r="64" spans="8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dataValidations count="1">
    <dataValidation allowBlank="1" showInputMessage="1" showErrorMessage="1" promptTitle="Nutzung" sqref="I6 C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103"/>
  <sheetViews>
    <sheetView topLeftCell="A10" zoomScale="90" zoomScaleNormal="90" workbookViewId="0">
      <selection activeCell="I54" sqref="I54"/>
    </sheetView>
  </sheetViews>
  <sheetFormatPr baseColWidth="10" defaultColWidth="11.42578125" defaultRowHeight="12.75" zeroHeight="1"/>
  <cols>
    <col min="1" max="1" width="26.5703125" style="146" customWidth="1"/>
    <col min="2" max="2" width="5.5703125" style="146" bestFit="1" customWidth="1"/>
    <col min="3" max="3" width="18.140625" style="146" bestFit="1" customWidth="1"/>
    <col min="4" max="4" width="22.28515625" style="146" customWidth="1"/>
    <col min="5" max="5" width="1.42578125" style="146" customWidth="1"/>
    <col min="6" max="6" width="1" style="147" customWidth="1"/>
    <col min="7" max="7" width="1.42578125" style="146" customWidth="1"/>
    <col min="8" max="8" width="43.5703125" style="146" customWidth="1"/>
    <col min="9" max="9" width="13.42578125" style="146" customWidth="1"/>
    <col min="10" max="10" width="18.140625" style="146" customWidth="1"/>
    <col min="11" max="11" width="8.42578125" style="146" customWidth="1"/>
    <col min="12" max="13" width="4.5703125" style="146" customWidth="1"/>
    <col min="14" max="14" width="3.5703125" style="146" customWidth="1"/>
    <col min="15" max="15" width="7.7109375" style="146" customWidth="1"/>
    <col min="16" max="17" width="7.140625" style="146" customWidth="1"/>
    <col min="18" max="18" width="7.28515625" style="146" customWidth="1"/>
    <col min="19" max="19" width="24.28515625" style="146" customWidth="1"/>
    <col min="20" max="20" width="14.42578125" style="146" customWidth="1"/>
    <col min="21" max="21" width="12.5703125" style="146" customWidth="1"/>
    <col min="22" max="22" width="8.85546875" style="146" customWidth="1"/>
    <col min="23" max="23" width="8.7109375" style="146" customWidth="1"/>
    <col min="24" max="24" width="27.42578125" style="146" customWidth="1"/>
    <col min="25" max="25" width="6.5703125" style="146" customWidth="1"/>
    <col min="26" max="26" width="14.140625" style="146" customWidth="1"/>
    <col min="27" max="27" width="18.5703125" style="146" customWidth="1"/>
    <col min="28" max="28" width="26.5703125" style="146" customWidth="1"/>
    <col min="29" max="29" width="2.42578125" style="146" customWidth="1"/>
    <col min="30" max="30" width="56.28515625" style="146" customWidth="1"/>
    <col min="31" max="16384" width="11.42578125" style="146"/>
  </cols>
  <sheetData>
    <row r="1" spans="1:17" ht="6" customHeight="1">
      <c r="E1" s="148"/>
      <c r="F1" s="160"/>
      <c r="G1" s="148"/>
      <c r="H1" s="148"/>
    </row>
    <row r="2" spans="1:17" s="166" customFormat="1">
      <c r="A2" s="172" t="s">
        <v>506</v>
      </c>
      <c r="B2" s="172"/>
      <c r="C2" s="172" t="s">
        <v>505</v>
      </c>
      <c r="D2" s="172"/>
      <c r="E2" s="173"/>
      <c r="F2" s="173"/>
      <c r="G2" s="173"/>
      <c r="H2" s="173"/>
      <c r="I2" s="172" t="s">
        <v>504</v>
      </c>
      <c r="J2" s="172"/>
      <c r="K2" s="172"/>
      <c r="L2" s="172"/>
    </row>
    <row r="3" spans="1:17" ht="4.5" customHeight="1">
      <c r="E3" s="148"/>
      <c r="F3" s="160"/>
      <c r="G3" s="148"/>
      <c r="H3" s="148"/>
    </row>
    <row r="4" spans="1:17">
      <c r="A4" s="162" t="s">
        <v>419</v>
      </c>
      <c r="D4" s="148"/>
      <c r="E4" s="148"/>
      <c r="F4" s="160"/>
      <c r="G4" s="148"/>
      <c r="H4" s="152" t="s">
        <v>503</v>
      </c>
    </row>
    <row r="5" spans="1:17" ht="15.75">
      <c r="A5" s="150" t="s">
        <v>501</v>
      </c>
      <c r="B5" s="165" t="s">
        <v>502</v>
      </c>
      <c r="C5" s="163">
        <f>Referenzblatt!B90</f>
        <v>0.4</v>
      </c>
      <c r="E5" s="148"/>
      <c r="F5" s="160"/>
      <c r="G5" s="148"/>
      <c r="H5" s="150" t="s">
        <v>501</v>
      </c>
      <c r="I5" s="163">
        <f>Referenzblatt!B90</f>
        <v>0.4</v>
      </c>
    </row>
    <row r="6" spans="1:17" ht="15.75">
      <c r="A6" s="164" t="s">
        <v>499</v>
      </c>
      <c r="B6" s="161" t="s">
        <v>500</v>
      </c>
      <c r="C6" s="163">
        <f>H*Ae*C5</f>
        <v>0</v>
      </c>
      <c r="D6" s="148" t="s">
        <v>498</v>
      </c>
      <c r="E6" s="148"/>
      <c r="F6" s="160"/>
      <c r="G6" s="148"/>
      <c r="H6" s="164" t="s">
        <v>499</v>
      </c>
      <c r="I6" s="163">
        <f>H_mod*Ae_mod*I5</f>
        <v>0</v>
      </c>
      <c r="J6" s="148" t="s">
        <v>498</v>
      </c>
    </row>
    <row r="7" spans="1:17" ht="15.75">
      <c r="A7" s="150" t="s">
        <v>549</v>
      </c>
      <c r="B7" s="161" t="s">
        <v>551</v>
      </c>
      <c r="C7" s="153" t="e">
        <f>VLOOKUP(IW_Konstruktion,IW_BT,36,FALSE)</f>
        <v>#N/A</v>
      </c>
      <c r="D7" s="148" t="s">
        <v>530</v>
      </c>
      <c r="E7" s="148"/>
      <c r="F7" s="160"/>
      <c r="G7" s="148"/>
      <c r="H7" s="154" t="s">
        <v>496</v>
      </c>
      <c r="P7" s="148"/>
      <c r="Q7" s="148"/>
    </row>
    <row r="8" spans="1:17" ht="15.75">
      <c r="A8" s="150" t="s">
        <v>8</v>
      </c>
      <c r="B8" s="161" t="s">
        <v>550</v>
      </c>
      <c r="C8" s="163" t="e">
        <f>C6*C7/Ae</f>
        <v>#N/A</v>
      </c>
      <c r="D8" s="148" t="s">
        <v>530</v>
      </c>
      <c r="E8" s="148"/>
      <c r="F8" s="160"/>
      <c r="G8" s="148"/>
      <c r="H8" s="150" t="s">
        <v>535</v>
      </c>
      <c r="I8" s="153" t="e">
        <f>VLOOKUP(Eingriffstiefe,tbl_Eingriffstiefe_UBP,MATCH(H7,array_Eingriffstiefe_UBP,0),FALSE)*Referenzblatt!AB113</f>
        <v>#N/A</v>
      </c>
      <c r="J8" s="146" t="s">
        <v>533</v>
      </c>
      <c r="K8" s="157"/>
    </row>
    <row r="9" spans="1:17" ht="13.5" customHeight="1">
      <c r="A9" s="148"/>
      <c r="D9" s="148"/>
      <c r="E9" s="148"/>
      <c r="H9" s="150" t="s">
        <v>534</v>
      </c>
      <c r="I9" s="153" t="e">
        <f>I8*I6/Ae_mod</f>
        <v>#N/A</v>
      </c>
      <c r="J9" s="146" t="s">
        <v>533</v>
      </c>
      <c r="K9" s="157"/>
      <c r="P9" s="148"/>
      <c r="Q9" s="148"/>
    </row>
    <row r="10" spans="1:17">
      <c r="A10" s="162" t="s">
        <v>418</v>
      </c>
      <c r="D10" s="148"/>
      <c r="E10" s="148"/>
      <c r="H10" s="154" t="s">
        <v>494</v>
      </c>
    </row>
    <row r="11" spans="1:17" ht="15.75">
      <c r="A11" s="150" t="s">
        <v>549</v>
      </c>
      <c r="B11" s="171" t="s">
        <v>548</v>
      </c>
      <c r="C11" s="153" t="e">
        <f>VLOOKUP(ZD_Konstruktion,ZD_BT,36,FALSE)</f>
        <v>#N/A</v>
      </c>
      <c r="D11" s="148" t="s">
        <v>530</v>
      </c>
      <c r="E11" s="148"/>
      <c r="F11" s="160"/>
      <c r="G11" s="148"/>
      <c r="H11" s="150" t="s">
        <v>535</v>
      </c>
      <c r="I11" s="153" t="e">
        <f>VLOOKUP(Eingriffstiefe,tbl_Eingriffstiefe_UBP,MATCH(H10,array_Eingriffstiefe_UBP,0),FALSE)*Referenzblatt!AB117</f>
        <v>#N/A</v>
      </c>
      <c r="J11" s="146" t="s">
        <v>533</v>
      </c>
      <c r="K11" s="157"/>
    </row>
    <row r="12" spans="1:17" ht="15.75">
      <c r="A12" s="150" t="s">
        <v>8</v>
      </c>
      <c r="B12" s="161" t="s">
        <v>547</v>
      </c>
      <c r="C12" s="607" t="e">
        <f>C11*(Ae-AFU)/Ae</f>
        <v>#N/A</v>
      </c>
      <c r="D12" s="148" t="s">
        <v>530</v>
      </c>
      <c r="E12" s="161"/>
      <c r="F12" s="160"/>
      <c r="G12" s="148"/>
      <c r="H12" s="150" t="s">
        <v>534</v>
      </c>
      <c r="I12" s="153" t="e">
        <f>I11*I6/Ae_mod</f>
        <v>#N/A</v>
      </c>
      <c r="J12" s="146" t="s">
        <v>533</v>
      </c>
      <c r="K12" s="157"/>
      <c r="P12" s="148"/>
      <c r="Q12" s="148"/>
    </row>
    <row r="13" spans="1:17">
      <c r="D13" s="148"/>
      <c r="H13" s="154" t="s">
        <v>489</v>
      </c>
    </row>
    <row r="14" spans="1:17">
      <c r="A14" s="152" t="s">
        <v>488</v>
      </c>
      <c r="H14" s="150" t="s">
        <v>487</v>
      </c>
      <c r="I14" s="153" t="e">
        <f>(I5*Ae_mod*VLOOKUP(Eingriffstiefe,tbl_Eingriffstiefe_UBP,MATCH(H13,array_Eingriffstiefe_UBP,0),FALSE)+H_mod)/(I6*VLOOKUP(Eingriffstiefe,tbl_Eingriffstiefe_UBP,MATCH(H13,array_Eingriffstiefe_UBP,0),FALSE))</f>
        <v>#N/A</v>
      </c>
      <c r="J14" s="146" t="s">
        <v>475</v>
      </c>
      <c r="K14" s="157"/>
    </row>
    <row r="15" spans="1:17">
      <c r="A15" s="150" t="s">
        <v>546</v>
      </c>
      <c r="C15" s="153">
        <v>0</v>
      </c>
      <c r="D15" s="148" t="s">
        <v>538</v>
      </c>
      <c r="H15" s="150" t="s">
        <v>535</v>
      </c>
      <c r="I15" s="153" t="e">
        <f>VLOOKUP(Eingriffstiefe,tbl_Eingriffstiefe_UBP,MATCH(H13,array_Eingriffstiefe_UBP,0),FALSE)*Referenzblatt!AB122*I14</f>
        <v>#N/A</v>
      </c>
      <c r="J15" s="146" t="s">
        <v>533</v>
      </c>
      <c r="K15" s="157"/>
    </row>
    <row r="16" spans="1:17">
      <c r="A16" s="150" t="s">
        <v>545</v>
      </c>
      <c r="C16" s="153">
        <f>Referenzblatt!E94</f>
        <v>3412.8085460546777</v>
      </c>
      <c r="D16" s="148" t="s">
        <v>538</v>
      </c>
      <c r="H16" s="150" t="s">
        <v>534</v>
      </c>
      <c r="I16" s="153" t="e">
        <f>I15*I6/Ae_mod</f>
        <v>#N/A</v>
      </c>
      <c r="J16" s="146" t="s">
        <v>533</v>
      </c>
      <c r="K16" s="157"/>
    </row>
    <row r="17" spans="1:11">
      <c r="A17" s="150" t="s">
        <v>544</v>
      </c>
      <c r="C17" s="153">
        <f>Referenzblatt!E93</f>
        <v>3098.7619022174117</v>
      </c>
      <c r="D17" s="148" t="s">
        <v>538</v>
      </c>
      <c r="H17" s="154" t="s">
        <v>482</v>
      </c>
    </row>
    <row r="18" spans="1:11">
      <c r="A18" s="150" t="s">
        <v>543</v>
      </c>
      <c r="C18" s="153">
        <v>0</v>
      </c>
      <c r="D18" s="148" t="s">
        <v>538</v>
      </c>
      <c r="H18" s="150" t="s">
        <v>480</v>
      </c>
      <c r="I18" s="153" t="e">
        <f>(I5*Ae_mod*VLOOKUP(Eingriffstiefe,tbl_Eingriffstiefe_UBP,MATCH(H17,array_Eingriffstiefe_UBP,0),FALSE)+H_mod)/(I6*VLOOKUP(Eingriffstiefe,tbl_Eingriffstiefe_UBP,MATCH(H17,array_Eingriffstiefe_UBP,0),FALSE))</f>
        <v>#N/A</v>
      </c>
      <c r="J18" s="146" t="s">
        <v>475</v>
      </c>
      <c r="K18" s="157"/>
    </row>
    <row r="19" spans="1:11">
      <c r="A19" s="150" t="s">
        <v>542</v>
      </c>
      <c r="C19" s="159" t="e">
        <f>C16*(Gf-Ae)/Ae</f>
        <v>#DIV/0!</v>
      </c>
      <c r="D19" s="148" t="s">
        <v>538</v>
      </c>
      <c r="E19" s="151"/>
      <c r="H19" s="150" t="s">
        <v>478</v>
      </c>
      <c r="I19" s="153" t="e">
        <f>1/H_mod</f>
        <v>#DIV/0!</v>
      </c>
      <c r="J19" s="146" t="s">
        <v>475</v>
      </c>
      <c r="K19" s="157"/>
    </row>
    <row r="20" spans="1:11">
      <c r="A20" s="150" t="s">
        <v>541</v>
      </c>
      <c r="C20" s="153">
        <f>IF(NF_UB=0,0,C17*Referenzblatt!B95*SQRT((Gf-Ae)/NF_UB)*NF_UB*H/Ae)</f>
        <v>0</v>
      </c>
      <c r="D20" s="148" t="s">
        <v>538</v>
      </c>
      <c r="H20" s="150" t="s">
        <v>476</v>
      </c>
      <c r="I20" s="153" t="e">
        <f>H_mod/(I6*VLOOKUP(Eingriffstiefe,tbl_Eingriffstiefe_UBP,MATCH(H17,array_Eingriffstiefe_UBP,0),FALSE))</f>
        <v>#N/A</v>
      </c>
      <c r="J20" s="146" t="s">
        <v>475</v>
      </c>
      <c r="K20" s="157"/>
    </row>
    <row r="21" spans="1:11">
      <c r="A21" s="146" t="s">
        <v>540</v>
      </c>
      <c r="C21" s="153">
        <f>IF(NF_UB=0,0,C16*((GF_ST/NF_ST)-AFU)/Ae)</f>
        <v>0</v>
      </c>
      <c r="D21" s="148" t="s">
        <v>538</v>
      </c>
      <c r="H21" s="150" t="s">
        <v>535</v>
      </c>
      <c r="I21" s="153" t="e">
        <f>VLOOKUP(Eingriffstiefe,tbl_Eingriffstiefe_UBP,MATCH(H17,array_Eingriffstiefe_UBP,0),FALSE)*(SUM(Referenzblatt!AB125:AB126)*I18+Referenzblatt!AB127*I19+Referenzblatt!AB128*I20)</f>
        <v>#N/A</v>
      </c>
      <c r="J21" s="146" t="s">
        <v>533</v>
      </c>
      <c r="K21" s="157"/>
    </row>
    <row r="22" spans="1:11">
      <c r="A22" s="150" t="s">
        <v>539</v>
      </c>
      <c r="C22" s="153" t="e">
        <f>C19+C18+C20+C21</f>
        <v>#DIV/0!</v>
      </c>
      <c r="D22" s="148" t="s">
        <v>538</v>
      </c>
      <c r="H22" s="150" t="s">
        <v>534</v>
      </c>
      <c r="I22" s="153" t="e">
        <f>I21*I6/Ae_mod</f>
        <v>#N/A</v>
      </c>
      <c r="J22" s="146" t="s">
        <v>533</v>
      </c>
      <c r="K22" s="157"/>
    </row>
    <row r="23" spans="1:11">
      <c r="H23" s="154" t="s">
        <v>472</v>
      </c>
    </row>
    <row r="24" spans="1:11">
      <c r="A24" s="152" t="s">
        <v>416</v>
      </c>
      <c r="H24" s="150" t="s">
        <v>535</v>
      </c>
      <c r="I24" s="153" t="e">
        <f>VLOOKUP(Eingriffstiefe,tbl_Eingriffstiefe_UBP,MATCH(H23,array_Eingriffstiefe_UBP,0),FALSE)*VLOOKUP(IW_Konstruktion_mod,tbl_Konstruktionstyp_mod_UBP,2,FALSE)</f>
        <v>#N/A</v>
      </c>
      <c r="J24" s="146" t="s">
        <v>533</v>
      </c>
      <c r="K24" s="157"/>
    </row>
    <row r="25" spans="1:11" ht="15.75">
      <c r="A25" s="150" t="s">
        <v>471</v>
      </c>
      <c r="B25" s="146" t="s">
        <v>470</v>
      </c>
      <c r="C25" s="153">
        <f>IF(NF_ST=0,0,(H*NF_ST)*((GF_ST/NF_ST)^(0.5)+1.6)^2+4*((GF_ST/NF_ST)^(0.5)+1.6)*(((2/3)*(H*NF_ST)^2)/2)+4*(1/3)*(4/9)*(H*NF_ST)^3)</f>
        <v>0</v>
      </c>
      <c r="D25" s="143" t="s">
        <v>469</v>
      </c>
      <c r="H25" s="150" t="s">
        <v>534</v>
      </c>
      <c r="I25" s="153" t="e">
        <f>I24*I6/Ae_mod</f>
        <v>#N/A</v>
      </c>
      <c r="J25" s="146" t="s">
        <v>533</v>
      </c>
      <c r="K25" s="157"/>
    </row>
    <row r="26" spans="1:11" ht="15.75">
      <c r="A26" s="150" t="s">
        <v>537</v>
      </c>
      <c r="B26" s="146" t="s">
        <v>536</v>
      </c>
      <c r="C26" s="149" t="e">
        <f>(C25*Referenzblatt!E90)/Ae</f>
        <v>#DIV/0!</v>
      </c>
      <c r="D26" s="148" t="s">
        <v>530</v>
      </c>
      <c r="H26" s="154" t="s">
        <v>466</v>
      </c>
    </row>
    <row r="27" spans="1:11">
      <c r="H27" s="150" t="s">
        <v>535</v>
      </c>
      <c r="I27" s="153" t="e">
        <f>VLOOKUP(Eingriffstiefe,tbl_Eingriffstiefe_UBP,MATCH(H26,array_Eingriffstiefe_UBP,0),FALSE)*Referenzblatt!AB131</f>
        <v>#N/A</v>
      </c>
      <c r="J27" s="146" t="s">
        <v>533</v>
      </c>
      <c r="K27" s="157"/>
    </row>
    <row r="28" spans="1:11">
      <c r="A28" s="152" t="s">
        <v>417</v>
      </c>
      <c r="E28" s="151"/>
      <c r="H28" s="150" t="s">
        <v>534</v>
      </c>
      <c r="I28" s="153" t="e">
        <f>I27*I6/Ae_mod</f>
        <v>#N/A</v>
      </c>
      <c r="J28" s="146" t="s">
        <v>533</v>
      </c>
      <c r="K28" s="157"/>
    </row>
    <row r="29" spans="1:11">
      <c r="A29" s="158" t="s">
        <v>465</v>
      </c>
      <c r="C29" s="149">
        <f>Referenzblatt!B109</f>
        <v>3420</v>
      </c>
      <c r="D29" s="148" t="s">
        <v>532</v>
      </c>
      <c r="H29" s="154" t="s">
        <v>464</v>
      </c>
    </row>
    <row r="30" spans="1:11">
      <c r="A30" s="150" t="s">
        <v>450</v>
      </c>
      <c r="C30" s="149" t="e">
        <f>VLOOKUP(Minergie,tbl_Minergie_UBP,IF(Erdsonde="Ja",2,3),FALSE)</f>
        <v>#N/A</v>
      </c>
      <c r="D30" s="148" t="s">
        <v>532</v>
      </c>
      <c r="H30" s="150" t="s">
        <v>535</v>
      </c>
      <c r="I30" s="153" t="e">
        <f>VLOOKUP(Eingriffstiefe,tbl_Eingriffstiefe_UBP,MATCH(H29,array_Eingriffstiefe_UBP,0),FALSE)*Referenzblatt!AB136</f>
        <v>#N/A</v>
      </c>
      <c r="J30" s="146" t="s">
        <v>533</v>
      </c>
      <c r="K30" s="157"/>
    </row>
    <row r="31" spans="1:11">
      <c r="A31" s="150" t="s">
        <v>448</v>
      </c>
      <c r="C31" s="149">
        <f>VLOOKUP(A31,tbl_Haustechnik_UBP,2,FALSE)</f>
        <v>13761.904761904761</v>
      </c>
      <c r="D31" s="148" t="s">
        <v>532</v>
      </c>
      <c r="H31" s="150" t="s">
        <v>534</v>
      </c>
      <c r="I31" s="153" t="e">
        <f>I30*I6/Ae_mod</f>
        <v>#N/A</v>
      </c>
      <c r="J31" s="146" t="s">
        <v>533</v>
      </c>
      <c r="K31" s="157"/>
    </row>
    <row r="32" spans="1:11">
      <c r="A32" s="150" t="s">
        <v>447</v>
      </c>
      <c r="C32" s="149">
        <f>VLOOKUP(A32,tbl_Haustechnik_UBP,2,FALSE)</f>
        <v>24900</v>
      </c>
      <c r="D32" s="148" t="s">
        <v>532</v>
      </c>
      <c r="H32" s="154" t="s">
        <v>458</v>
      </c>
    </row>
    <row r="33" spans="1:12">
      <c r="A33" s="150" t="s">
        <v>463</v>
      </c>
      <c r="C33" s="149" t="e">
        <f>(Ae*(SUM(C29:C30))+C31*PV_Fläche+SK_Fläche*C32)/Ae</f>
        <v>#N/A</v>
      </c>
      <c r="D33" s="148" t="s">
        <v>530</v>
      </c>
      <c r="H33" s="150" t="s">
        <v>535</v>
      </c>
      <c r="I33" s="153" t="e">
        <f>SUM(I30,I27,I24,I21,I15,I11,I8)</f>
        <v>#N/A</v>
      </c>
      <c r="J33" s="146" t="s">
        <v>533</v>
      </c>
      <c r="K33" s="157"/>
    </row>
    <row r="34" spans="1:12">
      <c r="H34" s="150" t="s">
        <v>534</v>
      </c>
      <c r="I34" s="153" t="e">
        <f>SUM(I31,I28,I25,I22,I16,I12,I9)</f>
        <v>#N/A</v>
      </c>
      <c r="J34" s="146" t="s">
        <v>533</v>
      </c>
      <c r="K34" s="157"/>
    </row>
    <row r="35" spans="1:12"/>
    <row r="36" spans="1:12">
      <c r="H36" s="152" t="s">
        <v>461</v>
      </c>
    </row>
    <row r="37" spans="1:12">
      <c r="H37" s="154" t="s">
        <v>460</v>
      </c>
    </row>
    <row r="38" spans="1:12">
      <c r="C38" s="156"/>
      <c r="H38" s="150" t="s">
        <v>534</v>
      </c>
      <c r="I38" s="153" t="e">
        <f>VLOOKUP(Eingriffstiefe,tbl_Eingriffstiefe_UBP,MATCH(H37,array_Eingriffstiefe_UBP,0),FALSE)*Referenzblatt!AB139*(Ae_mod-AFU_mod)/Ae_mod</f>
        <v>#N/A</v>
      </c>
      <c r="J38" s="146" t="s">
        <v>533</v>
      </c>
      <c r="L38" s="151"/>
    </row>
    <row r="39" spans="1:12">
      <c r="H39" s="154" t="s">
        <v>459</v>
      </c>
    </row>
    <row r="40" spans="1:12" ht="25.5">
      <c r="A40" s="155"/>
      <c r="H40" s="150" t="s">
        <v>534</v>
      </c>
      <c r="I40" s="153" t="e">
        <f>VLOOKUP(Eingriffstiefe,tbl_Eingriffstiefe_UBP,MATCH(H39,array_Eingriffstiefe_UBP,0),FALSE)*Referenzblatt!AB143*(Ae_mod-AFU_mod)/Ae_mod</f>
        <v>#N/A</v>
      </c>
      <c r="J40" s="146" t="s">
        <v>533</v>
      </c>
      <c r="L40" s="151"/>
    </row>
    <row r="41" spans="1:12">
      <c r="H41" s="154" t="s">
        <v>458</v>
      </c>
    </row>
    <row r="42" spans="1:12">
      <c r="H42" s="150" t="s">
        <v>534</v>
      </c>
      <c r="I42" s="153" t="e">
        <f>SUM(I40,I38)</f>
        <v>#N/A</v>
      </c>
      <c r="J42" s="146" t="s">
        <v>533</v>
      </c>
    </row>
    <row r="43" spans="1:12"/>
    <row r="44" spans="1:12">
      <c r="H44" s="152" t="s">
        <v>417</v>
      </c>
    </row>
    <row r="45" spans="1:12"/>
    <row r="46" spans="1:12">
      <c r="H46" s="150" t="s">
        <v>455</v>
      </c>
      <c r="I46" s="149">
        <f>IF(Lüftung="Ja",VLOOKUP(H46,tbl_Haustechnik_UBP_mod,2,FALSE)/Referenzblatt!$B$118,0)</f>
        <v>0</v>
      </c>
      <c r="J46" s="148" t="s">
        <v>532</v>
      </c>
      <c r="L46" s="151"/>
    </row>
    <row r="47" spans="1:12">
      <c r="H47" s="150" t="s">
        <v>454</v>
      </c>
      <c r="I47" s="149">
        <f>IF(Erdregister="Ja",VLOOKUP(H47,tbl_Haustechnik_UBP_mod,2,FALSE)/Referenzblatt!$B$118,0)</f>
        <v>0</v>
      </c>
      <c r="J47" s="148" t="s">
        <v>532</v>
      </c>
      <c r="L47" s="151"/>
    </row>
    <row r="48" spans="1:12">
      <c r="H48" s="150" t="s">
        <v>453</v>
      </c>
      <c r="I48" s="149">
        <f>IF(Abluftanlagen="Ja",VLOOKUP(H48,tbl_Haustechnik_UBP_mod,2,FALSE)/Referenzblatt!$B$118,0)</f>
        <v>0</v>
      </c>
      <c r="J48" s="148" t="s">
        <v>532</v>
      </c>
      <c r="L48" s="151"/>
    </row>
    <row r="49" spans="8:12">
      <c r="H49" s="150" t="s">
        <v>422</v>
      </c>
      <c r="I49" s="149">
        <f>IF(Sanitär="Ja",VLOOKUP(H49,tbl_Haustechnik_UBP_mod,2,FALSE)/Referenzblatt!B118,0)</f>
        <v>0</v>
      </c>
      <c r="J49" s="148" t="s">
        <v>532</v>
      </c>
      <c r="L49" s="151"/>
    </row>
    <row r="50" spans="8:12">
      <c r="H50" s="150" t="s">
        <v>421</v>
      </c>
      <c r="I50" s="149">
        <f>IF(Elektro="Ja",VLOOKUP(H50,tbl_Haustechnik_UBP_mod,2,FALSE)/Referenzblatt!B118,0)</f>
        <v>0</v>
      </c>
      <c r="J50" s="148" t="s">
        <v>532</v>
      </c>
      <c r="L50" s="151"/>
    </row>
    <row r="51" spans="8:12">
      <c r="H51" s="150" t="s">
        <v>452</v>
      </c>
      <c r="I51" s="149">
        <f>IF(Wärmeerzeugung="Ja",IF(Objektdaten_Modernisierung!E8="MINERGIE",Referenzblatt!O143,Referenzblatt!P143),0)</f>
        <v>0</v>
      </c>
      <c r="J51" s="148" t="s">
        <v>532</v>
      </c>
      <c r="L51" s="151"/>
    </row>
    <row r="52" spans="8:12">
      <c r="H52" s="150" t="s">
        <v>451</v>
      </c>
      <c r="I52" s="149">
        <f>IF(Wärmeverteilung="Ja",IF(Objektdaten_Modernisierung!E8="MINERGIE",Referenzblatt!O144,Referenzblatt!P144),0)</f>
        <v>0</v>
      </c>
      <c r="J52" s="148" t="s">
        <v>532</v>
      </c>
      <c r="L52" s="151"/>
    </row>
    <row r="53" spans="8:12">
      <c r="H53" s="150" t="s">
        <v>450</v>
      </c>
      <c r="I53" s="149">
        <f>IF(Erdsonde_mod="Ja",IF(Objektdaten_Modernisierung!E8="MINERGIE",Referenzblatt!O145,Referenzblatt!P145),0)</f>
        <v>0</v>
      </c>
      <c r="J53" s="148" t="s">
        <v>532</v>
      </c>
      <c r="L53" s="151"/>
    </row>
    <row r="54" spans="8:12">
      <c r="H54" s="150" t="s">
        <v>448</v>
      </c>
      <c r="I54" s="149">
        <f>VLOOKUP(A31,tbl_Haustechnik_UBP,2,FALSE)</f>
        <v>13761.904761904761</v>
      </c>
      <c r="J54" s="148" t="s">
        <v>531</v>
      </c>
    </row>
    <row r="55" spans="8:12">
      <c r="H55" s="150" t="s">
        <v>447</v>
      </c>
      <c r="I55" s="149">
        <f>VLOOKUP(A32,tbl_Haustechnik_UBP,2,FALSE)</f>
        <v>24900</v>
      </c>
      <c r="J55" s="148" t="s">
        <v>531</v>
      </c>
    </row>
    <row r="56" spans="8:12">
      <c r="H56" s="150" t="s">
        <v>445</v>
      </c>
      <c r="I56" s="149" t="e">
        <f>(Ae_mod*(SUM(I46:I53))+I54*PV_Fläche_mod+SK_Fläche_mod*I55)/Ae_mod</f>
        <v>#DIV/0!</v>
      </c>
      <c r="J56" s="148" t="s">
        <v>530</v>
      </c>
    </row>
    <row r="57" spans="8:12" hidden="1"/>
    <row r="58" spans="8:12" hidden="1"/>
    <row r="59" spans="8:12" hidden="1"/>
    <row r="60" spans="8:12" hidden="1"/>
    <row r="61" spans="8:12" hidden="1"/>
    <row r="62" spans="8:12" hidden="1"/>
    <row r="63" spans="8:12" hidden="1"/>
    <row r="64" spans="8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dataValidations count="1">
    <dataValidation allowBlank="1" showInputMessage="1" showErrorMessage="1" promptTitle="Nutzung" sqref="I6 C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AE151"/>
  <sheetViews>
    <sheetView zoomScaleNormal="100" workbookViewId="0">
      <selection activeCell="E12" sqref="E12"/>
    </sheetView>
  </sheetViews>
  <sheetFormatPr baseColWidth="10" defaultColWidth="11.42578125" defaultRowHeight="12.75" zeroHeight="1"/>
  <cols>
    <col min="1" max="1" width="41.5703125" style="174" customWidth="1"/>
    <col min="2" max="2" width="17.5703125" style="174" bestFit="1" customWidth="1"/>
    <col min="3" max="3" width="13.28515625" style="174" customWidth="1"/>
    <col min="4" max="4" width="25" style="174" bestFit="1" customWidth="1"/>
    <col min="5" max="5" width="11.42578125" style="174" customWidth="1"/>
    <col min="6" max="6" width="2.140625" style="175" customWidth="1"/>
    <col min="7" max="8" width="2.140625" style="174" customWidth="1"/>
    <col min="9" max="9" width="44.140625" style="174" customWidth="1"/>
    <col min="10" max="19" width="11.42578125" style="174" customWidth="1"/>
    <col min="20" max="20" width="24.85546875" style="174" customWidth="1"/>
    <col min="21" max="21" width="13.85546875" style="174" customWidth="1"/>
    <col min="22" max="22" width="13.140625" style="174" customWidth="1"/>
    <col min="23" max="23" width="9.7109375" style="174" customWidth="1"/>
    <col min="24" max="24" width="9.5703125" style="174" customWidth="1"/>
    <col min="25" max="25" width="28.5703125" style="174" customWidth="1"/>
    <col min="26" max="26" width="7.140625" style="174" customWidth="1"/>
    <col min="27" max="27" width="14.85546875" style="174" customWidth="1"/>
    <col min="28" max="28" width="20.140625" style="174" customWidth="1"/>
    <col min="29" max="29" width="26.85546875" style="174" customWidth="1"/>
    <col min="30" max="30" width="2.85546875" style="174" customWidth="1"/>
    <col min="31" max="31" width="54.42578125" style="174" customWidth="1"/>
    <col min="32" max="33" width="11.42578125" style="174" customWidth="1"/>
    <col min="34" max="16384" width="11.42578125" style="174"/>
  </cols>
  <sheetData>
    <row r="1" spans="1:31" s="167" customFormat="1">
      <c r="A1" s="167" t="s">
        <v>624</v>
      </c>
      <c r="B1" s="322" t="s">
        <v>491</v>
      </c>
      <c r="D1" s="167" t="s">
        <v>505</v>
      </c>
      <c r="E1" s="168"/>
      <c r="F1" s="168"/>
      <c r="G1" s="168"/>
      <c r="H1" s="168"/>
      <c r="I1" s="168"/>
      <c r="K1" s="167" t="s">
        <v>504</v>
      </c>
    </row>
    <row r="2" spans="1:31" s="146" customFormat="1" ht="13.5" thickBot="1">
      <c r="E2" s="148"/>
      <c r="F2" s="148"/>
      <c r="G2" s="160"/>
      <c r="H2" s="148"/>
      <c r="I2" s="148"/>
    </row>
    <row r="3" spans="1:31" s="146" customFormat="1">
      <c r="A3" s="305" t="s">
        <v>601</v>
      </c>
      <c r="B3" s="212"/>
      <c r="C3" s="204"/>
      <c r="D3" s="148"/>
      <c r="E3" s="148"/>
      <c r="F3" s="148"/>
      <c r="G3" s="160"/>
      <c r="H3" s="148"/>
      <c r="I3" s="148"/>
    </row>
    <row r="4" spans="1:31" s="146" customFormat="1" ht="14.25">
      <c r="A4" s="191" t="str">
        <f>Konstruktionen!$G$128</f>
        <v>Leichtbauständerkonstruktion, Doppelbeplankung</v>
      </c>
      <c r="B4" s="895">
        <f>Konstruktionen!AN128</f>
        <v>17.69210949594429</v>
      </c>
      <c r="C4" s="292" t="s">
        <v>643</v>
      </c>
      <c r="D4" s="148"/>
      <c r="E4" s="148"/>
      <c r="G4" s="147"/>
      <c r="H4" s="148"/>
      <c r="I4" s="148"/>
    </row>
    <row r="5" spans="1:31" s="146" customFormat="1" ht="14.25">
      <c r="A5" s="191" t="str">
        <f>Konstruktionen!$G$129</f>
        <v>Holzständerkonstruktion, gedämmt</v>
      </c>
      <c r="B5" s="896">
        <f>Konstruktionen!AN129</f>
        <v>10.134481002806767</v>
      </c>
      <c r="C5" s="292" t="s">
        <v>643</v>
      </c>
      <c r="D5" s="148"/>
      <c r="E5" s="148"/>
      <c r="G5" s="147"/>
      <c r="H5" s="148"/>
      <c r="I5" s="148"/>
    </row>
    <row r="6" spans="1:31" s="146" customFormat="1" ht="15" thickBot="1">
      <c r="A6" s="203" t="str">
        <f>Konstruktionen!$G$130</f>
        <v>Backstein Mauerwerk, verputzt</v>
      </c>
      <c r="B6" s="897">
        <f>Konstruktionen!AN130</f>
        <v>13.591994098018542</v>
      </c>
      <c r="C6" s="313" t="s">
        <v>643</v>
      </c>
      <c r="D6" s="148"/>
      <c r="E6" s="148"/>
      <c r="F6" s="148"/>
      <c r="G6" s="160"/>
      <c r="H6" s="148"/>
      <c r="I6" s="148"/>
    </row>
    <row r="7" spans="1:31" s="146" customFormat="1" ht="13.5" thickBot="1">
      <c r="E7" s="148"/>
      <c r="F7" s="148"/>
      <c r="G7" s="160"/>
      <c r="H7" s="148"/>
      <c r="I7" s="1116" t="s">
        <v>623</v>
      </c>
      <c r="J7" s="1101" t="s">
        <v>503</v>
      </c>
      <c r="K7" s="1101"/>
      <c r="L7" s="1101"/>
      <c r="M7" s="1101"/>
      <c r="N7" s="1101"/>
      <c r="O7" s="1101"/>
      <c r="P7" s="1101"/>
      <c r="Q7" s="1101" t="s">
        <v>461</v>
      </c>
      <c r="R7" s="1102"/>
      <c r="T7" s="314" t="s">
        <v>496</v>
      </c>
      <c r="U7" s="224" t="s">
        <v>581</v>
      </c>
      <c r="V7" s="224" t="s">
        <v>491</v>
      </c>
      <c r="W7" s="224" t="s">
        <v>633</v>
      </c>
      <c r="X7" s="224" t="s">
        <v>571</v>
      </c>
      <c r="Y7" s="224" t="s">
        <v>570</v>
      </c>
      <c r="Z7" s="224" t="s">
        <v>569</v>
      </c>
      <c r="AA7" s="224" t="s">
        <v>568</v>
      </c>
      <c r="AB7" s="224" t="s">
        <v>632</v>
      </c>
      <c r="AC7" s="223" t="s">
        <v>487</v>
      </c>
    </row>
    <row r="8" spans="1:31" s="146" customFormat="1" ht="15.75">
      <c r="A8" s="305" t="s">
        <v>434</v>
      </c>
      <c r="B8" s="257" t="s">
        <v>619</v>
      </c>
      <c r="D8" s="321" t="s">
        <v>416</v>
      </c>
      <c r="E8" s="259" t="s">
        <v>645</v>
      </c>
      <c r="F8" s="148"/>
      <c r="G8" s="160"/>
      <c r="H8" s="148"/>
      <c r="I8" s="1117"/>
      <c r="J8" s="1103" t="s">
        <v>496</v>
      </c>
      <c r="K8" s="1103" t="s">
        <v>494</v>
      </c>
      <c r="L8" s="1103" t="s">
        <v>489</v>
      </c>
      <c r="M8" s="1103" t="s">
        <v>482</v>
      </c>
      <c r="N8" s="1103" t="s">
        <v>472</v>
      </c>
      <c r="O8" s="1103" t="s">
        <v>466</v>
      </c>
      <c r="P8" s="1103" t="s">
        <v>464</v>
      </c>
      <c r="Q8" s="1103" t="s">
        <v>460</v>
      </c>
      <c r="R8" s="1106" t="s">
        <v>459</v>
      </c>
      <c r="T8" s="236" t="s">
        <v>322</v>
      </c>
      <c r="U8" s="319" t="str">
        <f>VLOOKUP(T8,KBOB_Baustoffe_2012,2,FALSE)</f>
        <v>-</v>
      </c>
      <c r="V8" s="301">
        <f>VLOOKUP(T8,KBOB_Baustoffe_2012,10,FALSE)</f>
        <v>734.28392317299995</v>
      </c>
      <c r="W8" s="300" t="str">
        <f>"MJ/"&amp;VLOOKUP(T8,KBOB_Baustoffe_2012,3,FALSE)</f>
        <v>MJ/m2</v>
      </c>
      <c r="X8" s="300"/>
      <c r="Y8" s="301">
        <f>K_Rahmenhöhe*K_Rahmenbreite/K_Fläche_Tür</f>
        <v>1</v>
      </c>
      <c r="Z8" s="300" t="s">
        <v>621</v>
      </c>
      <c r="AA8" s="300">
        <v>30</v>
      </c>
      <c r="AB8" s="296">
        <f>Y8*V8/AA8</f>
        <v>24.476130772433333</v>
      </c>
      <c r="AC8" s="318">
        <v>1</v>
      </c>
      <c r="AE8" s="225" t="s">
        <v>620</v>
      </c>
    </row>
    <row r="9" spans="1:31" s="146" customFormat="1" ht="13.5" thickBot="1">
      <c r="A9" s="203" t="s">
        <v>433</v>
      </c>
      <c r="B9" s="964">
        <v>0.2</v>
      </c>
      <c r="D9" s="185" t="s">
        <v>468</v>
      </c>
      <c r="E9" s="320">
        <f>Konstruktionen!AN141</f>
        <v>0.88724172888833341</v>
      </c>
      <c r="F9" s="148"/>
      <c r="G9" s="160"/>
      <c r="H9" s="148"/>
      <c r="I9" s="1117"/>
      <c r="J9" s="1103"/>
      <c r="K9" s="1103"/>
      <c r="L9" s="1103"/>
      <c r="M9" s="1103"/>
      <c r="N9" s="1103"/>
      <c r="O9" s="1103"/>
      <c r="P9" s="1103"/>
      <c r="Q9" s="1103"/>
      <c r="R9" s="1106"/>
      <c r="T9" s="236" t="s">
        <v>94</v>
      </c>
      <c r="U9" s="319">
        <f>VLOOKUP(T9,KBOB_Baustoffe_2012,2,FALSE)</f>
        <v>1200</v>
      </c>
      <c r="V9" s="301">
        <f>VLOOKUP(T9,KBOB_Baustoffe_2012,10,FALSE)</f>
        <v>1.64954177885831</v>
      </c>
      <c r="W9" s="300" t="str">
        <f>"MJ/"&amp;VLOOKUP(T9,KBOB_Baustoffe_2012,3,FALSE)</f>
        <v>MJ/kg</v>
      </c>
      <c r="X9" s="300">
        <v>0.01</v>
      </c>
      <c r="Y9" s="301">
        <f>X9*K_Türumfang1*K_Rahmentiefe*U9/K_Fläche_Tür</f>
        <v>4.8975609756097551</v>
      </c>
      <c r="Z9" s="300" t="s">
        <v>613</v>
      </c>
      <c r="AA9" s="300">
        <v>30</v>
      </c>
      <c r="AB9" s="296">
        <f>Y9*V9/AA9</f>
        <v>0.26929104812581184</v>
      </c>
      <c r="AC9" s="318">
        <v>1</v>
      </c>
      <c r="AE9" s="225" t="s">
        <v>617</v>
      </c>
    </row>
    <row r="10" spans="1:31" s="146" customFormat="1" ht="13.5" thickBot="1">
      <c r="F10" s="148"/>
      <c r="G10" s="160"/>
      <c r="H10" s="148"/>
      <c r="I10" s="1117"/>
      <c r="J10" s="1103"/>
      <c r="K10" s="1103"/>
      <c r="L10" s="1103"/>
      <c r="M10" s="1103"/>
      <c r="N10" s="1103"/>
      <c r="O10" s="1103"/>
      <c r="P10" s="1103"/>
      <c r="Q10" s="1103"/>
      <c r="R10" s="1106"/>
      <c r="T10" s="236" t="s">
        <v>108</v>
      </c>
      <c r="U10" s="319">
        <f>VLOOKUP(T10,KBOB_Baustoffe_2012,2,FALSE)</f>
        <v>1500</v>
      </c>
      <c r="V10" s="301">
        <f>VLOOKUP(T10,KBOB_Baustoffe_2012,10,FALSE)</f>
        <v>1.5165991981164841</v>
      </c>
      <c r="W10" s="300" t="str">
        <f>"MJ/"&amp;VLOOKUP(T10,KBOB_Baustoffe_2012,3,FALSE)</f>
        <v>MJ/kg</v>
      </c>
      <c r="X10" s="300">
        <v>0.02</v>
      </c>
      <c r="Y10" s="301">
        <f>X10*K_Türumfang2*K_Rahmentiefe*U10/K_Fläche_Tür</f>
        <v>12.292682926829269</v>
      </c>
      <c r="Z10" s="300" t="s">
        <v>613</v>
      </c>
      <c r="AA10" s="300">
        <v>30</v>
      </c>
      <c r="AB10" s="296">
        <f>Y10*V10/AA10</f>
        <v>0.62143576898431552</v>
      </c>
      <c r="AC10" s="318">
        <v>1</v>
      </c>
      <c r="AE10" s="225" t="s">
        <v>616</v>
      </c>
    </row>
    <row r="11" spans="1:31" s="146" customFormat="1" ht="14.25">
      <c r="A11" s="148"/>
      <c r="B11" s="148"/>
      <c r="D11" s="305" t="s">
        <v>614</v>
      </c>
      <c r="E11" s="286" t="s">
        <v>643</v>
      </c>
      <c r="F11" s="148"/>
      <c r="G11" s="160"/>
      <c r="H11" s="148"/>
      <c r="I11" s="1117"/>
      <c r="J11" s="1103"/>
      <c r="K11" s="1103"/>
      <c r="L11" s="1103"/>
      <c r="M11" s="1103"/>
      <c r="N11" s="1103"/>
      <c r="O11" s="1103"/>
      <c r="P11" s="1103"/>
      <c r="Q11" s="1103"/>
      <c r="R11" s="1106"/>
      <c r="T11" s="236" t="s">
        <v>37</v>
      </c>
      <c r="U11" s="319">
        <f>VLOOKUP(T11,KBOB_Baustoffe_2012,2,FALSE)</f>
        <v>2400</v>
      </c>
      <c r="V11" s="301">
        <f>VLOOKUP(T11,KBOB_Baustoffe_2012,10,FALSE)</f>
        <v>0.77089807147335154</v>
      </c>
      <c r="W11" s="300" t="str">
        <f>"MJ/"&amp;VLOOKUP(T11,KBOB_Baustoffe_2012,3,FALSE)</f>
        <v>MJ/kg</v>
      </c>
      <c r="X11" s="300">
        <v>0.25</v>
      </c>
      <c r="Y11" s="301">
        <f>K_Tiefe_Sturz*X11*K_Länge_Sturz*U11/K_Fläche_Tür</f>
        <v>58.536585365853661</v>
      </c>
      <c r="Z11" s="300" t="s">
        <v>613</v>
      </c>
      <c r="AA11" s="300">
        <v>30</v>
      </c>
      <c r="AB11" s="296">
        <f>Y11*V11/AA11</f>
        <v>1.5041913589723932</v>
      </c>
      <c r="AC11" s="318">
        <v>1</v>
      </c>
      <c r="AE11" s="225" t="s">
        <v>615</v>
      </c>
    </row>
    <row r="12" spans="1:31" s="146" customFormat="1" ht="13.5" thickBot="1">
      <c r="D12" s="188" t="s">
        <v>612</v>
      </c>
      <c r="E12" s="726">
        <f>Konstruktionen!AN145</f>
        <v>26.584679646610812</v>
      </c>
      <c r="F12" s="148"/>
      <c r="G12" s="160"/>
      <c r="H12" s="148"/>
      <c r="I12" s="1117"/>
      <c r="J12" s="1103"/>
      <c r="K12" s="1103"/>
      <c r="L12" s="1103"/>
      <c r="M12" s="1103"/>
      <c r="N12" s="1103"/>
      <c r="O12" s="1103"/>
      <c r="P12" s="1103"/>
      <c r="Q12" s="1103"/>
      <c r="R12" s="1106"/>
      <c r="T12" s="236" t="s">
        <v>137</v>
      </c>
      <c r="U12" s="319">
        <f>VLOOKUP(T12,KBOB_Baustoffe_2012,2,FALSE)*105/VLOOKUP(T12,KBOB_Baustoffe_2012,2,FALSE)</f>
        <v>105</v>
      </c>
      <c r="V12" s="301">
        <f>VLOOKUP(T12,KBOB_Baustoffe_2012,10,FALSE)</f>
        <v>13.483941867899999</v>
      </c>
      <c r="W12" s="300" t="str">
        <f>"MJ/"&amp;VLOOKUP(T12,KBOB_Baustoffe_2012,3,FALSE)</f>
        <v>MJ/kg</v>
      </c>
      <c r="X12" s="300">
        <v>0.25</v>
      </c>
      <c r="Y12" s="301">
        <f>K_Tiefe_Sturz*X12*K_Länge_Sturz*U12/K_Fläche_Tür</f>
        <v>2.5609756097560976</v>
      </c>
      <c r="Z12" s="300" t="s">
        <v>613</v>
      </c>
      <c r="AA12" s="300">
        <v>30</v>
      </c>
      <c r="AB12" s="296">
        <f>Y12*V12/AA12</f>
        <v>1.1510682082353658</v>
      </c>
      <c r="AC12" s="318">
        <v>1</v>
      </c>
    </row>
    <row r="13" spans="1:31" s="146" customFormat="1" ht="13.5" thickBot="1">
      <c r="A13" s="316" t="s">
        <v>611</v>
      </c>
      <c r="B13" s="223" t="s">
        <v>610</v>
      </c>
      <c r="D13" s="185" t="s">
        <v>609</v>
      </c>
      <c r="E13" s="320">
        <f>Konstruktionen!AN146</f>
        <v>21.560215283650532</v>
      </c>
      <c r="F13" s="148"/>
      <c r="G13" s="160"/>
      <c r="H13" s="148"/>
      <c r="I13" s="1117"/>
      <c r="J13" s="1103"/>
      <c r="K13" s="1103"/>
      <c r="L13" s="1103"/>
      <c r="M13" s="1103"/>
      <c r="N13" s="1103"/>
      <c r="O13" s="1103"/>
      <c r="P13" s="1103"/>
      <c r="Q13" s="1103"/>
      <c r="R13" s="1106"/>
      <c r="T13" s="185"/>
      <c r="U13" s="297"/>
      <c r="V13" s="297"/>
      <c r="W13" s="297"/>
      <c r="X13" s="297"/>
      <c r="Y13" s="297"/>
      <c r="Z13" s="297"/>
      <c r="AA13" s="297"/>
      <c r="AB13" s="294">
        <f>SUM(AB8:AB12)</f>
        <v>28.022117156751218</v>
      </c>
      <c r="AC13" s="317">
        <v>1</v>
      </c>
    </row>
    <row r="14" spans="1:31" s="146" customFormat="1" ht="13.5" thickBot="1">
      <c r="A14" s="252" t="s">
        <v>608</v>
      </c>
      <c r="B14" s="284">
        <v>6</v>
      </c>
      <c r="F14" s="148"/>
      <c r="G14" s="160"/>
      <c r="H14" s="148"/>
      <c r="I14" s="1117"/>
      <c r="J14" s="1103"/>
      <c r="K14" s="1103"/>
      <c r="L14" s="1103"/>
      <c r="M14" s="1103"/>
      <c r="N14" s="1103"/>
      <c r="O14" s="1103"/>
      <c r="P14" s="1103"/>
      <c r="Q14" s="1103"/>
      <c r="R14" s="1106"/>
    </row>
    <row r="15" spans="1:31" s="146" customFormat="1" ht="13.5" thickBot="1">
      <c r="E15" s="148"/>
      <c r="F15" s="148"/>
      <c r="G15" s="160"/>
      <c r="H15" s="148"/>
      <c r="I15" s="1117"/>
      <c r="J15" s="1103"/>
      <c r="K15" s="1103"/>
      <c r="L15" s="1103"/>
      <c r="M15" s="1103"/>
      <c r="N15" s="1103"/>
      <c r="O15" s="1103"/>
      <c r="P15" s="1103"/>
      <c r="Q15" s="1103"/>
      <c r="R15" s="1106"/>
      <c r="T15" s="314" t="s">
        <v>494</v>
      </c>
      <c r="U15" s="224" t="s">
        <v>581</v>
      </c>
      <c r="V15" s="224" t="s">
        <v>491</v>
      </c>
      <c r="W15" s="224" t="s">
        <v>633</v>
      </c>
      <c r="X15" s="224"/>
      <c r="Y15" s="224"/>
      <c r="Z15" s="224"/>
      <c r="AA15" s="224"/>
      <c r="AB15" s="224"/>
      <c r="AC15" s="223" t="s">
        <v>487</v>
      </c>
    </row>
    <row r="16" spans="1:31" s="146" customFormat="1">
      <c r="A16" s="305" t="s">
        <v>428</v>
      </c>
      <c r="B16" s="212" t="s">
        <v>429</v>
      </c>
      <c r="C16" s="212" t="s">
        <v>606</v>
      </c>
      <c r="D16" s="212" t="s">
        <v>605</v>
      </c>
      <c r="E16" s="204"/>
      <c r="F16" s="148"/>
      <c r="G16" s="160"/>
      <c r="H16" s="148"/>
      <c r="I16" s="1118"/>
      <c r="J16" s="1104"/>
      <c r="K16" s="1104"/>
      <c r="L16" s="1104"/>
      <c r="M16" s="1104"/>
      <c r="N16" s="1104"/>
      <c r="O16" s="1104"/>
      <c r="P16" s="1104"/>
      <c r="Q16" s="1104"/>
      <c r="R16" s="1107"/>
      <c r="T16" s="188" t="s">
        <v>607</v>
      </c>
      <c r="U16" s="148"/>
      <c r="V16" s="148"/>
      <c r="W16" s="148"/>
      <c r="X16" s="148"/>
      <c r="Y16" s="148"/>
      <c r="Z16" s="148"/>
      <c r="AA16" s="148"/>
      <c r="AB16" s="250">
        <f>Konstruktionen!AN150</f>
        <v>6.6959970490092715</v>
      </c>
      <c r="AC16" s="249"/>
    </row>
    <row r="17" spans="1:31" s="146" customFormat="1" ht="15" thickBot="1">
      <c r="A17" s="252">
        <v>0.22</v>
      </c>
      <c r="B17" s="620">
        <f>Konstruktionen!AN135</f>
        <v>27.775555985829811</v>
      </c>
      <c r="C17" s="620">
        <f>Konstruktionen!AN136</f>
        <v>24.884017702371125</v>
      </c>
      <c r="D17" s="620">
        <f>Konstruktionen!AN137</f>
        <v>18.551874393286699</v>
      </c>
      <c r="E17" s="613" t="s">
        <v>643</v>
      </c>
      <c r="F17" s="148"/>
      <c r="G17" s="160"/>
      <c r="H17" s="148"/>
      <c r="I17" s="247" t="s">
        <v>604</v>
      </c>
      <c r="J17" s="246">
        <v>0.05</v>
      </c>
      <c r="K17" s="246">
        <v>0.05</v>
      </c>
      <c r="L17" s="246">
        <v>9.9999999999999995E-8</v>
      </c>
      <c r="M17" s="246">
        <v>9.9999999999999995E-8</v>
      </c>
      <c r="N17" s="246">
        <v>9.9999999999999995E-8</v>
      </c>
      <c r="O17" s="246">
        <v>0.05</v>
      </c>
      <c r="P17" s="246">
        <v>1</v>
      </c>
      <c r="Q17" s="246">
        <v>0.1</v>
      </c>
      <c r="R17" s="245">
        <v>1</v>
      </c>
      <c r="T17" s="185" t="s">
        <v>458</v>
      </c>
      <c r="U17" s="219"/>
      <c r="V17" s="219"/>
      <c r="W17" s="219"/>
      <c r="X17" s="219"/>
      <c r="Y17" s="219"/>
      <c r="Z17" s="219"/>
      <c r="AA17" s="219"/>
      <c r="AB17" s="248">
        <f>SUM(AB16)</f>
        <v>6.6959970490092715</v>
      </c>
      <c r="AC17" s="217"/>
    </row>
    <row r="18" spans="1:31" s="146" customFormat="1" ht="13.5" thickBot="1">
      <c r="A18" s="148"/>
      <c r="B18" s="177"/>
      <c r="C18" s="177"/>
      <c r="D18" s="177"/>
      <c r="F18" s="148"/>
      <c r="G18" s="160"/>
      <c r="H18" s="148"/>
      <c r="I18" s="247" t="s">
        <v>435</v>
      </c>
      <c r="J18" s="246">
        <v>0.05</v>
      </c>
      <c r="K18" s="246">
        <v>0.05</v>
      </c>
      <c r="L18" s="246">
        <v>0.1</v>
      </c>
      <c r="M18" s="246">
        <v>0.05</v>
      </c>
      <c r="N18" s="246">
        <f>50%*L18</f>
        <v>0.05</v>
      </c>
      <c r="O18" s="246">
        <v>0.05</v>
      </c>
      <c r="P18" s="246">
        <v>1</v>
      </c>
      <c r="Q18" s="246">
        <v>0.1</v>
      </c>
      <c r="R18" s="245">
        <v>1</v>
      </c>
    </row>
    <row r="19" spans="1:31" s="146" customFormat="1" ht="13.5" thickBot="1">
      <c r="A19" s="305" t="s">
        <v>594</v>
      </c>
      <c r="B19" s="212" t="s">
        <v>426</v>
      </c>
      <c r="C19" s="233" t="s">
        <v>592</v>
      </c>
      <c r="E19" s="176"/>
      <c r="F19" s="148"/>
      <c r="G19" s="160"/>
      <c r="H19" s="148"/>
      <c r="I19" s="244" t="s">
        <v>603</v>
      </c>
      <c r="J19" s="243">
        <v>0.1</v>
      </c>
      <c r="K19" s="243">
        <v>0.1</v>
      </c>
      <c r="L19" s="243">
        <v>0.27</v>
      </c>
      <c r="M19" s="243">
        <v>0.13</v>
      </c>
      <c r="N19" s="243">
        <f>50%*L19</f>
        <v>0.13500000000000001</v>
      </c>
      <c r="O19" s="243">
        <v>0.05</v>
      </c>
      <c r="P19" s="243">
        <v>1</v>
      </c>
      <c r="Q19" s="243">
        <v>0.1</v>
      </c>
      <c r="R19" s="242">
        <v>1</v>
      </c>
      <c r="T19" s="302" t="s">
        <v>489</v>
      </c>
      <c r="U19" s="212" t="s">
        <v>581</v>
      </c>
      <c r="V19" s="212" t="s">
        <v>491</v>
      </c>
      <c r="W19" s="212" t="s">
        <v>633</v>
      </c>
      <c r="X19" s="212" t="s">
        <v>571</v>
      </c>
      <c r="Y19" s="212" t="s">
        <v>570</v>
      </c>
      <c r="Z19" s="212" t="s">
        <v>569</v>
      </c>
      <c r="AA19" s="212" t="s">
        <v>568</v>
      </c>
      <c r="AB19" s="212" t="s">
        <v>632</v>
      </c>
      <c r="AC19" s="204" t="s">
        <v>487</v>
      </c>
      <c r="AE19" s="225" t="s">
        <v>602</v>
      </c>
    </row>
    <row r="20" spans="1:31" s="146" customFormat="1">
      <c r="A20" s="191" t="s">
        <v>455</v>
      </c>
      <c r="B20" s="296">
        <f>VLOOKUP("Lüftungsanlage Wohnen, Blechkanäle, inkl. Küchenabluft",KBOB_Gebäudetechnik_2012,10,FALSE)</f>
        <v>212.97440357353267</v>
      </c>
      <c r="C20" s="295" t="s">
        <v>588</v>
      </c>
      <c r="F20" s="148"/>
      <c r="G20" s="160"/>
      <c r="H20" s="148"/>
      <c r="T20" s="210" t="s">
        <v>94</v>
      </c>
      <c r="U20" s="312">
        <f>VLOOKUP(T20,KBOB_Baustoffe_2012,2,FALSE)</f>
        <v>1200</v>
      </c>
      <c r="V20" s="301">
        <f>VLOOKUP(T20,KBOB_Baustoffe_2012,10,FALSE)</f>
        <v>1.64954177885831</v>
      </c>
      <c r="W20" s="300" t="str">
        <f>"MJ/"&amp;VLOOKUP(T20,KBOB_Baustoffe_2012,3,FALSE)</f>
        <v>MJ/kg</v>
      </c>
      <c r="X20" s="187">
        <v>0.01</v>
      </c>
      <c r="Y20" s="208">
        <f>X20*U20*2*0.15</f>
        <v>3.5999999999999996</v>
      </c>
      <c r="Z20" s="187" t="s">
        <v>564</v>
      </c>
      <c r="AA20" s="187">
        <v>30</v>
      </c>
      <c r="AB20" s="301">
        <f>Y20*V20/AA20</f>
        <v>0.19794501346299717</v>
      </c>
      <c r="AC20" s="234" t="s">
        <v>598</v>
      </c>
    </row>
    <row r="21" spans="1:31" s="146" customFormat="1" ht="13.5" thickBot="1">
      <c r="A21" s="191" t="s">
        <v>422</v>
      </c>
      <c r="B21" s="296">
        <f>VLOOKUP("Wohnen, inkl. Apparate und Leitungen",KBOB_Gebäudetechnik_2012,10,FALSE)</f>
        <v>140</v>
      </c>
      <c r="C21" s="295" t="s">
        <v>588</v>
      </c>
      <c r="F21" s="148"/>
      <c r="G21" s="160"/>
      <c r="H21" s="148"/>
      <c r="T21" s="210" t="s">
        <v>108</v>
      </c>
      <c r="U21" s="312">
        <f>VLOOKUP(T21,KBOB_Baustoffe_2012,2,FALSE)</f>
        <v>1500</v>
      </c>
      <c r="V21" s="301">
        <f>VLOOKUP(T21,KBOB_Baustoffe_2012,10,FALSE)</f>
        <v>1.5165991981164841</v>
      </c>
      <c r="W21" s="300" t="str">
        <f>"MJ/"&amp;VLOOKUP(T21,KBOB_Baustoffe_2012,3,FALSE)</f>
        <v>MJ/kg</v>
      </c>
      <c r="X21" s="187">
        <v>0.02</v>
      </c>
      <c r="Y21" s="208">
        <f>X21*U21*2*0.15</f>
        <v>9</v>
      </c>
      <c r="Z21" s="187" t="s">
        <v>564</v>
      </c>
      <c r="AA21" s="187">
        <v>30</v>
      </c>
      <c r="AB21" s="301">
        <f>Y21*V21/AA21</f>
        <v>0.45497975943494523</v>
      </c>
      <c r="AC21" s="234" t="s">
        <v>598</v>
      </c>
    </row>
    <row r="22" spans="1:31" s="146" customFormat="1" ht="13.5" thickBot="1">
      <c r="A22" s="191" t="s">
        <v>421</v>
      </c>
      <c r="B22" s="296">
        <f>VLOOKUP("Elektroanlagen Wohnen",KBOB_Gebäudetechnik_2012,10,FALSE)</f>
        <v>199</v>
      </c>
      <c r="C22" s="295" t="s">
        <v>588</v>
      </c>
      <c r="F22" s="148"/>
      <c r="G22" s="160"/>
      <c r="H22" s="148"/>
      <c r="I22" s="305" t="s">
        <v>601</v>
      </c>
      <c r="J22" s="212" t="s">
        <v>432</v>
      </c>
      <c r="K22" s="204"/>
      <c r="T22" s="203" t="s">
        <v>458</v>
      </c>
      <c r="U22" s="297"/>
      <c r="V22" s="297"/>
      <c r="W22" s="297"/>
      <c r="X22" s="184"/>
      <c r="Y22" s="184"/>
      <c r="Z22" s="184"/>
      <c r="AA22" s="184"/>
      <c r="AB22" s="303">
        <f>SUM(AB20:AB21)</f>
        <v>0.65292477289794237</v>
      </c>
      <c r="AC22" s="241" t="s">
        <v>598</v>
      </c>
    </row>
    <row r="23" spans="1:31" s="146" customFormat="1" ht="15" thickBot="1">
      <c r="A23" s="191" t="s">
        <v>448</v>
      </c>
      <c r="B23" s="296">
        <f>VLOOKUP("Solarstromanlage",KBOB_Gebäudetechnik_2012,10,FALSE)/B36/B37</f>
        <v>132.85714285714286</v>
      </c>
      <c r="C23" s="295" t="s">
        <v>444</v>
      </c>
      <c r="F23" s="148"/>
      <c r="G23" s="160"/>
      <c r="H23" s="148"/>
      <c r="I23" s="191" t="str">
        <f>Konstruktionen!$G$128</f>
        <v>Leichtbauständerkonstruktion, Doppelbeplankung</v>
      </c>
      <c r="J23" s="301">
        <f>B4</f>
        <v>17.69210949594429</v>
      </c>
      <c r="K23" s="292" t="s">
        <v>643</v>
      </c>
      <c r="L23" s="315" t="s">
        <v>644</v>
      </c>
    </row>
    <row r="24" spans="1:31" s="146" customFormat="1" ht="15" thickBot="1">
      <c r="A24" s="203" t="s">
        <v>447</v>
      </c>
      <c r="B24" s="294">
        <f>AVERAGE(VLOOKUP("Flachkollektor für Warmwasser EFH",KBOB_Gebäudetechnik_2012,10,FALSE),VLOOKUP("Flachkollektor für Warmwasser MFH",KBOB_Gebäudetechnik_2012,10,FALSE))/B35</f>
        <v>178</v>
      </c>
      <c r="C24" s="293" t="s">
        <v>444</v>
      </c>
      <c r="F24" s="148"/>
      <c r="G24" s="160"/>
      <c r="H24" s="148"/>
      <c r="I24" s="191" t="str">
        <f>Konstruktionen!$G$129</f>
        <v>Holzständerkonstruktion, gedämmt</v>
      </c>
      <c r="J24" s="301">
        <f>B5</f>
        <v>10.134481002806767</v>
      </c>
      <c r="K24" s="292" t="s">
        <v>643</v>
      </c>
      <c r="T24" s="314" t="s">
        <v>482</v>
      </c>
      <c r="U24" s="224" t="s">
        <v>581</v>
      </c>
      <c r="V24" s="224" t="s">
        <v>491</v>
      </c>
      <c r="W24" s="224" t="s">
        <v>633</v>
      </c>
      <c r="X24" s="224" t="s">
        <v>571</v>
      </c>
      <c r="Y24" s="224" t="s">
        <v>570</v>
      </c>
      <c r="Z24" s="224" t="s">
        <v>569</v>
      </c>
      <c r="AA24" s="224" t="s">
        <v>568</v>
      </c>
      <c r="AB24" s="224" t="s">
        <v>632</v>
      </c>
      <c r="AC24" s="223" t="s">
        <v>487</v>
      </c>
    </row>
    <row r="25" spans="1:31" s="146" customFormat="1" ht="15" thickBot="1">
      <c r="A25" s="148"/>
      <c r="F25" s="148"/>
      <c r="G25" s="160"/>
      <c r="H25" s="148"/>
      <c r="I25" s="203" t="str">
        <f>Konstruktionen!$G$130</f>
        <v>Backstein Mauerwerk, verputzt</v>
      </c>
      <c r="J25" s="303">
        <f>B6</f>
        <v>13.591994098018542</v>
      </c>
      <c r="K25" s="313" t="s">
        <v>643</v>
      </c>
      <c r="T25" s="236" t="s">
        <v>94</v>
      </c>
      <c r="U25" s="312">
        <f>VLOOKUP(T25,KBOB_Baustoffe_2012,2,FALSE)</f>
        <v>1200</v>
      </c>
      <c r="V25" s="301">
        <f>VLOOKUP(T25,KBOB_Baustoffe_2012,10,FALSE)</f>
        <v>1.64954177885831</v>
      </c>
      <c r="W25" s="300" t="str">
        <f>"MJ/"&amp;VLOOKUP(T25,KBOB_Baustoffe_2012,3,FALSE)</f>
        <v>MJ/kg</v>
      </c>
      <c r="X25" s="187">
        <v>0.01</v>
      </c>
      <c r="Y25" s="208">
        <f>X25*U25*2*0.15</f>
        <v>3.5999999999999996</v>
      </c>
      <c r="Z25" s="187" t="s">
        <v>564</v>
      </c>
      <c r="AA25" s="187">
        <v>30</v>
      </c>
      <c r="AB25" s="296">
        <f>Y25*V25/AA25</f>
        <v>0.19794501346299717</v>
      </c>
      <c r="AC25" s="234" t="s">
        <v>598</v>
      </c>
      <c r="AE25" s="225" t="s">
        <v>600</v>
      </c>
    </row>
    <row r="26" spans="1:31" s="146" customFormat="1">
      <c r="A26" s="305" t="s">
        <v>587</v>
      </c>
      <c r="B26" s="212" t="s">
        <v>1110</v>
      </c>
      <c r="C26" s="233"/>
      <c r="F26" s="148"/>
      <c r="G26" s="160"/>
      <c r="H26" s="148"/>
      <c r="K26" s="182"/>
      <c r="T26" s="236" t="s">
        <v>108</v>
      </c>
      <c r="U26" s="312">
        <f>VLOOKUP(T26,KBOB_Baustoffe_2012,2,FALSE)</f>
        <v>1500</v>
      </c>
      <c r="V26" s="301">
        <f>VLOOKUP(T26,KBOB_Baustoffe_2012,10,FALSE)</f>
        <v>1.5165991981164841</v>
      </c>
      <c r="W26" s="300" t="str">
        <f>"MJ/"&amp;VLOOKUP(T26,KBOB_Baustoffe_2012,3,FALSE)</f>
        <v>MJ/kg</v>
      </c>
      <c r="X26" s="187">
        <v>0.02</v>
      </c>
      <c r="Y26" s="208">
        <f>X26*U26*2*0.15</f>
        <v>9</v>
      </c>
      <c r="Z26" s="187" t="s">
        <v>564</v>
      </c>
      <c r="AA26" s="187">
        <v>30</v>
      </c>
      <c r="AB26" s="296">
        <f>Y26*V26/AA26</f>
        <v>0.45497975943494523</v>
      </c>
      <c r="AC26" s="234" t="s">
        <v>598</v>
      </c>
      <c r="AE26" s="225" t="s">
        <v>597</v>
      </c>
    </row>
    <row r="27" spans="1:31" s="146" customFormat="1" ht="13.5" thickBot="1">
      <c r="A27" s="228" t="s">
        <v>586</v>
      </c>
      <c r="B27" s="296">
        <f>SUM(B20:B22)</f>
        <v>551.97440357353264</v>
      </c>
      <c r="C27" s="308" t="s">
        <v>588</v>
      </c>
      <c r="F27" s="148"/>
      <c r="G27" s="160"/>
      <c r="H27" s="148"/>
      <c r="K27" s="182"/>
      <c r="T27" s="236" t="s">
        <v>155</v>
      </c>
      <c r="U27" s="312">
        <f>VLOOKUP(T27,KBOB_Baustoffe_2012,2,FALSE)</f>
        <v>7850</v>
      </c>
      <c r="V27" s="301">
        <f>VLOOKUP(T27,KBOB_Baustoffe_2012,10,FALSE)</f>
        <v>15.66608097644</v>
      </c>
      <c r="W27" s="300" t="str">
        <f>"MJ/"&amp;VLOOKUP(T27,KBOB_Baustoffe_2012,3,FALSE)</f>
        <v>MJ/kg</v>
      </c>
      <c r="X27" s="187"/>
      <c r="Y27" s="208">
        <v>30</v>
      </c>
      <c r="Z27" s="187" t="s">
        <v>564</v>
      </c>
      <c r="AA27" s="187">
        <v>30</v>
      </c>
      <c r="AB27" s="296">
        <f>Y27*V27/AA27</f>
        <v>15.666080976439998</v>
      </c>
      <c r="AC27" s="234" t="s">
        <v>596</v>
      </c>
      <c r="AE27" s="225" t="s">
        <v>595</v>
      </c>
    </row>
    <row r="28" spans="1:31" s="146" customFormat="1" ht="26.25" thickBot="1">
      <c r="A28" s="203" t="s">
        <v>583</v>
      </c>
      <c r="B28" s="303">
        <f>B27/B37</f>
        <v>18.399146785784421</v>
      </c>
      <c r="C28" s="293" t="s">
        <v>456</v>
      </c>
      <c r="F28" s="148"/>
      <c r="G28" s="160"/>
      <c r="H28" s="148"/>
      <c r="I28" s="305" t="s">
        <v>642</v>
      </c>
      <c r="J28" s="212" t="s">
        <v>426</v>
      </c>
      <c r="K28" s="233" t="s">
        <v>592</v>
      </c>
      <c r="N28" s="311" t="s">
        <v>641</v>
      </c>
      <c r="T28" s="232" t="s">
        <v>591</v>
      </c>
      <c r="U28" s="297"/>
      <c r="V28" s="303"/>
      <c r="W28" s="297"/>
      <c r="X28" s="184"/>
      <c r="Y28" s="184"/>
      <c r="Z28" s="184" t="s">
        <v>564</v>
      </c>
      <c r="AA28" s="184">
        <v>30</v>
      </c>
      <c r="AB28" s="310">
        <f>Konstruktionen!AN150</f>
        <v>6.6959970490092715</v>
      </c>
      <c r="AC28" s="201" t="s">
        <v>590</v>
      </c>
      <c r="AE28" s="225" t="s">
        <v>589</v>
      </c>
    </row>
    <row r="29" spans="1:31" s="146" customFormat="1" ht="13.5" thickBot="1">
      <c r="F29" s="148"/>
      <c r="G29" s="160"/>
      <c r="H29" s="148"/>
      <c r="I29" s="191" t="s">
        <v>455</v>
      </c>
      <c r="J29" s="296">
        <f>VLOOKUP("Lüftungsanlage Wohnen, Blechkanäle, inkl. Küchenabluft",KBOB_Gebäudetechnik_2012,10,FALSE)</f>
        <v>212.97440357353267</v>
      </c>
      <c r="K29" s="295" t="s">
        <v>588</v>
      </c>
      <c r="N29" s="307" t="s">
        <v>455</v>
      </c>
    </row>
    <row r="30" spans="1:31" s="146" customFormat="1">
      <c r="A30" s="305" t="s">
        <v>565</v>
      </c>
      <c r="B30" s="212" t="s">
        <v>579</v>
      </c>
      <c r="C30" s="212" t="s">
        <v>578</v>
      </c>
      <c r="D30" s="211"/>
      <c r="E30" s="176"/>
      <c r="F30" s="148"/>
      <c r="G30" s="160"/>
      <c r="H30" s="148"/>
      <c r="I30" s="191" t="s">
        <v>454</v>
      </c>
      <c r="J30" s="296">
        <f>VLOOKUP("Erdregister zu Lüftungsanlage Wohnen",KBOB_Gebäudetechnik_2012,10,FALSE)</f>
        <v>59.143356321191781</v>
      </c>
      <c r="K30" s="295" t="s">
        <v>588</v>
      </c>
      <c r="N30" s="306" t="s">
        <v>640</v>
      </c>
      <c r="T30" s="302" t="s">
        <v>466</v>
      </c>
      <c r="U30" s="212" t="s">
        <v>581</v>
      </c>
      <c r="V30" s="212" t="s">
        <v>491</v>
      </c>
      <c r="W30" s="212" t="s">
        <v>633</v>
      </c>
      <c r="X30" s="212" t="s">
        <v>571</v>
      </c>
      <c r="Y30" s="212" t="s">
        <v>570</v>
      </c>
      <c r="Z30" s="212" t="s">
        <v>569</v>
      </c>
      <c r="AA30" s="212" t="s">
        <v>568</v>
      </c>
      <c r="AB30" s="212" t="s">
        <v>632</v>
      </c>
      <c r="AC30" s="204" t="s">
        <v>487</v>
      </c>
    </row>
    <row r="31" spans="1:31" s="146" customFormat="1" ht="13.5" thickBot="1">
      <c r="A31" s="191" t="s">
        <v>381</v>
      </c>
      <c r="B31" s="296">
        <f>Konstruktionen!F182</f>
        <v>11.7323</v>
      </c>
      <c r="C31" s="296">
        <f>Konstruktionen!F183</f>
        <v>4.8762999999999996</v>
      </c>
      <c r="D31" s="295" t="s">
        <v>444</v>
      </c>
      <c r="E31" s="176"/>
      <c r="F31" s="161"/>
      <c r="G31" s="160"/>
      <c r="H31" s="148"/>
      <c r="I31" s="191" t="s">
        <v>453</v>
      </c>
      <c r="J31" s="296">
        <f>VLOOKUP("Abluftanlage Küche und Bad",KBOB_Gebäudetechnik_2012,10,FALSE)</f>
        <v>57.545368808637654</v>
      </c>
      <c r="K31" s="295" t="s">
        <v>588</v>
      </c>
      <c r="N31" s="306" t="s">
        <v>639</v>
      </c>
      <c r="T31" s="222" t="s">
        <v>94</v>
      </c>
      <c r="U31" s="304">
        <f>VLOOKUP(T31,KBOB_Baustoffe_2012,2,FALSE)</f>
        <v>1200</v>
      </c>
      <c r="V31" s="303">
        <f>VLOOKUP(T31,KBOB_Baustoffe_2012,10,FALSE)</f>
        <v>1.64954177885831</v>
      </c>
      <c r="W31" s="297" t="str">
        <f>"MJ/"&amp;VLOOKUP(T31,KBOB_Baustoffe_2012,3,FALSE)</f>
        <v>MJ/kg</v>
      </c>
      <c r="X31" s="184">
        <f>2*0.01</f>
        <v>0.02</v>
      </c>
      <c r="Y31" s="229">
        <f>U31*X31</f>
        <v>24</v>
      </c>
      <c r="Z31" s="184" t="s">
        <v>564</v>
      </c>
      <c r="AA31" s="184">
        <v>30</v>
      </c>
      <c r="AB31" s="294">
        <f>Y31*V31/AA31</f>
        <v>1.3196334230866478</v>
      </c>
      <c r="AC31" s="201">
        <v>1</v>
      </c>
    </row>
    <row r="32" spans="1:31" s="146" customFormat="1" ht="13.5" thickBot="1">
      <c r="A32" s="203" t="s">
        <v>425</v>
      </c>
      <c r="B32" s="294">
        <f>Konstruktionen!B182</f>
        <v>7.8666999999999998</v>
      </c>
      <c r="C32" s="294">
        <f>Konstruktionen!B183</f>
        <v>3.7530999999999999</v>
      </c>
      <c r="D32" s="293" t="s">
        <v>444</v>
      </c>
      <c r="E32" s="176"/>
      <c r="F32" s="161"/>
      <c r="G32" s="160"/>
      <c r="H32" s="148"/>
      <c r="I32" s="191" t="s">
        <v>422</v>
      </c>
      <c r="J32" s="296">
        <f>VLOOKUP("Wohnen, inkl. Apparate und Leitungen",KBOB_Gebäudetechnik_2012,10,FALSE)</f>
        <v>140</v>
      </c>
      <c r="K32" s="295" t="s">
        <v>588</v>
      </c>
      <c r="N32" s="307" t="s">
        <v>422</v>
      </c>
    </row>
    <row r="33" spans="1:31" s="146" customFormat="1" ht="13.5" thickBot="1">
      <c r="D33" s="177"/>
      <c r="E33" s="176"/>
      <c r="F33" s="161"/>
      <c r="G33" s="160"/>
      <c r="H33" s="148"/>
      <c r="I33" s="191" t="s">
        <v>421</v>
      </c>
      <c r="J33" s="296">
        <f>VLOOKUP("Elektroanlagen Wohnen",KBOB_Gebäudetechnik_2012,10,FALSE)</f>
        <v>199</v>
      </c>
      <c r="K33" s="295" t="s">
        <v>588</v>
      </c>
      <c r="N33" s="306" t="s">
        <v>638</v>
      </c>
      <c r="T33" s="302" t="s">
        <v>464</v>
      </c>
      <c r="U33" s="212" t="s">
        <v>573</v>
      </c>
      <c r="V33" s="212" t="s">
        <v>491</v>
      </c>
      <c r="W33" s="212" t="s">
        <v>633</v>
      </c>
      <c r="X33" s="212" t="s">
        <v>571</v>
      </c>
      <c r="Y33" s="212" t="s">
        <v>570</v>
      </c>
      <c r="Z33" s="212" t="s">
        <v>569</v>
      </c>
      <c r="AA33" s="212" t="s">
        <v>568</v>
      </c>
      <c r="AB33" s="212" t="s">
        <v>632</v>
      </c>
      <c r="AC33" s="204" t="s">
        <v>487</v>
      </c>
    </row>
    <row r="34" spans="1:31" s="146" customFormat="1" ht="25.5">
      <c r="A34" s="299" t="s">
        <v>563</v>
      </c>
      <c r="B34" s="205"/>
      <c r="C34" s="204"/>
      <c r="D34" s="177"/>
      <c r="E34" s="176"/>
      <c r="F34" s="161"/>
      <c r="G34" s="160"/>
      <c r="H34" s="148"/>
      <c r="I34" s="191" t="s">
        <v>448</v>
      </c>
      <c r="J34" s="296">
        <f>VLOOKUP("Solarstromanlage",KBOB_Gebäudetechnik_2012,10,FALSE)/B36/B37</f>
        <v>132.85714285714286</v>
      </c>
      <c r="K34" s="295" t="s">
        <v>444</v>
      </c>
      <c r="N34" s="306" t="s">
        <v>637</v>
      </c>
      <c r="T34" s="210" t="s">
        <v>338</v>
      </c>
      <c r="U34" s="300">
        <f>VLOOKUP(T34,KBOB_Baustoffe_2012,2,FALSE)</f>
        <v>0.3</v>
      </c>
      <c r="V34" s="301">
        <f>VLOOKUP(T34,KBOB_Baustoffe_2012,10,FALSE)</f>
        <v>15</v>
      </c>
      <c r="W34" s="300" t="str">
        <f>"MJ/"&amp;VLOOKUP(T34,KBOB_Baustoffe_2012,3,FALSE)</f>
        <v>MJ/m2</v>
      </c>
      <c r="X34" s="187"/>
      <c r="Y34" s="208">
        <v>0.6</v>
      </c>
      <c r="Z34" s="187" t="s">
        <v>564</v>
      </c>
      <c r="AA34" s="187">
        <v>30</v>
      </c>
      <c r="AB34" s="296">
        <f>Y34*V34/U34/AA34</f>
        <v>1</v>
      </c>
      <c r="AC34" s="207">
        <v>1</v>
      </c>
    </row>
    <row r="35" spans="1:31" s="146" customFormat="1" ht="26.25" thickBot="1">
      <c r="A35" s="188" t="s">
        <v>561</v>
      </c>
      <c r="B35" s="263">
        <v>20</v>
      </c>
      <c r="C35" s="292" t="s">
        <v>402</v>
      </c>
      <c r="D35" s="177"/>
      <c r="E35" s="176"/>
      <c r="F35" s="161"/>
      <c r="G35" s="160"/>
      <c r="H35" s="148"/>
      <c r="I35" s="203" t="s">
        <v>447</v>
      </c>
      <c r="J35" s="294">
        <f>AVERAGE(VLOOKUP("Flachkollektor für Warmwasser EFH",KBOB_Gebäudetechnik_2012,10,FALSE),VLOOKUP("Flachkollektor für Warmwasser MFH",KBOB_Gebäudetechnik_2012,10,FALSE))/B35</f>
        <v>178</v>
      </c>
      <c r="K35" s="293" t="s">
        <v>444</v>
      </c>
      <c r="N35" s="309" t="s">
        <v>636</v>
      </c>
      <c r="T35" s="210" t="s">
        <v>338</v>
      </c>
      <c r="U35" s="300">
        <f>VLOOKUP(T35,KBOB_Baustoffe_2012,2,FALSE)</f>
        <v>0.3</v>
      </c>
      <c r="V35" s="301">
        <f>VLOOKUP(T35,KBOB_Baustoffe_2012,10,FALSE)</f>
        <v>15</v>
      </c>
      <c r="W35" s="300" t="str">
        <f>"MJ/"&amp;VLOOKUP(T35,KBOB_Baustoffe_2012,3,FALSE)</f>
        <v>MJ/m2</v>
      </c>
      <c r="X35" s="187"/>
      <c r="Y35" s="208">
        <f>0.6*0.3</f>
        <v>0.18</v>
      </c>
      <c r="Z35" s="187" t="s">
        <v>564</v>
      </c>
      <c r="AA35" s="187">
        <v>30</v>
      </c>
      <c r="AB35" s="296">
        <f>Y35*V35/U35/AA35</f>
        <v>0.3</v>
      </c>
      <c r="AC35" s="207">
        <v>1</v>
      </c>
    </row>
    <row r="36" spans="1:31" s="146" customFormat="1" ht="13.5" thickBot="1">
      <c r="A36" s="188" t="s">
        <v>424</v>
      </c>
      <c r="B36" s="263">
        <v>7</v>
      </c>
      <c r="C36" s="292" t="s">
        <v>559</v>
      </c>
      <c r="D36" s="177"/>
      <c r="E36" s="176"/>
      <c r="F36" s="161"/>
      <c r="G36" s="160"/>
      <c r="H36" s="148"/>
      <c r="N36" s="307" t="s">
        <v>421</v>
      </c>
      <c r="T36" s="203" t="s">
        <v>458</v>
      </c>
      <c r="U36" s="297"/>
      <c r="V36" s="297"/>
      <c r="W36" s="297"/>
      <c r="X36" s="184"/>
      <c r="Y36" s="184"/>
      <c r="Z36" s="184"/>
      <c r="AA36" s="184"/>
      <c r="AB36" s="294">
        <f>SUM(AB34:AB35)</f>
        <v>1.3</v>
      </c>
      <c r="AC36" s="201"/>
      <c r="AE36" s="225" t="s">
        <v>584</v>
      </c>
    </row>
    <row r="37" spans="1:31" s="146" customFormat="1" ht="13.5" thickBot="1">
      <c r="A37" s="203" t="s">
        <v>556</v>
      </c>
      <c r="B37" s="184">
        <v>30</v>
      </c>
      <c r="C37" s="313" t="s">
        <v>402</v>
      </c>
      <c r="D37" s="177"/>
      <c r="E37" s="176"/>
      <c r="F37" s="161"/>
      <c r="G37" s="160"/>
      <c r="H37" s="148"/>
      <c r="N37" s="306" t="s">
        <v>635</v>
      </c>
      <c r="AE37" s="225" t="s">
        <v>582</v>
      </c>
    </row>
    <row r="38" spans="1:31" s="146" customFormat="1" ht="13.5" thickBot="1">
      <c r="A38" s="177"/>
      <c r="B38" s="177"/>
      <c r="C38" s="177"/>
      <c r="D38" s="177"/>
      <c r="E38" s="176"/>
      <c r="F38" s="161"/>
      <c r="G38" s="160"/>
      <c r="H38" s="148"/>
      <c r="N38" s="306" t="s">
        <v>634</v>
      </c>
      <c r="T38" s="302" t="s">
        <v>460</v>
      </c>
      <c r="U38" s="212" t="s">
        <v>581</v>
      </c>
      <c r="V38" s="212" t="s">
        <v>491</v>
      </c>
      <c r="W38" s="212" t="s">
        <v>633</v>
      </c>
      <c r="X38" s="212" t="s">
        <v>571</v>
      </c>
      <c r="Y38" s="212" t="s">
        <v>570</v>
      </c>
      <c r="Z38" s="212" t="s">
        <v>569</v>
      </c>
      <c r="AA38" s="212" t="s">
        <v>568</v>
      </c>
      <c r="AB38" s="212" t="s">
        <v>632</v>
      </c>
      <c r="AC38" s="204" t="s">
        <v>487</v>
      </c>
    </row>
    <row r="39" spans="1:31" s="146" customFormat="1" ht="13.5" thickBot="1">
      <c r="A39" s="177"/>
      <c r="B39" s="177"/>
      <c r="C39" s="177"/>
      <c r="D39" s="177"/>
      <c r="E39" s="176"/>
      <c r="F39" s="148"/>
      <c r="G39" s="160"/>
      <c r="H39" s="148"/>
      <c r="I39" s="305" t="s">
        <v>577</v>
      </c>
      <c r="J39" s="224"/>
      <c r="K39" s="223"/>
      <c r="N39" s="146" t="s">
        <v>20</v>
      </c>
      <c r="T39" s="222" t="s">
        <v>94</v>
      </c>
      <c r="U39" s="304">
        <f>VLOOKUP(T39,KBOB_Baustoffe_2012,2,FALSE)</f>
        <v>1200</v>
      </c>
      <c r="V39" s="303">
        <f>VLOOKUP(T39,KBOB_Baustoffe_2012,10,FALSE)</f>
        <v>1.64954177885831</v>
      </c>
      <c r="W39" s="297" t="str">
        <f>"MJ/"&amp;VLOOKUP(T39,KBOB_Baustoffe_2012,3,FALSE)</f>
        <v>MJ/kg</v>
      </c>
      <c r="X39" s="184">
        <v>0.01</v>
      </c>
      <c r="Y39" s="229">
        <f>U39*X39</f>
        <v>12</v>
      </c>
      <c r="Z39" s="184" t="s">
        <v>564</v>
      </c>
      <c r="AA39" s="184">
        <v>30</v>
      </c>
      <c r="AB39" s="294">
        <f>Y39*V39/AA39</f>
        <v>0.65981671154332389</v>
      </c>
      <c r="AC39" s="201">
        <v>1</v>
      </c>
    </row>
    <row r="40" spans="1:31" s="146" customFormat="1" ht="13.5" thickBot="1">
      <c r="A40" s="181"/>
      <c r="B40" s="181"/>
      <c r="C40" s="181"/>
      <c r="D40" s="181"/>
      <c r="E40" s="180"/>
      <c r="F40" s="179"/>
      <c r="G40" s="160"/>
      <c r="H40" s="148"/>
      <c r="I40" s="188" t="s">
        <v>576</v>
      </c>
      <c r="J40" s="187">
        <v>0.15</v>
      </c>
      <c r="K40" s="186" t="s">
        <v>404</v>
      </c>
    </row>
    <row r="41" spans="1:31" s="146" customFormat="1" ht="13.5" thickBot="1">
      <c r="A41" s="290" t="s">
        <v>624</v>
      </c>
      <c r="B41" s="291" t="s">
        <v>525</v>
      </c>
      <c r="C41" s="290"/>
      <c r="D41" s="290" t="s">
        <v>505</v>
      </c>
      <c r="E41" s="169"/>
      <c r="F41" s="169"/>
      <c r="G41" s="160"/>
      <c r="H41" s="148"/>
      <c r="I41" s="188" t="s">
        <v>575</v>
      </c>
      <c r="J41" s="187">
        <v>0.9</v>
      </c>
      <c r="K41" s="186" t="s">
        <v>404</v>
      </c>
      <c r="T41" s="302" t="s">
        <v>574</v>
      </c>
      <c r="U41" s="212" t="s">
        <v>581</v>
      </c>
      <c r="V41" s="212" t="s">
        <v>491</v>
      </c>
      <c r="W41" s="212" t="s">
        <v>633</v>
      </c>
      <c r="X41" s="212" t="s">
        <v>571</v>
      </c>
      <c r="Y41" s="212" t="s">
        <v>570</v>
      </c>
      <c r="Z41" s="212" t="s">
        <v>569</v>
      </c>
      <c r="AA41" s="212" t="s">
        <v>568</v>
      </c>
      <c r="AB41" s="212" t="s">
        <v>632</v>
      </c>
      <c r="AC41" s="204" t="s">
        <v>487</v>
      </c>
    </row>
    <row r="42" spans="1:31" s="146" customFormat="1" ht="26.25" thickBot="1">
      <c r="E42" s="170"/>
      <c r="F42" s="161"/>
      <c r="G42" s="160"/>
      <c r="H42" s="148"/>
      <c r="I42" s="188" t="s">
        <v>566</v>
      </c>
      <c r="J42" s="187">
        <v>2.0499999999999998</v>
      </c>
      <c r="K42" s="186" t="s">
        <v>404</v>
      </c>
      <c r="M42" s="1119" t="s">
        <v>565</v>
      </c>
      <c r="N42" s="1120"/>
      <c r="O42" s="212" t="s">
        <v>381</v>
      </c>
      <c r="P42" s="1109" t="s">
        <v>425</v>
      </c>
      <c r="Q42" s="1109"/>
      <c r="R42" s="211"/>
      <c r="T42" s="210" t="s">
        <v>338</v>
      </c>
      <c r="U42" s="300">
        <f>VLOOKUP(T42,KBOB_Baustoffe_2012,2,FALSE)</f>
        <v>0.3</v>
      </c>
      <c r="V42" s="301">
        <f>VLOOKUP(T42,KBOB_Baustoffe_2012,10,FALSE)</f>
        <v>15</v>
      </c>
      <c r="W42" s="300" t="str">
        <f>"MJ/"&amp;VLOOKUP(T42,KBOB_Baustoffe_2012,3,FALSE)</f>
        <v>MJ/m2</v>
      </c>
      <c r="X42" s="187"/>
      <c r="Y42" s="208">
        <v>0.3</v>
      </c>
      <c r="Z42" s="187" t="s">
        <v>564</v>
      </c>
      <c r="AA42" s="187">
        <v>30</v>
      </c>
      <c r="AB42" s="296">
        <f>Y42*V42/U42/AA42</f>
        <v>0.5</v>
      </c>
      <c r="AC42" s="207">
        <v>1</v>
      </c>
    </row>
    <row r="43" spans="1:31" s="146" customFormat="1" ht="13.5" thickBot="1">
      <c r="A43" s="273" t="s">
        <v>601</v>
      </c>
      <c r="B43" s="212"/>
      <c r="C43" s="204"/>
      <c r="D43" s="148"/>
      <c r="E43" s="148"/>
      <c r="F43" s="161"/>
      <c r="G43" s="160"/>
      <c r="H43" s="148"/>
      <c r="I43" s="188" t="s">
        <v>562</v>
      </c>
      <c r="J43" s="187">
        <v>5.0199999999999996</v>
      </c>
      <c r="K43" s="186" t="s">
        <v>404</v>
      </c>
      <c r="M43" s="1110" t="s">
        <v>452</v>
      </c>
      <c r="N43" s="1111"/>
      <c r="O43" s="296">
        <f>Konstruktionen!F179</f>
        <v>0.878</v>
      </c>
      <c r="P43" s="1121">
        <f>Konstruktionen!B179</f>
        <v>0.52680000000000005</v>
      </c>
      <c r="Q43" s="1121"/>
      <c r="R43" s="298" t="s">
        <v>444</v>
      </c>
      <c r="T43" s="203" t="s">
        <v>458</v>
      </c>
      <c r="U43" s="297"/>
      <c r="V43" s="297"/>
      <c r="W43" s="297"/>
      <c r="X43" s="184"/>
      <c r="Y43" s="184"/>
      <c r="Z43" s="184"/>
      <c r="AA43" s="184"/>
      <c r="AB43" s="294">
        <f>SUM(AB42:AB42)</f>
        <v>0.5</v>
      </c>
      <c r="AC43" s="201"/>
    </row>
    <row r="44" spans="1:31" s="146" customFormat="1" ht="13.5" customHeight="1">
      <c r="A44" s="191" t="str">
        <f>Konstruktionen!$G$128</f>
        <v>Leichtbauständerkonstruktion, Doppelbeplankung</v>
      </c>
      <c r="B44" s="271">
        <f>Konstruktionen!AO128</f>
        <v>1.0441808122401195</v>
      </c>
      <c r="C44" s="262" t="s">
        <v>628</v>
      </c>
      <c r="D44" s="148"/>
      <c r="E44" s="148"/>
      <c r="F44" s="161"/>
      <c r="G44" s="160"/>
      <c r="H44" s="148"/>
      <c r="I44" s="188" t="s">
        <v>560</v>
      </c>
      <c r="J44" s="187">
        <v>5.04</v>
      </c>
      <c r="K44" s="186" t="s">
        <v>404</v>
      </c>
      <c r="M44" s="200" t="s">
        <v>451</v>
      </c>
      <c r="N44" s="199"/>
      <c r="O44" s="296">
        <f>Konstruktionen!F181</f>
        <v>3.9983</v>
      </c>
      <c r="P44" s="1122">
        <f>Konstruktionen!B181</f>
        <v>3.2262999999999997</v>
      </c>
      <c r="Q44" s="1122"/>
      <c r="R44" s="295" t="s">
        <v>444</v>
      </c>
    </row>
    <row r="45" spans="1:31" s="146" customFormat="1" ht="15" thickBot="1">
      <c r="A45" s="191" t="str">
        <f>Konstruktionen!$G$129</f>
        <v>Holzständerkonstruktion, gedämmt</v>
      </c>
      <c r="B45" s="271">
        <f>Konstruktionen!AO129</f>
        <v>0.51636480746326074</v>
      </c>
      <c r="C45" s="262" t="s">
        <v>628</v>
      </c>
      <c r="D45" s="148"/>
      <c r="E45" s="148"/>
      <c r="F45" s="161"/>
      <c r="G45" s="160"/>
      <c r="H45" s="148"/>
      <c r="I45" s="188" t="s">
        <v>558</v>
      </c>
      <c r="J45" s="187">
        <v>1.2</v>
      </c>
      <c r="K45" s="186" t="s">
        <v>404</v>
      </c>
      <c r="M45" s="195" t="s">
        <v>450</v>
      </c>
      <c r="N45" s="194"/>
      <c r="O45" s="294">
        <f>Konstruktionen!F180</f>
        <v>6.8559999999999999</v>
      </c>
      <c r="P45" s="1123">
        <f>Konstruktionen!B180</f>
        <v>4.1135999999999999</v>
      </c>
      <c r="Q45" s="1123"/>
      <c r="R45" s="293" t="s">
        <v>444</v>
      </c>
      <c r="T45" s="182"/>
      <c r="U45" s="182" t="s">
        <v>557</v>
      </c>
      <c r="V45" s="182"/>
      <c r="AA45" s="156"/>
    </row>
    <row r="46" spans="1:31" s="146" customFormat="1" ht="15" thickBot="1">
      <c r="A46" s="203" t="str">
        <f>Konstruktionen!$G$130</f>
        <v>Backstein Mauerwerk, verputzt</v>
      </c>
      <c r="B46" s="609">
        <f>Konstruktionen!AO130</f>
        <v>1.191808600266667</v>
      </c>
      <c r="C46" s="610" t="s">
        <v>628</v>
      </c>
      <c r="D46" s="148"/>
      <c r="E46" s="148"/>
      <c r="F46" s="161"/>
      <c r="G46" s="160"/>
      <c r="H46" s="148"/>
      <c r="I46" s="188" t="s">
        <v>555</v>
      </c>
      <c r="J46" s="187">
        <v>0.15</v>
      </c>
      <c r="K46" s="186" t="s">
        <v>404</v>
      </c>
      <c r="T46" s="182" t="s">
        <v>554</v>
      </c>
      <c r="U46" s="182">
        <v>13.85</v>
      </c>
      <c r="V46" s="182"/>
      <c r="W46" s="146" t="s">
        <v>553</v>
      </c>
    </row>
    <row r="47" spans="1:31" s="146" customFormat="1" ht="13.5" thickBot="1">
      <c r="A47" s="148"/>
      <c r="B47" s="148"/>
      <c r="C47" s="148"/>
      <c r="D47" s="148"/>
      <c r="E47" s="148"/>
      <c r="F47" s="161"/>
      <c r="G47" s="160"/>
      <c r="H47" s="148"/>
      <c r="I47" s="185" t="s">
        <v>552</v>
      </c>
      <c r="J47" s="184">
        <v>1.845</v>
      </c>
      <c r="K47" s="183" t="s">
        <v>498</v>
      </c>
      <c r="T47" s="182" t="s">
        <v>430</v>
      </c>
      <c r="U47" s="182">
        <v>11.17</v>
      </c>
      <c r="V47" s="182"/>
    </row>
    <row r="48" spans="1:31" s="146" customFormat="1" ht="22.5" customHeight="1" thickBot="1">
      <c r="E48" s="148"/>
      <c r="F48" s="161"/>
      <c r="G48" s="160"/>
      <c r="H48" s="148"/>
      <c r="T48" s="182" t="s">
        <v>431</v>
      </c>
      <c r="U48" s="182">
        <v>55.19</v>
      </c>
      <c r="V48" s="182"/>
    </row>
    <row r="49" spans="1:31" s="178" customFormat="1" ht="11.25" customHeight="1">
      <c r="A49" s="273" t="s">
        <v>434</v>
      </c>
      <c r="B49" s="257" t="s">
        <v>619</v>
      </c>
      <c r="C49" s="146"/>
      <c r="D49" s="288" t="s">
        <v>416</v>
      </c>
      <c r="E49" s="259" t="s">
        <v>631</v>
      </c>
      <c r="F49" s="161"/>
      <c r="G49" s="179"/>
      <c r="H49" s="179"/>
      <c r="I49" s="179"/>
      <c r="J49" s="179"/>
      <c r="K49" s="179"/>
    </row>
    <row r="50" spans="1:31" s="289" customFormat="1" ht="13.5" thickBot="1">
      <c r="A50" s="203" t="s">
        <v>433</v>
      </c>
      <c r="B50" s="241">
        <v>0.4</v>
      </c>
      <c r="C50" s="146"/>
      <c r="D50" s="185" t="s">
        <v>514</v>
      </c>
      <c r="E50" s="287">
        <f>Konstruktionen!AO141</f>
        <v>5.4315142999999996E-2</v>
      </c>
      <c r="F50" s="170"/>
      <c r="I50" s="169"/>
      <c r="J50" s="169"/>
      <c r="K50" s="290" t="s">
        <v>504</v>
      </c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</row>
    <row r="51" spans="1:31" s="146" customFormat="1" ht="13.5" thickBot="1">
      <c r="F51" s="161"/>
      <c r="G51" s="160"/>
      <c r="H51" s="148"/>
      <c r="I51" s="148"/>
    </row>
    <row r="52" spans="1:31" s="146" customFormat="1" ht="14.25">
      <c r="A52" s="148"/>
      <c r="B52" s="148"/>
      <c r="D52" s="273" t="s">
        <v>614</v>
      </c>
      <c r="E52" s="286" t="s">
        <v>628</v>
      </c>
      <c r="F52" s="161"/>
      <c r="G52" s="160"/>
      <c r="H52" s="148"/>
      <c r="I52" s="148"/>
    </row>
    <row r="53" spans="1:31" s="146" customFormat="1" ht="13.5" thickBot="1">
      <c r="D53" s="188" t="s">
        <v>612</v>
      </c>
      <c r="E53" s="831">
        <f>Konstruktionen!AO145</f>
        <v>3.1892116852792944</v>
      </c>
      <c r="G53" s="147"/>
      <c r="H53" s="148"/>
      <c r="I53" s="148"/>
    </row>
    <row r="54" spans="1:31" s="146" customFormat="1" ht="13.5" thickBot="1">
      <c r="A54" s="285" t="s">
        <v>611</v>
      </c>
      <c r="B54" s="223" t="s">
        <v>610</v>
      </c>
      <c r="D54" s="185" t="s">
        <v>609</v>
      </c>
      <c r="E54" s="287">
        <f>Konstruktionen!AO146</f>
        <v>2.4860441362597157</v>
      </c>
      <c r="G54" s="147"/>
      <c r="H54" s="148"/>
      <c r="I54" s="148"/>
    </row>
    <row r="55" spans="1:31" s="146" customFormat="1" ht="13.5" thickBot="1">
      <c r="A55" s="252" t="s">
        <v>608</v>
      </c>
      <c r="B55" s="284">
        <v>6</v>
      </c>
      <c r="G55" s="147"/>
      <c r="H55" s="148"/>
      <c r="I55" s="148"/>
    </row>
    <row r="56" spans="1:31" s="146" customFormat="1" ht="13.5" thickBot="1">
      <c r="E56" s="148"/>
      <c r="F56" s="148"/>
      <c r="G56" s="160"/>
      <c r="H56" s="148"/>
      <c r="I56" s="148"/>
    </row>
    <row r="57" spans="1:31" s="146" customFormat="1" ht="15.75" customHeight="1">
      <c r="A57" s="273" t="s">
        <v>428</v>
      </c>
      <c r="B57" s="212" t="s">
        <v>429</v>
      </c>
      <c r="C57" s="212" t="s">
        <v>606</v>
      </c>
      <c r="D57" s="212" t="s">
        <v>605</v>
      </c>
      <c r="E57" s="204"/>
      <c r="F57" s="148"/>
      <c r="G57" s="160"/>
      <c r="H57" s="148"/>
      <c r="I57" s="1124" t="s">
        <v>623</v>
      </c>
      <c r="J57" s="1101" t="s">
        <v>503</v>
      </c>
      <c r="K57" s="1101"/>
      <c r="L57" s="1101"/>
      <c r="M57" s="1101"/>
      <c r="N57" s="1101"/>
      <c r="O57" s="1101"/>
      <c r="P57" s="1101"/>
      <c r="Q57" s="1101" t="s">
        <v>461</v>
      </c>
      <c r="R57" s="1102"/>
      <c r="T57" s="282" t="s">
        <v>496</v>
      </c>
      <c r="U57" s="224" t="s">
        <v>581</v>
      </c>
      <c r="V57" s="224" t="s">
        <v>525</v>
      </c>
      <c r="W57" s="224" t="s">
        <v>626</v>
      </c>
      <c r="X57" s="224" t="s">
        <v>571</v>
      </c>
      <c r="Y57" s="224" t="s">
        <v>570</v>
      </c>
      <c r="Z57" s="224" t="s">
        <v>569</v>
      </c>
      <c r="AA57" s="224" t="s">
        <v>568</v>
      </c>
      <c r="AB57" s="224" t="s">
        <v>625</v>
      </c>
      <c r="AC57" s="223" t="s">
        <v>487</v>
      </c>
    </row>
    <row r="58" spans="1:31" s="146" customFormat="1" ht="13.5" customHeight="1" thickBot="1">
      <c r="A58" s="252">
        <v>0.22</v>
      </c>
      <c r="B58" s="621">
        <f>Konstruktionen!AO135</f>
        <v>2.7555029301839427</v>
      </c>
      <c r="C58" s="622">
        <f>Konstruktionen!AO136</f>
        <v>1.3939458480356901</v>
      </c>
      <c r="D58" s="621">
        <f>Konstruktionen!AO137</f>
        <v>1.5094833343033944</v>
      </c>
      <c r="E58" s="623" t="s">
        <v>628</v>
      </c>
      <c r="F58" s="148"/>
      <c r="G58" s="160"/>
      <c r="H58" s="148"/>
      <c r="I58" s="1125"/>
      <c r="J58" s="1103" t="s">
        <v>496</v>
      </c>
      <c r="K58" s="1103" t="s">
        <v>494</v>
      </c>
      <c r="L58" s="1103" t="s">
        <v>489</v>
      </c>
      <c r="M58" s="1103" t="s">
        <v>482</v>
      </c>
      <c r="N58" s="1103" t="s">
        <v>472</v>
      </c>
      <c r="O58" s="1103" t="s">
        <v>466</v>
      </c>
      <c r="P58" s="1103" t="s">
        <v>464</v>
      </c>
      <c r="Q58" s="1103" t="s">
        <v>460</v>
      </c>
      <c r="R58" s="1106" t="s">
        <v>459</v>
      </c>
      <c r="T58" s="236" t="s">
        <v>322</v>
      </c>
      <c r="U58" s="281" t="str">
        <f>VLOOKUP(T58,KBOB_Baustoffe_2012,2,FALSE)</f>
        <v>-</v>
      </c>
      <c r="V58" s="271">
        <f>VLOOKUP(T58,KBOB_Baustoffe_2012,13,FALSE)</f>
        <v>44.155500000000004</v>
      </c>
      <c r="W58" s="270" t="str">
        <f>"kg/"&amp;VLOOKUP(T58,KBOB_Baustoffe_2012,3,FALSE)</f>
        <v>kg/m2</v>
      </c>
      <c r="X58" s="187"/>
      <c r="Y58" s="208">
        <f>K_Rahmenhöhe*K_Rahmenbreite/K_Fläche_Tür</f>
        <v>1</v>
      </c>
      <c r="Z58" s="187" t="s">
        <v>621</v>
      </c>
      <c r="AA58" s="187">
        <v>30</v>
      </c>
      <c r="AB58" s="268">
        <f>Y58*V58/AA58</f>
        <v>1.4718500000000001</v>
      </c>
      <c r="AC58" s="207">
        <v>1</v>
      </c>
      <c r="AE58" s="225" t="s">
        <v>620</v>
      </c>
    </row>
    <row r="59" spans="1:31" s="146" customFormat="1" ht="13.5" thickBot="1">
      <c r="A59" s="148"/>
      <c r="B59" s="177"/>
      <c r="C59" s="177"/>
      <c r="D59" s="177"/>
      <c r="F59" s="148"/>
      <c r="G59" s="160"/>
      <c r="H59" s="148"/>
      <c r="I59" s="1125"/>
      <c r="J59" s="1103"/>
      <c r="K59" s="1103"/>
      <c r="L59" s="1103"/>
      <c r="M59" s="1103"/>
      <c r="N59" s="1103"/>
      <c r="O59" s="1103"/>
      <c r="P59" s="1103"/>
      <c r="Q59" s="1103"/>
      <c r="R59" s="1106"/>
      <c r="T59" s="236" t="s">
        <v>94</v>
      </c>
      <c r="U59" s="281">
        <f>VLOOKUP(T59,KBOB_Baustoffe_2012,2,FALSE)</f>
        <v>1200</v>
      </c>
      <c r="V59" s="271">
        <f>VLOOKUP(T59,KBOB_Baustoffe_2012,13,FALSE)</f>
        <v>8.5435403999999993E-2</v>
      </c>
      <c r="W59" s="270" t="str">
        <f>"kg/"&amp;VLOOKUP(T59,KBOB_Baustoffe_2012,3,FALSE)</f>
        <v>kg/kg</v>
      </c>
      <c r="X59" s="187">
        <v>0.01</v>
      </c>
      <c r="Y59" s="208">
        <f>X59*K_Türumfang1*K_Rahmentiefe*U59/K_Fläche_Tür</f>
        <v>4.8975609756097551</v>
      </c>
      <c r="Z59" s="187" t="s">
        <v>613</v>
      </c>
      <c r="AA59" s="187">
        <v>30</v>
      </c>
      <c r="AB59" s="268">
        <f>Y59*V59/AA59</f>
        <v>1.3947503352195117E-2</v>
      </c>
      <c r="AC59" s="207">
        <v>1</v>
      </c>
      <c r="AE59" s="225" t="s">
        <v>617</v>
      </c>
    </row>
    <row r="60" spans="1:31" s="146" customFormat="1">
      <c r="A60" s="273" t="s">
        <v>594</v>
      </c>
      <c r="B60" s="212" t="s">
        <v>426</v>
      </c>
      <c r="C60" s="233" t="s">
        <v>592</v>
      </c>
      <c r="E60" s="176"/>
      <c r="F60" s="148"/>
      <c r="G60" s="160"/>
      <c r="H60" s="148"/>
      <c r="I60" s="1125"/>
      <c r="J60" s="1103"/>
      <c r="K60" s="1103"/>
      <c r="L60" s="1103"/>
      <c r="M60" s="1103"/>
      <c r="N60" s="1103"/>
      <c r="O60" s="1103"/>
      <c r="P60" s="1103"/>
      <c r="Q60" s="1103"/>
      <c r="R60" s="1106"/>
      <c r="T60" s="236" t="s">
        <v>108</v>
      </c>
      <c r="U60" s="281">
        <f>VLOOKUP(T60,KBOB_Baustoffe_2012,2,FALSE)</f>
        <v>1500</v>
      </c>
      <c r="V60" s="271">
        <f>VLOOKUP(T60,KBOB_Baustoffe_2012,13,FALSE)</f>
        <v>0.20031194559999999</v>
      </c>
      <c r="W60" s="270" t="str">
        <f>"kg/"&amp;VLOOKUP(T60,KBOB_Baustoffe_2012,3,FALSE)</f>
        <v>kg/kg</v>
      </c>
      <c r="X60" s="187">
        <v>0.02</v>
      </c>
      <c r="Y60" s="208">
        <f>X60*K_Türumfang2*K_Rahmentiefe*U60/K_Fläche_Tür</f>
        <v>12.292682926829269</v>
      </c>
      <c r="Z60" s="187" t="s">
        <v>613</v>
      </c>
      <c r="AA60" s="187">
        <v>30</v>
      </c>
      <c r="AB60" s="268">
        <f>Y60*V60/AA60</f>
        <v>8.2079041123902435E-2</v>
      </c>
      <c r="AC60" s="207">
        <v>1</v>
      </c>
      <c r="AE60" s="225" t="s">
        <v>616</v>
      </c>
    </row>
    <row r="61" spans="1:31" s="146" customFormat="1">
      <c r="A61" s="191" t="s">
        <v>455</v>
      </c>
      <c r="B61" s="268">
        <f>VLOOKUP("Lüftungsanlage Wohnen, Blechkanäle, inkl. Küchenabluft",KBOB_Gebäudetechnik_2012,13,FALSE)</f>
        <v>13.267291380408336</v>
      </c>
      <c r="C61" s="276" t="s">
        <v>629</v>
      </c>
      <c r="F61" s="148"/>
      <c r="G61" s="160"/>
      <c r="H61" s="148"/>
      <c r="I61" s="1125"/>
      <c r="J61" s="1103"/>
      <c r="K61" s="1103"/>
      <c r="L61" s="1103"/>
      <c r="M61" s="1103"/>
      <c r="N61" s="1103"/>
      <c r="O61" s="1103"/>
      <c r="P61" s="1103"/>
      <c r="Q61" s="1103"/>
      <c r="R61" s="1106"/>
      <c r="T61" s="236" t="s">
        <v>37</v>
      </c>
      <c r="U61" s="281">
        <f>VLOOKUP(T61,KBOB_Baustoffe_2012,2,FALSE)</f>
        <v>2400</v>
      </c>
      <c r="V61" s="271">
        <f>VLOOKUP(T61,KBOB_Baustoffe_2012,13,FALSE)</f>
        <v>0.12040770078386555</v>
      </c>
      <c r="W61" s="270" t="str">
        <f>"kg/"&amp;VLOOKUP(T61,KBOB_Baustoffe_2012,3,FALSE)</f>
        <v>kg/kg</v>
      </c>
      <c r="X61" s="187">
        <v>0.25</v>
      </c>
      <c r="Y61" s="208">
        <f>K_Tiefe_Sturz*X61*K_Länge_Sturz*U61/K_Fläche_Tür</f>
        <v>58.536585365853661</v>
      </c>
      <c r="Z61" s="187" t="s">
        <v>613</v>
      </c>
      <c r="AA61" s="187">
        <v>30</v>
      </c>
      <c r="AB61" s="268">
        <f>Y61*V61/AA61</f>
        <v>0.23494185518803035</v>
      </c>
      <c r="AC61" s="207">
        <v>1</v>
      </c>
      <c r="AE61" s="225" t="s">
        <v>615</v>
      </c>
    </row>
    <row r="62" spans="1:31" s="146" customFormat="1">
      <c r="A62" s="191" t="s">
        <v>422</v>
      </c>
      <c r="B62" s="268">
        <f>VLOOKUP("Wohnen, inkl. Apparate und Leitungen",KBOB_Gebäudetechnik_2012,13,FALSE)</f>
        <v>8.91</v>
      </c>
      <c r="C62" s="276" t="s">
        <v>629</v>
      </c>
      <c r="F62" s="148"/>
      <c r="G62" s="160"/>
      <c r="H62" s="148"/>
      <c r="I62" s="1125"/>
      <c r="J62" s="1103"/>
      <c r="K62" s="1103"/>
      <c r="L62" s="1103"/>
      <c r="M62" s="1103"/>
      <c r="N62" s="1103"/>
      <c r="O62" s="1103"/>
      <c r="P62" s="1103"/>
      <c r="Q62" s="1103"/>
      <c r="R62" s="1106"/>
      <c r="T62" s="236" t="s">
        <v>137</v>
      </c>
      <c r="U62" s="281">
        <f>VLOOKUP(T62,KBOB_Baustoffe_2012,2,FALSE)*105/VLOOKUP(T12,KBOB_Baustoffe_2012,2,FALSE)</f>
        <v>105</v>
      </c>
      <c r="V62" s="271">
        <f>VLOOKUP(T62,KBOB_Baustoffe_2012,13,FALSE)</f>
        <v>0.70537000000000005</v>
      </c>
      <c r="W62" s="270" t="str">
        <f>"kg/"&amp;VLOOKUP(T62,KBOB_Baustoffe_2012,3,FALSE)</f>
        <v>kg/kg</v>
      </c>
      <c r="X62" s="187">
        <v>0.25</v>
      </c>
      <c r="Y62" s="208">
        <f>K_Tiefe_Sturz*X62*K_Länge_Sturz*U62/K_Fläche_Tür</f>
        <v>2.5609756097560976</v>
      </c>
      <c r="Z62" s="187" t="s">
        <v>613</v>
      </c>
      <c r="AA62" s="187">
        <v>30</v>
      </c>
      <c r="AB62" s="268">
        <f>Y62*V62/AA62</f>
        <v>6.0214512195121958E-2</v>
      </c>
      <c r="AC62" s="207">
        <v>1</v>
      </c>
    </row>
    <row r="63" spans="1:31" s="146" customFormat="1" ht="13.5" thickBot="1">
      <c r="A63" s="191" t="s">
        <v>421</v>
      </c>
      <c r="B63" s="268">
        <f>VLOOKUP("Elektroanlagen Wohnen",KBOB_Gebäudetechnik_2012,13,FALSE)</f>
        <v>12.7</v>
      </c>
      <c r="C63" s="276" t="s">
        <v>629</v>
      </c>
      <c r="F63" s="148"/>
      <c r="G63" s="160"/>
      <c r="H63" s="148"/>
      <c r="I63" s="1125"/>
      <c r="J63" s="1103"/>
      <c r="K63" s="1103"/>
      <c r="L63" s="1103"/>
      <c r="M63" s="1103"/>
      <c r="N63" s="1103"/>
      <c r="O63" s="1103"/>
      <c r="P63" s="1103"/>
      <c r="Q63" s="1103"/>
      <c r="R63" s="1106"/>
      <c r="T63" s="185"/>
      <c r="U63" s="266"/>
      <c r="V63" s="266"/>
      <c r="W63" s="266"/>
      <c r="X63" s="184"/>
      <c r="Y63" s="184"/>
      <c r="Z63" s="184"/>
      <c r="AA63" s="184"/>
      <c r="AB63" s="265">
        <f>SUM(AB58:AB62)</f>
        <v>1.8630329118592501</v>
      </c>
      <c r="AC63" s="201">
        <v>1</v>
      </c>
    </row>
    <row r="64" spans="1:31" s="146" customFormat="1" ht="13.5" thickBot="1">
      <c r="A64" s="191" t="s">
        <v>448</v>
      </c>
      <c r="B64" s="268">
        <f>VLOOKUP("Solarstromanlage",KBOB_Gebäudetechnik_2012,13,FALSE)/B77/B78</f>
        <v>9.6666666666666661</v>
      </c>
      <c r="C64" s="276" t="s">
        <v>507</v>
      </c>
      <c r="F64" s="148"/>
      <c r="G64" s="160"/>
      <c r="H64" s="148"/>
      <c r="I64" s="1125"/>
      <c r="J64" s="1103"/>
      <c r="K64" s="1103"/>
      <c r="L64" s="1103"/>
      <c r="M64" s="1103"/>
      <c r="N64" s="1103"/>
      <c r="O64" s="1103"/>
      <c r="P64" s="1103"/>
      <c r="Q64" s="1103"/>
      <c r="R64" s="1106"/>
    </row>
    <row r="65" spans="1:31" s="146" customFormat="1" ht="13.5" thickBot="1">
      <c r="A65" s="203" t="s">
        <v>447</v>
      </c>
      <c r="B65" s="265">
        <f>AVERAGE(VLOOKUP("Flachkollektor für Warmwasser EFH",KBOB_Gebäudetechnik_2012,13,FALSE),VLOOKUP("Flachkollektor für Warmwasser MFH",KBOB_Gebäudetechnik_2012,13,FALSE))/B76</f>
        <v>11.438516</v>
      </c>
      <c r="C65" s="274" t="s">
        <v>507</v>
      </c>
      <c r="F65" s="148"/>
      <c r="G65" s="160"/>
      <c r="H65" s="148"/>
      <c r="I65" s="1125"/>
      <c r="J65" s="1103"/>
      <c r="K65" s="1103"/>
      <c r="L65" s="1103"/>
      <c r="M65" s="1103"/>
      <c r="N65" s="1103"/>
      <c r="O65" s="1103"/>
      <c r="P65" s="1103"/>
      <c r="Q65" s="1103"/>
      <c r="R65" s="1106"/>
      <c r="T65" s="282" t="s">
        <v>494</v>
      </c>
      <c r="U65" s="224" t="s">
        <v>581</v>
      </c>
      <c r="V65" s="224" t="s">
        <v>525</v>
      </c>
      <c r="W65" s="224" t="s">
        <v>626</v>
      </c>
      <c r="X65" s="224"/>
      <c r="Y65" s="224"/>
      <c r="Z65" s="224"/>
      <c r="AA65" s="224"/>
      <c r="AB65" s="224"/>
      <c r="AC65" s="223" t="s">
        <v>487</v>
      </c>
    </row>
    <row r="66" spans="1:31" s="146" customFormat="1" ht="13.5" thickBot="1">
      <c r="A66" s="148"/>
      <c r="F66" s="148"/>
      <c r="G66" s="160"/>
      <c r="H66" s="148"/>
      <c r="I66" s="1125"/>
      <c r="J66" s="1104"/>
      <c r="K66" s="1104"/>
      <c r="L66" s="1104"/>
      <c r="M66" s="1104"/>
      <c r="N66" s="1104"/>
      <c r="O66" s="1104"/>
      <c r="P66" s="1104"/>
      <c r="Q66" s="1104"/>
      <c r="R66" s="1107"/>
      <c r="T66" s="188" t="s">
        <v>607</v>
      </c>
      <c r="U66" s="148"/>
      <c r="V66" s="148"/>
      <c r="W66" s="148"/>
      <c r="X66" s="148"/>
      <c r="Y66" s="148"/>
      <c r="Z66" s="148"/>
      <c r="AA66" s="148"/>
      <c r="AB66" s="250">
        <f>Konstruktionen!AO150</f>
        <v>0.58663763346666664</v>
      </c>
      <c r="AC66" s="249"/>
    </row>
    <row r="67" spans="1:31" s="146" customFormat="1" ht="13.5" thickBot="1">
      <c r="A67" s="273" t="s">
        <v>587</v>
      </c>
      <c r="B67" s="212" t="s">
        <v>1110</v>
      </c>
      <c r="C67" s="204"/>
      <c r="F67" s="148"/>
      <c r="G67" s="160"/>
      <c r="H67" s="148"/>
      <c r="I67" s="283" t="s">
        <v>604</v>
      </c>
      <c r="J67" s="246">
        <v>0.05</v>
      </c>
      <c r="K67" s="246">
        <v>0.05</v>
      </c>
      <c r="L67" s="246">
        <v>9.9999999999999995E-8</v>
      </c>
      <c r="M67" s="246">
        <v>9.9999999999999995E-8</v>
      </c>
      <c r="N67" s="246">
        <v>9.9999999999999995E-8</v>
      </c>
      <c r="O67" s="246">
        <v>0.05</v>
      </c>
      <c r="P67" s="246">
        <v>1</v>
      </c>
      <c r="Q67" s="246">
        <v>0.1</v>
      </c>
      <c r="R67" s="245">
        <v>1</v>
      </c>
      <c r="T67" s="185" t="s">
        <v>458</v>
      </c>
      <c r="U67" s="219"/>
      <c r="V67" s="219"/>
      <c r="W67" s="219"/>
      <c r="X67" s="219"/>
      <c r="Y67" s="219"/>
      <c r="Z67" s="219"/>
      <c r="AA67" s="219"/>
      <c r="AB67" s="248">
        <f>SUM(AB66)</f>
        <v>0.58663763346666664</v>
      </c>
      <c r="AC67" s="217"/>
    </row>
    <row r="68" spans="1:31" s="146" customFormat="1" ht="13.5" thickBot="1">
      <c r="A68" s="228" t="s">
        <v>586</v>
      </c>
      <c r="B68" s="268">
        <f>SUM(B61:B63)</f>
        <v>34.877291380408337</v>
      </c>
      <c r="C68" s="279" t="s">
        <v>627</v>
      </c>
      <c r="F68" s="148"/>
      <c r="G68" s="160"/>
      <c r="H68" s="148"/>
      <c r="I68" s="247" t="s">
        <v>435</v>
      </c>
      <c r="J68" s="246">
        <v>0.05</v>
      </c>
      <c r="K68" s="246">
        <v>0.05</v>
      </c>
      <c r="L68" s="246">
        <v>0.1</v>
      </c>
      <c r="M68" s="246">
        <v>0.05</v>
      </c>
      <c r="N68" s="246">
        <f>50%*L68</f>
        <v>0.05</v>
      </c>
      <c r="O68" s="246">
        <v>0.05</v>
      </c>
      <c r="P68" s="246">
        <v>1</v>
      </c>
      <c r="Q68" s="246">
        <v>0.1</v>
      </c>
      <c r="R68" s="245">
        <v>1</v>
      </c>
    </row>
    <row r="69" spans="1:31" s="146" customFormat="1" ht="13.5" thickBot="1">
      <c r="A69" s="203" t="s">
        <v>583</v>
      </c>
      <c r="B69" s="275">
        <f>B68/B78</f>
        <v>1.1625763793469446</v>
      </c>
      <c r="C69" s="274" t="s">
        <v>510</v>
      </c>
      <c r="F69" s="148"/>
      <c r="G69" s="160"/>
      <c r="H69" s="148"/>
      <c r="I69" s="244" t="s">
        <v>603</v>
      </c>
      <c r="J69" s="243">
        <v>0.1</v>
      </c>
      <c r="K69" s="243">
        <v>0.1</v>
      </c>
      <c r="L69" s="243">
        <v>0.27</v>
      </c>
      <c r="M69" s="243">
        <v>0.13</v>
      </c>
      <c r="N69" s="243">
        <f>50%*L69</f>
        <v>0.13500000000000001</v>
      </c>
      <c r="O69" s="243">
        <v>0.05</v>
      </c>
      <c r="P69" s="243">
        <v>1</v>
      </c>
      <c r="Q69" s="243">
        <v>0.1</v>
      </c>
      <c r="R69" s="242">
        <v>1</v>
      </c>
      <c r="T69" s="272" t="s">
        <v>489</v>
      </c>
      <c r="U69" s="212" t="s">
        <v>581</v>
      </c>
      <c r="V69" s="212" t="s">
        <v>525</v>
      </c>
      <c r="W69" s="212" t="s">
        <v>630</v>
      </c>
      <c r="X69" s="212" t="s">
        <v>571</v>
      </c>
      <c r="Y69" s="212" t="s">
        <v>570</v>
      </c>
      <c r="Z69" s="212" t="s">
        <v>569</v>
      </c>
      <c r="AA69" s="212" t="s">
        <v>568</v>
      </c>
      <c r="AB69" s="212" t="s">
        <v>625</v>
      </c>
      <c r="AC69" s="204" t="s">
        <v>487</v>
      </c>
      <c r="AE69" s="225" t="s">
        <v>602</v>
      </c>
    </row>
    <row r="70" spans="1:31" s="146" customFormat="1" ht="13.5" thickBot="1">
      <c r="F70" s="148"/>
      <c r="G70" s="160"/>
      <c r="H70" s="148"/>
      <c r="T70" s="210" t="s">
        <v>94</v>
      </c>
      <c r="U70" s="281">
        <f>VLOOKUP(T70,KBOB_Baustoffe_2012,2,FALSE)</f>
        <v>1200</v>
      </c>
      <c r="V70" s="271">
        <f>VLOOKUP(T70,KBOB_Baustoffe_2012,13,FALSE)</f>
        <v>8.5435403999999993E-2</v>
      </c>
      <c r="W70" s="270" t="str">
        <f>"kg/"&amp;VLOOKUP(T70,KBOB_Baustoffe_2012,3,FALSE)</f>
        <v>kg/kg</v>
      </c>
      <c r="X70" s="187">
        <v>0.01</v>
      </c>
      <c r="Y70" s="208">
        <f>X70*U70*2*0.15</f>
        <v>3.5999999999999996</v>
      </c>
      <c r="Z70" s="187" t="s">
        <v>564</v>
      </c>
      <c r="AA70" s="187">
        <v>30</v>
      </c>
      <c r="AB70" s="271">
        <f>Y70*V70/AA70</f>
        <v>1.0252248479999998E-2</v>
      </c>
      <c r="AC70" s="234" t="s">
        <v>598</v>
      </c>
    </row>
    <row r="71" spans="1:31" s="146" customFormat="1" ht="13.5" thickBot="1">
      <c r="A71" s="273" t="s">
        <v>565</v>
      </c>
      <c r="B71" s="212" t="s">
        <v>579</v>
      </c>
      <c r="C71" s="212" t="s">
        <v>578</v>
      </c>
      <c r="D71" s="211"/>
      <c r="E71" s="176"/>
      <c r="F71" s="148"/>
      <c r="G71" s="160"/>
      <c r="H71" s="148"/>
      <c r="T71" s="210" t="s">
        <v>108</v>
      </c>
      <c r="U71" s="281">
        <f>VLOOKUP(T71,KBOB_Baustoffe_2012,2,FALSE)</f>
        <v>1500</v>
      </c>
      <c r="V71" s="271">
        <f>VLOOKUP(T71,KBOB_Baustoffe_2012,13,FALSE)</f>
        <v>0.20031194559999999</v>
      </c>
      <c r="W71" s="270" t="str">
        <f>"kg/"&amp;VLOOKUP(T71,KBOB_Baustoffe_2012,3,FALSE)</f>
        <v>kg/kg</v>
      </c>
      <c r="X71" s="187">
        <v>0.02</v>
      </c>
      <c r="Y71" s="208">
        <f>X71*U71*2*0.15</f>
        <v>9</v>
      </c>
      <c r="Z71" s="187" t="s">
        <v>564</v>
      </c>
      <c r="AA71" s="187">
        <v>30</v>
      </c>
      <c r="AB71" s="271">
        <f>Y71*V71/AA71</f>
        <v>6.0093583679999993E-2</v>
      </c>
      <c r="AC71" s="234" t="s">
        <v>598</v>
      </c>
    </row>
    <row r="72" spans="1:31" s="146" customFormat="1" ht="13.5" thickBot="1">
      <c r="A72" s="191" t="s">
        <v>381</v>
      </c>
      <c r="B72" s="271">
        <f>Konstruktionen!G182</f>
        <v>0.67489999999999961</v>
      </c>
      <c r="C72" s="271">
        <f>Konstruktionen!G183</f>
        <v>0.2949</v>
      </c>
      <c r="D72" s="276" t="s">
        <v>507</v>
      </c>
      <c r="E72" s="176"/>
      <c r="F72" s="148"/>
      <c r="G72" s="160"/>
      <c r="H72" s="148"/>
      <c r="I72" s="273" t="s">
        <v>601</v>
      </c>
      <c r="J72" s="212" t="s">
        <v>432</v>
      </c>
      <c r="K72" s="204"/>
      <c r="T72" s="203" t="s">
        <v>458</v>
      </c>
      <c r="U72" s="266"/>
      <c r="V72" s="266"/>
      <c r="W72" s="266"/>
      <c r="X72" s="184"/>
      <c r="Y72" s="184"/>
      <c r="Z72" s="184"/>
      <c r="AA72" s="184"/>
      <c r="AB72" s="275">
        <f>SUM(AB70:AB71)</f>
        <v>7.0345832159999996E-2</v>
      </c>
      <c r="AC72" s="241" t="s">
        <v>598</v>
      </c>
    </row>
    <row r="73" spans="1:31" s="146" customFormat="1" ht="15" thickBot="1">
      <c r="A73" s="203" t="s">
        <v>425</v>
      </c>
      <c r="B73" s="275">
        <f>Konstruktionen!C182</f>
        <v>0.45489999999999958</v>
      </c>
      <c r="C73" s="275">
        <f>Konstruktionen!C183</f>
        <v>0.22689999999999999</v>
      </c>
      <c r="D73" s="274" t="s">
        <v>507</v>
      </c>
      <c r="E73" s="176"/>
      <c r="F73" s="148"/>
      <c r="G73" s="160"/>
      <c r="H73" s="148"/>
      <c r="I73" s="191" t="str">
        <f>Konstruktionen!$G$128</f>
        <v>Leichtbauständerkonstruktion, Doppelbeplankung</v>
      </c>
      <c r="J73" s="271">
        <f>B44</f>
        <v>1.0441808122401195</v>
      </c>
      <c r="K73" s="276" t="s">
        <v>628</v>
      </c>
    </row>
    <row r="74" spans="1:31" s="146" customFormat="1" ht="15" thickBot="1">
      <c r="D74" s="177"/>
      <c r="E74" s="176"/>
      <c r="F74" s="148"/>
      <c r="G74" s="160"/>
      <c r="H74" s="148"/>
      <c r="I74" s="191" t="str">
        <f>Konstruktionen!$G$129</f>
        <v>Holzständerkonstruktion, gedämmt</v>
      </c>
      <c r="J74" s="271">
        <f>B45</f>
        <v>0.51636480746326074</v>
      </c>
      <c r="K74" s="276" t="s">
        <v>628</v>
      </c>
      <c r="T74" s="282" t="s">
        <v>482</v>
      </c>
      <c r="U74" s="224" t="s">
        <v>581</v>
      </c>
      <c r="V74" s="224" t="s">
        <v>525</v>
      </c>
      <c r="W74" s="224" t="s">
        <v>626</v>
      </c>
      <c r="X74" s="224" t="s">
        <v>571</v>
      </c>
      <c r="Y74" s="224" t="s">
        <v>570</v>
      </c>
      <c r="Z74" s="224" t="s">
        <v>569</v>
      </c>
      <c r="AA74" s="224" t="s">
        <v>568</v>
      </c>
      <c r="AB74" s="224" t="s">
        <v>625</v>
      </c>
      <c r="AC74" s="223" t="s">
        <v>487</v>
      </c>
    </row>
    <row r="75" spans="1:31" s="146" customFormat="1" ht="15" thickBot="1">
      <c r="A75" s="269" t="s">
        <v>563</v>
      </c>
      <c r="B75" s="205"/>
      <c r="C75" s="204"/>
      <c r="D75" s="177"/>
      <c r="E75" s="176"/>
      <c r="F75" s="148"/>
      <c r="G75" s="160"/>
      <c r="H75" s="148"/>
      <c r="I75" s="203" t="str">
        <f>Konstruktionen!$G$130</f>
        <v>Backstein Mauerwerk, verputzt</v>
      </c>
      <c r="J75" s="609">
        <f>B46</f>
        <v>1.191808600266667</v>
      </c>
      <c r="K75" s="274" t="s">
        <v>628</v>
      </c>
      <c r="T75" s="236" t="s">
        <v>94</v>
      </c>
      <c r="U75" s="281">
        <f>VLOOKUP(T75,KBOB_Baustoffe_2012,2,FALSE)</f>
        <v>1200</v>
      </c>
      <c r="V75" s="271">
        <f>VLOOKUP(T75,KBOB_Baustoffe_2012,13,FALSE)</f>
        <v>8.5435403999999993E-2</v>
      </c>
      <c r="W75" s="270" t="str">
        <f>"kg/"&amp;VLOOKUP(T75,KBOB_Baustoffe_2012,3,FALSE)</f>
        <v>kg/kg</v>
      </c>
      <c r="X75" s="187">
        <v>0.01</v>
      </c>
      <c r="Y75" s="208">
        <f>X75*U75*2*0.15</f>
        <v>3.5999999999999996</v>
      </c>
      <c r="Z75" s="187" t="s">
        <v>564</v>
      </c>
      <c r="AA75" s="187">
        <v>30</v>
      </c>
      <c r="AB75" s="268">
        <f>Y75*V75/AA75</f>
        <v>1.0252248479999998E-2</v>
      </c>
      <c r="AC75" s="234" t="s">
        <v>598</v>
      </c>
      <c r="AE75" s="225" t="s">
        <v>600</v>
      </c>
    </row>
    <row r="76" spans="1:31" s="146" customFormat="1">
      <c r="A76" s="188" t="s">
        <v>561</v>
      </c>
      <c r="B76" s="263">
        <v>20</v>
      </c>
      <c r="C76" s="262" t="s">
        <v>402</v>
      </c>
      <c r="D76" s="177"/>
      <c r="E76" s="176"/>
      <c r="F76" s="148"/>
      <c r="G76" s="160"/>
      <c r="H76" s="148"/>
      <c r="K76" s="182"/>
      <c r="T76" s="236" t="s">
        <v>108</v>
      </c>
      <c r="U76" s="281">
        <f>VLOOKUP(T76,KBOB_Baustoffe_2012,2,FALSE)</f>
        <v>1500</v>
      </c>
      <c r="V76" s="271">
        <f>VLOOKUP(T76,KBOB_Baustoffe_2012,13,FALSE)</f>
        <v>0.20031194559999999</v>
      </c>
      <c r="W76" s="270" t="str">
        <f>"kg/"&amp;VLOOKUP(T76,KBOB_Baustoffe_2012,3,FALSE)</f>
        <v>kg/kg</v>
      </c>
      <c r="X76" s="187">
        <v>0.02</v>
      </c>
      <c r="Y76" s="208">
        <f>X76*U76*2*0.15</f>
        <v>9</v>
      </c>
      <c r="Z76" s="187" t="s">
        <v>564</v>
      </c>
      <c r="AA76" s="187">
        <v>30</v>
      </c>
      <c r="AB76" s="268">
        <f>Y76*V76/AA76</f>
        <v>6.0093583679999993E-2</v>
      </c>
      <c r="AC76" s="234" t="s">
        <v>598</v>
      </c>
      <c r="AE76" s="225" t="s">
        <v>597</v>
      </c>
    </row>
    <row r="77" spans="1:31" s="146" customFormat="1" ht="13.5" thickBot="1">
      <c r="A77" s="188" t="s">
        <v>424</v>
      </c>
      <c r="B77" s="263">
        <v>7</v>
      </c>
      <c r="C77" s="262" t="s">
        <v>559</v>
      </c>
      <c r="D77" s="177"/>
      <c r="E77" s="176"/>
      <c r="F77" s="148"/>
      <c r="G77" s="160"/>
      <c r="H77" s="148"/>
      <c r="K77" s="182"/>
      <c r="T77" s="236" t="s">
        <v>155</v>
      </c>
      <c r="U77" s="281">
        <f>VLOOKUP(T77,KBOB_Baustoffe_2012,2,FALSE)</f>
        <v>7850</v>
      </c>
      <c r="V77" s="271">
        <f>VLOOKUP(T77,KBOB_Baustoffe_2012,13,FALSE)</f>
        <v>0.92858039999999997</v>
      </c>
      <c r="W77" s="270" t="str">
        <f>"kg/"&amp;VLOOKUP(T77,KBOB_Baustoffe_2012,3,FALSE)</f>
        <v>kg/kg</v>
      </c>
      <c r="X77" s="187"/>
      <c r="Y77" s="208">
        <v>30</v>
      </c>
      <c r="Z77" s="187" t="s">
        <v>564</v>
      </c>
      <c r="AA77" s="187">
        <v>30</v>
      </c>
      <c r="AB77" s="268">
        <f>Y77*V77/AA77</f>
        <v>0.92858039999999997</v>
      </c>
      <c r="AC77" s="234" t="s">
        <v>596</v>
      </c>
      <c r="AE77" s="225" t="s">
        <v>595</v>
      </c>
    </row>
    <row r="78" spans="1:31" s="146" customFormat="1" ht="26.25" thickBot="1">
      <c r="A78" s="203" t="s">
        <v>556</v>
      </c>
      <c r="B78" s="184">
        <v>30</v>
      </c>
      <c r="C78" s="610" t="s">
        <v>402</v>
      </c>
      <c r="D78" s="177"/>
      <c r="E78" s="176"/>
      <c r="F78" s="148"/>
      <c r="G78" s="160"/>
      <c r="H78" s="148"/>
      <c r="I78" s="273" t="s">
        <v>594</v>
      </c>
      <c r="J78" s="212" t="s">
        <v>426</v>
      </c>
      <c r="K78" s="233" t="s">
        <v>592</v>
      </c>
      <c r="T78" s="232" t="s">
        <v>591</v>
      </c>
      <c r="U78" s="266"/>
      <c r="V78" s="275"/>
      <c r="W78" s="266"/>
      <c r="X78" s="184"/>
      <c r="Y78" s="184"/>
      <c r="Z78" s="184" t="s">
        <v>564</v>
      </c>
      <c r="AA78" s="184">
        <v>30</v>
      </c>
      <c r="AB78" s="280">
        <f>Konstruktionen!AO150</f>
        <v>0.58663763346666664</v>
      </c>
      <c r="AC78" s="201" t="s">
        <v>590</v>
      </c>
      <c r="AE78" s="225" t="s">
        <v>589</v>
      </c>
    </row>
    <row r="79" spans="1:31" s="146" customFormat="1" ht="13.5" thickBot="1">
      <c r="D79" s="177"/>
      <c r="E79" s="176"/>
      <c r="F79" s="148"/>
      <c r="G79" s="160"/>
      <c r="H79" s="148"/>
      <c r="I79" s="191" t="s">
        <v>455</v>
      </c>
      <c r="J79" s="268">
        <f>VLOOKUP("Lüftungsanlage Wohnen, Blechkanäle, inkl. Küchenabluft",KBOB_Gebäudetechnik_2012,13,FALSE)</f>
        <v>13.267291380408336</v>
      </c>
      <c r="K79" s="276" t="s">
        <v>629</v>
      </c>
    </row>
    <row r="80" spans="1:31" s="146" customFormat="1">
      <c r="A80" s="181"/>
      <c r="B80" s="181"/>
      <c r="C80" s="181"/>
      <c r="D80" s="181"/>
      <c r="E80" s="180"/>
      <c r="F80" s="179"/>
      <c r="G80" s="160"/>
      <c r="H80" s="148"/>
      <c r="I80" s="191" t="s">
        <v>454</v>
      </c>
      <c r="J80" s="268">
        <f>VLOOKUP("Erdregister zu Lüftungsanlage Wohnen",KBOB_Gebäudetechnik_2012,13,FALSE)</f>
        <v>4.5559843971015104</v>
      </c>
      <c r="K80" s="276" t="s">
        <v>629</v>
      </c>
      <c r="T80" s="272" t="s">
        <v>466</v>
      </c>
      <c r="U80" s="212" t="s">
        <v>581</v>
      </c>
      <c r="V80" s="212" t="s">
        <v>525</v>
      </c>
      <c r="W80" s="212" t="s">
        <v>626</v>
      </c>
      <c r="X80" s="212" t="s">
        <v>571</v>
      </c>
      <c r="Y80" s="212" t="s">
        <v>570</v>
      </c>
      <c r="Z80" s="212" t="s">
        <v>569</v>
      </c>
      <c r="AA80" s="212" t="s">
        <v>568</v>
      </c>
      <c r="AB80" s="212" t="s">
        <v>625</v>
      </c>
      <c r="AC80" s="204" t="s">
        <v>487</v>
      </c>
    </row>
    <row r="81" spans="1:31" s="146" customFormat="1" ht="13.5" thickBot="1">
      <c r="A81" s="172" t="s">
        <v>624</v>
      </c>
      <c r="B81" s="261" t="s">
        <v>8</v>
      </c>
      <c r="C81" s="172"/>
      <c r="D81" s="172" t="s">
        <v>505</v>
      </c>
      <c r="E81" s="173"/>
      <c r="F81" s="173"/>
      <c r="G81" s="160"/>
      <c r="H81" s="148"/>
      <c r="I81" s="191" t="s">
        <v>453</v>
      </c>
      <c r="J81" s="268">
        <f>VLOOKUP("Abluftanlage Küche und Bad",KBOB_Gebäudetechnik_2012,13,FALSE)</f>
        <v>3.5888926580469711</v>
      </c>
      <c r="K81" s="276" t="s">
        <v>629</v>
      </c>
      <c r="T81" s="222" t="s">
        <v>94</v>
      </c>
      <c r="U81" s="221">
        <f>VLOOKUP(T81,KBOB_Baustoffe_2012,2,FALSE)</f>
        <v>1200</v>
      </c>
      <c r="V81" s="220">
        <f>VLOOKUP(T81,KBOB_Baustoffe_2012,13,FALSE)</f>
        <v>8.5435403999999993E-2</v>
      </c>
      <c r="W81" s="219" t="str">
        <f>"kg/"&amp;VLOOKUP(T81,KBOB_Baustoffe_2012,3,FALSE)</f>
        <v>kg/kg</v>
      </c>
      <c r="X81" s="219">
        <f>2*0.01</f>
        <v>0.02</v>
      </c>
      <c r="Y81" s="220">
        <f>U81*X81</f>
        <v>24</v>
      </c>
      <c r="Z81" s="219" t="s">
        <v>564</v>
      </c>
      <c r="AA81" s="219">
        <v>30</v>
      </c>
      <c r="AB81" s="218">
        <f>Y81*V81/AA81</f>
        <v>6.8348323199999991E-2</v>
      </c>
      <c r="AC81" s="217">
        <v>1</v>
      </c>
    </row>
    <row r="82" spans="1:31" s="146" customFormat="1" ht="13.5" thickBot="1">
      <c r="F82" s="170"/>
      <c r="G82" s="160"/>
      <c r="H82" s="148"/>
      <c r="I82" s="191" t="s">
        <v>422</v>
      </c>
      <c r="J82" s="268">
        <f>VLOOKUP("Wohnen, inkl. Apparate und Leitungen",KBOB_Gebäudetechnik_2012,13,FALSE)</f>
        <v>8.91</v>
      </c>
      <c r="K82" s="276" t="s">
        <v>629</v>
      </c>
    </row>
    <row r="83" spans="1:31" s="146" customFormat="1">
      <c r="A83" s="213" t="s">
        <v>601</v>
      </c>
      <c r="B83" s="212"/>
      <c r="C83" s="204"/>
      <c r="D83" s="148"/>
      <c r="E83" s="148"/>
      <c r="F83" s="161"/>
      <c r="G83" s="160"/>
      <c r="H83" s="148"/>
      <c r="I83" s="191" t="s">
        <v>421</v>
      </c>
      <c r="J83" s="268">
        <f>VLOOKUP("Elektroanlagen Wohnen",KBOB_Gebäudetechnik_2012,13,FALSE)</f>
        <v>12.7</v>
      </c>
      <c r="K83" s="276" t="s">
        <v>629</v>
      </c>
      <c r="T83" s="272" t="s">
        <v>464</v>
      </c>
      <c r="U83" s="212" t="s">
        <v>573</v>
      </c>
      <c r="V83" s="212" t="s">
        <v>525</v>
      </c>
      <c r="W83" s="212" t="s">
        <v>626</v>
      </c>
      <c r="X83" s="212" t="s">
        <v>571</v>
      </c>
      <c r="Y83" s="212" t="s">
        <v>570</v>
      </c>
      <c r="Z83" s="212" t="s">
        <v>569</v>
      </c>
      <c r="AA83" s="212" t="s">
        <v>568</v>
      </c>
      <c r="AB83" s="212" t="s">
        <v>625</v>
      </c>
      <c r="AC83" s="204" t="s">
        <v>487</v>
      </c>
    </row>
    <row r="84" spans="1:31" s="146" customFormat="1" ht="25.5">
      <c r="A84" s="191" t="str">
        <f>Konstruktionen!$G$128</f>
        <v>Leichtbauständerkonstruktion, Doppelbeplankung</v>
      </c>
      <c r="B84" s="209">
        <f>Konstruktionen!AP128</f>
        <v>2516.1895734089167</v>
      </c>
      <c r="C84" s="189" t="s">
        <v>599</v>
      </c>
      <c r="D84" s="148"/>
      <c r="E84" s="148"/>
      <c r="F84" s="161"/>
      <c r="G84" s="160"/>
      <c r="H84" s="148"/>
      <c r="I84" s="191" t="s">
        <v>448</v>
      </c>
      <c r="J84" s="268">
        <f>VLOOKUP("Solarstromanlage",KBOB_Gebäudetechnik_2012,13,FALSE)/B77/B78</f>
        <v>9.6666666666666661</v>
      </c>
      <c r="K84" s="276" t="s">
        <v>628</v>
      </c>
      <c r="T84" s="210" t="s">
        <v>338</v>
      </c>
      <c r="U84" s="270">
        <f>VLOOKUP(T84,KBOB_Baustoffe_2012,2,FALSE)</f>
        <v>0.3</v>
      </c>
      <c r="V84" s="271">
        <f>VLOOKUP(T84,KBOB_Baustoffe_2012,13,FALSE)</f>
        <v>1.39</v>
      </c>
      <c r="W84" s="270" t="str">
        <f>"kg/"&amp;VLOOKUP(T84,KBOB_Baustoffe_2012,3,FALSE)</f>
        <v>kg/m2</v>
      </c>
      <c r="X84" s="187"/>
      <c r="Y84" s="208">
        <v>0.6</v>
      </c>
      <c r="Z84" s="187" t="s">
        <v>564</v>
      </c>
      <c r="AA84" s="187">
        <v>30</v>
      </c>
      <c r="AB84" s="268">
        <f>Y84*V84/U84/AA84</f>
        <v>9.2666666666666661E-2</v>
      </c>
      <c r="AC84" s="207">
        <v>1</v>
      </c>
    </row>
    <row r="85" spans="1:31" s="146" customFormat="1" ht="18" customHeight="1" thickBot="1">
      <c r="A85" s="191" t="str">
        <f>Konstruktionen!$G$129</f>
        <v>Holzständerkonstruktion, gedämmt</v>
      </c>
      <c r="B85" s="209">
        <f>Konstruktionen!AP129</f>
        <v>980.97053543767652</v>
      </c>
      <c r="C85" s="189" t="s">
        <v>599</v>
      </c>
      <c r="D85" s="148"/>
      <c r="E85" s="148"/>
      <c r="F85" s="161"/>
      <c r="G85" s="160"/>
      <c r="H85" s="148"/>
      <c r="I85" s="203" t="s">
        <v>447</v>
      </c>
      <c r="J85" s="265">
        <f>AVERAGE(VLOOKUP("Flachkollektor für Warmwasser EFH",KBOB_Gebäudetechnik_2012,13,FALSE),VLOOKUP("Flachkollektor für Warmwasser MFH",KBOB_Gebäudetechnik_2012,13,FALSE))/B76</f>
        <v>11.438516</v>
      </c>
      <c r="K85" s="274" t="s">
        <v>628</v>
      </c>
      <c r="T85" s="210" t="s">
        <v>338</v>
      </c>
      <c r="U85" s="270">
        <f>VLOOKUP(T85,KBOB_Baustoffe_2012,2,FALSE)</f>
        <v>0.3</v>
      </c>
      <c r="V85" s="271">
        <f>VLOOKUP(T85,KBOB_Baustoffe_2012,13,FALSE)</f>
        <v>1.39</v>
      </c>
      <c r="W85" s="270" t="str">
        <f>"kg/"&amp;VLOOKUP(T85,KBOB_Baustoffe_2012,3,FALSE)</f>
        <v>kg/m2</v>
      </c>
      <c r="X85" s="187"/>
      <c r="Y85" s="208">
        <f>0.6*0.3</f>
        <v>0.18</v>
      </c>
      <c r="Z85" s="187" t="s">
        <v>564</v>
      </c>
      <c r="AA85" s="187">
        <v>30</v>
      </c>
      <c r="AB85" s="268">
        <f>Y85*V85/U85/AA85</f>
        <v>2.7799999999999998E-2</v>
      </c>
      <c r="AC85" s="207">
        <v>1</v>
      </c>
    </row>
    <row r="86" spans="1:31" s="146" customFormat="1" ht="13.5" thickBot="1">
      <c r="A86" s="203" t="str">
        <f>Konstruktionen!$G$130</f>
        <v>Backstein Mauerwerk, verputzt</v>
      </c>
      <c r="B86" s="611">
        <f>Konstruktionen!AP130</f>
        <v>1003.1196024083334</v>
      </c>
      <c r="C86" s="612"/>
      <c r="D86" s="148"/>
      <c r="E86" s="148"/>
      <c r="F86" s="161"/>
      <c r="G86" s="160"/>
      <c r="H86" s="148"/>
      <c r="T86" s="203" t="s">
        <v>458</v>
      </c>
      <c r="U86" s="266"/>
      <c r="V86" s="266"/>
      <c r="W86" s="266"/>
      <c r="X86" s="184"/>
      <c r="Y86" s="184"/>
      <c r="Z86" s="184"/>
      <c r="AA86" s="184"/>
      <c r="AB86" s="278">
        <f>SUM(AB84:AB85)</f>
        <v>0.12046666666666667</v>
      </c>
      <c r="AC86" s="201"/>
      <c r="AE86" s="225" t="s">
        <v>584</v>
      </c>
    </row>
    <row r="87" spans="1:31" s="146" customFormat="1" ht="13.5" thickBot="1">
      <c r="A87" s="148"/>
      <c r="B87" s="148"/>
      <c r="C87" s="148"/>
      <c r="D87" s="148"/>
      <c r="E87" s="148"/>
      <c r="F87" s="161"/>
      <c r="G87" s="160"/>
      <c r="H87" s="148"/>
      <c r="AE87" s="225" t="s">
        <v>582</v>
      </c>
    </row>
    <row r="88" spans="1:31" s="146" customFormat="1" ht="13.5" thickBot="1">
      <c r="E88" s="148"/>
      <c r="F88" s="161"/>
      <c r="G88" s="160"/>
      <c r="H88" s="148"/>
      <c r="T88" s="272" t="s">
        <v>460</v>
      </c>
      <c r="U88" s="212" t="s">
        <v>581</v>
      </c>
      <c r="V88" s="212" t="s">
        <v>525</v>
      </c>
      <c r="W88" s="212" t="s">
        <v>626</v>
      </c>
      <c r="X88" s="212" t="s">
        <v>571</v>
      </c>
      <c r="Y88" s="212" t="s">
        <v>570</v>
      </c>
      <c r="Z88" s="212" t="s">
        <v>569</v>
      </c>
      <c r="AA88" s="212" t="s">
        <v>568</v>
      </c>
      <c r="AB88" s="212" t="s">
        <v>625</v>
      </c>
      <c r="AC88" s="204" t="s">
        <v>487</v>
      </c>
    </row>
    <row r="89" spans="1:31" s="146" customFormat="1" ht="16.5" thickBot="1">
      <c r="A89" s="213" t="s">
        <v>434</v>
      </c>
      <c r="B89" s="257" t="s">
        <v>619</v>
      </c>
      <c r="D89" s="260" t="s">
        <v>416</v>
      </c>
      <c r="E89" s="259" t="s">
        <v>618</v>
      </c>
      <c r="F89" s="161"/>
      <c r="G89" s="160"/>
      <c r="H89" s="148"/>
      <c r="I89" s="273" t="s">
        <v>577</v>
      </c>
      <c r="J89" s="224"/>
      <c r="K89" s="223"/>
      <c r="N89" s="146" t="s">
        <v>20</v>
      </c>
      <c r="T89" s="222" t="s">
        <v>94</v>
      </c>
      <c r="U89" s="277">
        <f>VLOOKUP(T89,KBOB_Baustoffe_2012,2,FALSE)</f>
        <v>1200</v>
      </c>
      <c r="V89" s="275">
        <f>VLOOKUP(T89,KBOB_Baustoffe_2012,13,FALSE)</f>
        <v>8.5435403999999993E-2</v>
      </c>
      <c r="W89" s="266" t="str">
        <f>"kg/"&amp;VLOOKUP(T89,KBOB_Baustoffe_2012,3,FALSE)</f>
        <v>kg/kg</v>
      </c>
      <c r="X89" s="184">
        <v>0.01</v>
      </c>
      <c r="Y89" s="229">
        <f>U89*X89</f>
        <v>12</v>
      </c>
      <c r="Z89" s="184" t="s">
        <v>564</v>
      </c>
      <c r="AA89" s="184">
        <v>30</v>
      </c>
      <c r="AB89" s="265">
        <f>Y89*V89/AA89</f>
        <v>3.4174161599999996E-2</v>
      </c>
      <c r="AC89" s="201">
        <v>1</v>
      </c>
    </row>
    <row r="90" spans="1:31" s="146" customFormat="1" ht="13.5" thickBot="1">
      <c r="A90" s="203" t="s">
        <v>433</v>
      </c>
      <c r="B90" s="183">
        <v>0.4</v>
      </c>
      <c r="D90" s="185" t="s">
        <v>537</v>
      </c>
      <c r="E90" s="258">
        <f>Konstruktionen!AP141</f>
        <v>61.162253333333325</v>
      </c>
      <c r="F90" s="161"/>
      <c r="G90" s="160"/>
      <c r="H90" s="148"/>
      <c r="I90" s="188" t="s">
        <v>576</v>
      </c>
      <c r="J90" s="187">
        <f>K_Rahmentiefe</f>
        <v>0.15</v>
      </c>
      <c r="K90" s="186" t="s">
        <v>404</v>
      </c>
    </row>
    <row r="91" spans="1:31" s="146" customFormat="1" ht="13.5" thickBot="1">
      <c r="F91" s="161"/>
      <c r="G91" s="160"/>
      <c r="H91" s="148"/>
      <c r="I91" s="188" t="s">
        <v>575</v>
      </c>
      <c r="J91" s="187">
        <f>K_Rahmenbreite</f>
        <v>0.9</v>
      </c>
      <c r="K91" s="186" t="s">
        <v>404</v>
      </c>
      <c r="M91" s="273" t="s">
        <v>565</v>
      </c>
      <c r="N91" s="273"/>
      <c r="O91" s="212" t="s">
        <v>381</v>
      </c>
      <c r="P91" s="1109" t="s">
        <v>425</v>
      </c>
      <c r="Q91" s="1109"/>
      <c r="R91" s="211"/>
      <c r="T91" s="272" t="s">
        <v>574</v>
      </c>
      <c r="U91" s="212" t="s">
        <v>573</v>
      </c>
      <c r="V91" s="212" t="s">
        <v>525</v>
      </c>
      <c r="W91" s="212" t="s">
        <v>626</v>
      </c>
      <c r="X91" s="212" t="s">
        <v>571</v>
      </c>
      <c r="Y91" s="212" t="s">
        <v>570</v>
      </c>
      <c r="Z91" s="212" t="s">
        <v>569</v>
      </c>
      <c r="AA91" s="212" t="s">
        <v>568</v>
      </c>
      <c r="AB91" s="212" t="s">
        <v>625</v>
      </c>
      <c r="AC91" s="204" t="s">
        <v>487</v>
      </c>
    </row>
    <row r="92" spans="1:31" s="146" customFormat="1" ht="13.5" customHeight="1" thickBot="1">
      <c r="A92" s="148"/>
      <c r="B92" s="148"/>
      <c r="D92" s="213" t="s">
        <v>614</v>
      </c>
      <c r="E92" s="257" t="s">
        <v>599</v>
      </c>
      <c r="F92" s="161"/>
      <c r="G92" s="160"/>
      <c r="H92" s="148"/>
      <c r="I92" s="188" t="s">
        <v>566</v>
      </c>
      <c r="J92" s="187">
        <f>K_Rahmenhöhe</f>
        <v>2.0499999999999998</v>
      </c>
      <c r="K92" s="186" t="s">
        <v>404</v>
      </c>
      <c r="M92" s="1110" t="s">
        <v>452</v>
      </c>
      <c r="N92" s="1111"/>
      <c r="O92" s="271">
        <f>Konstruktionen!G179</f>
        <v>5.4000000000000006E-2</v>
      </c>
      <c r="P92" s="1112">
        <f>Konstruktionen!C179</f>
        <v>3.2399999999999998E-2</v>
      </c>
      <c r="Q92" s="1112"/>
      <c r="R92" s="267" t="s">
        <v>444</v>
      </c>
      <c r="T92" s="210" t="s">
        <v>338</v>
      </c>
      <c r="U92" s="270">
        <f>VLOOKUP(T92,KBOB_Baustoffe_2012,2,FALSE)</f>
        <v>0.3</v>
      </c>
      <c r="V92" s="271">
        <f>VLOOKUP(T92,KBOB_Baustoffe_2012,13,FALSE)</f>
        <v>1.39</v>
      </c>
      <c r="W92" s="270" t="str">
        <f>"kg/"&amp;VLOOKUP(T92,KBOB_Baustoffe_2012,3,FALSE)</f>
        <v>kg/m2</v>
      </c>
      <c r="X92" s="187"/>
      <c r="Y92" s="208">
        <v>0.3</v>
      </c>
      <c r="Z92" s="187" t="s">
        <v>564</v>
      </c>
      <c r="AA92" s="187">
        <v>30</v>
      </c>
      <c r="AB92" s="268">
        <f>Y92*V92/U92/AA92</f>
        <v>4.6333333333333331E-2</v>
      </c>
      <c r="AC92" s="207">
        <v>1</v>
      </c>
    </row>
    <row r="93" spans="1:31" s="146" customFormat="1" ht="13.5" thickBot="1">
      <c r="D93" s="191" t="s">
        <v>612</v>
      </c>
      <c r="E93" s="255">
        <f>Konstruktionen!AP145</f>
        <v>3098.7619022174117</v>
      </c>
      <c r="F93" s="161"/>
      <c r="G93" s="160"/>
      <c r="H93" s="148"/>
      <c r="I93" s="188" t="s">
        <v>562</v>
      </c>
      <c r="J93" s="187">
        <f>K_Türumfang1</f>
        <v>5.0199999999999996</v>
      </c>
      <c r="K93" s="186" t="s">
        <v>404</v>
      </c>
      <c r="M93" s="200" t="s">
        <v>451</v>
      </c>
      <c r="N93" s="199"/>
      <c r="O93" s="271">
        <f>Konstruktionen!G181</f>
        <v>0.2409</v>
      </c>
      <c r="P93" s="1113">
        <f>Konstruktionen!C181</f>
        <v>0.19450000000000001</v>
      </c>
      <c r="Q93" s="1113"/>
      <c r="R93" s="267" t="s">
        <v>444</v>
      </c>
      <c r="T93" s="203" t="s">
        <v>458</v>
      </c>
      <c r="U93" s="266"/>
      <c r="V93" s="266"/>
      <c r="W93" s="266"/>
      <c r="X93" s="184"/>
      <c r="Y93" s="184"/>
      <c r="Z93" s="184"/>
      <c r="AA93" s="184"/>
      <c r="AB93" s="265">
        <f>SUM(AB92:AB92)</f>
        <v>4.6333333333333331E-2</v>
      </c>
      <c r="AC93" s="201"/>
    </row>
    <row r="94" spans="1:31" s="146" customFormat="1" ht="13.5" customHeight="1" thickBot="1">
      <c r="A94" s="254" t="s">
        <v>611</v>
      </c>
      <c r="B94" s="223" t="s">
        <v>610</v>
      </c>
      <c r="D94" s="203" t="s">
        <v>609</v>
      </c>
      <c r="E94" s="253">
        <f>Konstruktionen!AP146</f>
        <v>3412.8085460546777</v>
      </c>
      <c r="F94" s="161"/>
      <c r="G94" s="160"/>
      <c r="H94" s="148"/>
      <c r="I94" s="188" t="s">
        <v>560</v>
      </c>
      <c r="J94" s="187">
        <f>K_Türumfang2</f>
        <v>5.04</v>
      </c>
      <c r="K94" s="186" t="s">
        <v>404</v>
      </c>
      <c r="M94" s="195" t="s">
        <v>450</v>
      </c>
      <c r="N94" s="194"/>
      <c r="O94" s="275">
        <f>Konstruktionen!G180</f>
        <v>0.37999999999999962</v>
      </c>
      <c r="P94" s="1114">
        <f>Konstruktionen!C180</f>
        <v>0.22799999999999959</v>
      </c>
      <c r="Q94" s="1114"/>
      <c r="R94" s="264" t="s">
        <v>444</v>
      </c>
    </row>
    <row r="95" spans="1:31" s="146" customFormat="1" ht="13.5" thickBot="1">
      <c r="A95" s="252" t="s">
        <v>608</v>
      </c>
      <c r="B95" s="251">
        <v>6</v>
      </c>
      <c r="F95" s="161"/>
      <c r="G95" s="160"/>
      <c r="H95" s="148"/>
      <c r="I95" s="188" t="s">
        <v>558</v>
      </c>
      <c r="J95" s="187">
        <f>K_Länge_Sturz</f>
        <v>1.2</v>
      </c>
      <c r="K95" s="186" t="s">
        <v>404</v>
      </c>
      <c r="T95" s="182"/>
      <c r="U95" s="182" t="s">
        <v>557</v>
      </c>
      <c r="V95" s="182"/>
    </row>
    <row r="96" spans="1:31" s="146" customFormat="1" ht="13.5" thickBot="1">
      <c r="E96" s="148"/>
      <c r="F96" s="161"/>
      <c r="G96" s="160"/>
      <c r="H96" s="148"/>
      <c r="I96" s="188" t="s">
        <v>555</v>
      </c>
      <c r="J96" s="187">
        <f>K_Tiefe_Sturz</f>
        <v>0.15</v>
      </c>
      <c r="K96" s="186" t="s">
        <v>404</v>
      </c>
      <c r="T96" s="182" t="s">
        <v>554</v>
      </c>
      <c r="U96" s="182">
        <v>13.85</v>
      </c>
      <c r="V96" s="182"/>
      <c r="W96" s="146" t="s">
        <v>553</v>
      </c>
    </row>
    <row r="97" spans="1:31" s="146" customFormat="1" ht="13.5" thickBot="1">
      <c r="A97" s="213" t="s">
        <v>428</v>
      </c>
      <c r="B97" s="212" t="s">
        <v>429</v>
      </c>
      <c r="C97" s="212" t="s">
        <v>606</v>
      </c>
      <c r="D97" s="212" t="s">
        <v>605</v>
      </c>
      <c r="E97" s="204"/>
      <c r="F97" s="161"/>
      <c r="G97" s="160"/>
      <c r="H97" s="148"/>
      <c r="I97" s="185" t="s">
        <v>552</v>
      </c>
      <c r="J97" s="184">
        <f>K_Fläche_Tür</f>
        <v>1.845</v>
      </c>
      <c r="K97" s="183" t="s">
        <v>498</v>
      </c>
      <c r="T97" s="182" t="s">
        <v>430</v>
      </c>
      <c r="U97" s="182">
        <v>11.17</v>
      </c>
      <c r="V97" s="182"/>
    </row>
    <row r="98" spans="1:31" s="146" customFormat="1" ht="15" thickBot="1">
      <c r="A98" s="252">
        <v>0.22</v>
      </c>
      <c r="B98" s="624">
        <f>Konstruktionen!AP135</f>
        <v>3384.8460537241563</v>
      </c>
      <c r="C98" s="625">
        <f>Konstruktionen!AP136</f>
        <v>2673.7864547666668</v>
      </c>
      <c r="D98" s="624">
        <f>Konstruktionen!AP137</f>
        <v>2275.9655048155619</v>
      </c>
      <c r="E98" s="626" t="s">
        <v>599</v>
      </c>
      <c r="F98" s="170"/>
      <c r="G98" s="160"/>
      <c r="H98" s="148"/>
      <c r="I98" s="148"/>
      <c r="J98" s="148"/>
      <c r="K98" s="148"/>
      <c r="T98" s="182" t="s">
        <v>431</v>
      </c>
      <c r="U98" s="182">
        <v>55.19</v>
      </c>
      <c r="V98" s="182"/>
    </row>
    <row r="99" spans="1:31" s="178" customFormat="1" ht="11.25" customHeight="1" thickBot="1">
      <c r="A99" s="148"/>
      <c r="B99" s="177"/>
      <c r="C99" s="177"/>
      <c r="D99" s="177"/>
      <c r="E99" s="146"/>
      <c r="F99" s="161"/>
      <c r="G99" s="179"/>
      <c r="H99" s="179"/>
      <c r="I99" s="179"/>
      <c r="J99" s="179"/>
      <c r="K99" s="179"/>
    </row>
    <row r="100" spans="1:31" s="172" customFormat="1">
      <c r="A100" s="213" t="s">
        <v>594</v>
      </c>
      <c r="B100" s="212" t="s">
        <v>426</v>
      </c>
      <c r="C100" s="233" t="s">
        <v>592</v>
      </c>
      <c r="D100" s="146"/>
      <c r="E100" s="176"/>
      <c r="F100" s="161"/>
      <c r="G100" s="173"/>
      <c r="H100" s="173"/>
      <c r="I100" s="173"/>
      <c r="K100" s="172" t="s">
        <v>504</v>
      </c>
    </row>
    <row r="101" spans="1:31" s="146" customFormat="1">
      <c r="A101" s="191" t="s">
        <v>455</v>
      </c>
      <c r="B101" s="198">
        <f>VLOOKUP("Lüftungsanlage Wohnen, Blechkanäle, inkl. Küchenabluft",KBOB_Gebäudetechnik_2012,4,FALSE)</f>
        <v>39700</v>
      </c>
      <c r="C101" s="216" t="s">
        <v>585</v>
      </c>
      <c r="G101" s="160"/>
      <c r="H101" s="148"/>
      <c r="I101" s="148"/>
    </row>
    <row r="102" spans="1:31" s="146" customFormat="1">
      <c r="A102" s="191" t="s">
        <v>422</v>
      </c>
      <c r="B102" s="198">
        <f>VLOOKUP("Wohnen, inkl. Apparate und Leitungen",KBOB_Gebäudetechnik_2012,4,FALSE)</f>
        <v>15800</v>
      </c>
      <c r="C102" s="216" t="s">
        <v>585</v>
      </c>
      <c r="G102" s="147"/>
      <c r="H102" s="148"/>
      <c r="I102" s="148"/>
    </row>
    <row r="103" spans="1:31" s="146" customFormat="1">
      <c r="A103" s="191" t="s">
        <v>421</v>
      </c>
      <c r="B103" s="198">
        <f>VLOOKUP("Elektroanlagen Wohnen",KBOB_Gebäudetechnik_2012,4,FALSE)</f>
        <v>47100</v>
      </c>
      <c r="C103" s="216" t="s">
        <v>585</v>
      </c>
      <c r="G103" s="147"/>
      <c r="H103" s="148"/>
      <c r="I103" s="148"/>
    </row>
    <row r="104" spans="1:31" s="146" customFormat="1">
      <c r="A104" s="191" t="s">
        <v>448</v>
      </c>
      <c r="B104" s="198">
        <f>VLOOKUP("Solarstromanlage",KBOB_Gebäudetechnik_2012,4,FALSE)/B117/B118</f>
        <v>13761.904761904761</v>
      </c>
      <c r="C104" s="216" t="s">
        <v>530</v>
      </c>
      <c r="F104" s="148"/>
      <c r="G104" s="147"/>
      <c r="H104" s="148"/>
      <c r="I104" s="148"/>
    </row>
    <row r="105" spans="1:31" s="146" customFormat="1" ht="13.5" thickBot="1">
      <c r="A105" s="203" t="s">
        <v>447</v>
      </c>
      <c r="B105" s="193">
        <f>AVERAGE(VLOOKUP("Flachkollektor für Warmwasser EFH",KBOB_Gebäudetechnik_2012,4,FALSE),VLOOKUP("Flachkollektor für Warmwasser MFH",KBOB_Gebäudetechnik_2012,4,FALSE))/B116</f>
        <v>24900</v>
      </c>
      <c r="C105" s="215" t="s">
        <v>530</v>
      </c>
      <c r="F105" s="148"/>
      <c r="G105" s="160"/>
      <c r="H105" s="148"/>
      <c r="I105" s="148"/>
    </row>
    <row r="106" spans="1:31" s="146" customFormat="1" ht="13.5" thickBot="1">
      <c r="A106" s="148"/>
      <c r="F106" s="148"/>
      <c r="G106" s="160"/>
      <c r="H106" s="148"/>
      <c r="I106" s="148"/>
    </row>
    <row r="107" spans="1:31" s="146" customFormat="1" ht="15.75" customHeight="1">
      <c r="A107" s="213" t="s">
        <v>587</v>
      </c>
      <c r="B107" s="212" t="s">
        <v>1110</v>
      </c>
      <c r="C107" s="204"/>
      <c r="F107" s="148"/>
      <c r="G107" s="160"/>
      <c r="H107" s="148"/>
      <c r="I107" s="1126" t="s">
        <v>623</v>
      </c>
      <c r="J107" s="1101" t="s">
        <v>503</v>
      </c>
      <c r="K107" s="1101"/>
      <c r="L107" s="1101"/>
      <c r="M107" s="1101"/>
      <c r="N107" s="1101"/>
      <c r="O107" s="1101"/>
      <c r="P107" s="1101"/>
      <c r="Q107" s="1101" t="s">
        <v>461</v>
      </c>
      <c r="R107" s="1102"/>
      <c r="T107" s="238" t="s">
        <v>496</v>
      </c>
      <c r="U107" s="224" t="s">
        <v>622</v>
      </c>
      <c r="V107" s="224" t="s">
        <v>491</v>
      </c>
      <c r="W107" s="224" t="s">
        <v>572</v>
      </c>
      <c r="X107" s="224" t="s">
        <v>571</v>
      </c>
      <c r="Y107" s="224" t="s">
        <v>570</v>
      </c>
      <c r="Z107" s="224" t="s">
        <v>569</v>
      </c>
      <c r="AA107" s="224" t="s">
        <v>568</v>
      </c>
      <c r="AB107" s="224" t="s">
        <v>567</v>
      </c>
      <c r="AC107" s="223" t="s">
        <v>487</v>
      </c>
    </row>
    <row r="108" spans="1:31" s="146" customFormat="1" ht="13.5" customHeight="1">
      <c r="A108" s="228" t="s">
        <v>586</v>
      </c>
      <c r="B108" s="198">
        <f>SUM(B101:B103)</f>
        <v>102600</v>
      </c>
      <c r="C108" s="227" t="s">
        <v>585</v>
      </c>
      <c r="F108" s="148"/>
      <c r="G108" s="160"/>
      <c r="H108" s="148"/>
      <c r="I108" s="1127"/>
      <c r="J108" s="1103" t="s">
        <v>496</v>
      </c>
      <c r="K108" s="1103" t="s">
        <v>494</v>
      </c>
      <c r="L108" s="1103" t="s">
        <v>489</v>
      </c>
      <c r="M108" s="1103" t="s">
        <v>482</v>
      </c>
      <c r="N108" s="1103" t="s">
        <v>472</v>
      </c>
      <c r="O108" s="1103" t="s">
        <v>466</v>
      </c>
      <c r="P108" s="1103" t="s">
        <v>464</v>
      </c>
      <c r="Q108" s="1103" t="s">
        <v>460</v>
      </c>
      <c r="R108" s="1106" t="s">
        <v>459</v>
      </c>
      <c r="T108" s="236" t="s">
        <v>322</v>
      </c>
      <c r="U108" s="256" t="str">
        <f>VLOOKUP(T108,KBOB_Baustoffe_2012,2,FALSE)</f>
        <v>-</v>
      </c>
      <c r="V108" s="209">
        <f>VLOOKUP(T108,KBOB_Baustoffe_2012,4,FALSE)</f>
        <v>72200</v>
      </c>
      <c r="W108" s="190" t="str">
        <f>"UBP/"&amp;VLOOKUP(T108,KBOB_Baustoffe_2012,3,FALSE)</f>
        <v>UBP/m2</v>
      </c>
      <c r="X108" s="187"/>
      <c r="Y108" s="208">
        <f>K_Rahmenhöhe*K_Rahmenbreite/K_Fläche_Tür</f>
        <v>1</v>
      </c>
      <c r="Z108" s="187" t="s">
        <v>621</v>
      </c>
      <c r="AA108" s="187">
        <v>30</v>
      </c>
      <c r="AB108" s="198">
        <f>Y108*V108/AA108</f>
        <v>2406.6666666666665</v>
      </c>
      <c r="AC108" s="207">
        <v>1</v>
      </c>
      <c r="AE108" s="225" t="s">
        <v>620</v>
      </c>
    </row>
    <row r="109" spans="1:31" s="146" customFormat="1" ht="13.5" thickBot="1">
      <c r="A109" s="203" t="s">
        <v>583</v>
      </c>
      <c r="B109" s="202">
        <f>B108/B118</f>
        <v>3420</v>
      </c>
      <c r="C109" s="215" t="s">
        <v>533</v>
      </c>
      <c r="F109" s="148"/>
      <c r="G109" s="160"/>
      <c r="H109" s="148"/>
      <c r="I109" s="1127"/>
      <c r="J109" s="1103"/>
      <c r="K109" s="1103"/>
      <c r="L109" s="1103"/>
      <c r="M109" s="1103"/>
      <c r="N109" s="1103"/>
      <c r="O109" s="1103"/>
      <c r="P109" s="1103"/>
      <c r="Q109" s="1103"/>
      <c r="R109" s="1106"/>
      <c r="T109" s="236" t="s">
        <v>94</v>
      </c>
      <c r="U109" s="256">
        <f>VLOOKUP(T109,KBOB_Baustoffe_2012,2,FALSE)</f>
        <v>1200</v>
      </c>
      <c r="V109" s="209">
        <f>VLOOKUP(T109,KBOB_Baustoffe_2012,4,FALSE)</f>
        <v>159.5326455</v>
      </c>
      <c r="W109" s="190" t="str">
        <f>"UBP/"&amp;VLOOKUP(T109,KBOB_Baustoffe_2012,3,FALSE)</f>
        <v>UBP/kg</v>
      </c>
      <c r="X109" s="187">
        <v>0.01</v>
      </c>
      <c r="Y109" s="208">
        <f>X109*K_Türumfang1*K_Rahmentiefe*U109/K_Fläche_Tür</f>
        <v>4.8975609756097551</v>
      </c>
      <c r="Z109" s="187" t="s">
        <v>613</v>
      </c>
      <c r="AA109" s="187">
        <v>30</v>
      </c>
      <c r="AB109" s="198">
        <f>Y109*V109/AA109</f>
        <v>26.044028631219508</v>
      </c>
      <c r="AC109" s="207">
        <v>1</v>
      </c>
      <c r="AE109" s="225" t="s">
        <v>617</v>
      </c>
    </row>
    <row r="110" spans="1:31" s="146" customFormat="1" ht="13.5" thickBot="1">
      <c r="F110" s="148"/>
      <c r="G110" s="160"/>
      <c r="H110" s="148"/>
      <c r="I110" s="1127"/>
      <c r="J110" s="1103"/>
      <c r="K110" s="1103"/>
      <c r="L110" s="1103"/>
      <c r="M110" s="1103"/>
      <c r="N110" s="1103"/>
      <c r="O110" s="1103"/>
      <c r="P110" s="1103"/>
      <c r="Q110" s="1103"/>
      <c r="R110" s="1106"/>
      <c r="T110" s="236" t="s">
        <v>108</v>
      </c>
      <c r="U110" s="256">
        <f>VLOOKUP(T110,KBOB_Baustoffe_2012,2,FALSE)</f>
        <v>1500</v>
      </c>
      <c r="V110" s="209">
        <f>VLOOKUP(T110,KBOB_Baustoffe_2012,4,FALSE)</f>
        <v>176.0982162</v>
      </c>
      <c r="W110" s="190" t="str">
        <f>"UBP/"&amp;VLOOKUP(T110,KBOB_Baustoffe_2012,3,FALSE)</f>
        <v>UBP/kg</v>
      </c>
      <c r="X110" s="187">
        <v>0.02</v>
      </c>
      <c r="Y110" s="208">
        <f>X110*K_Türumfang2*K_Rahmentiefe*U110/K_Fläche_Tür</f>
        <v>12.292682926829269</v>
      </c>
      <c r="Z110" s="187" t="s">
        <v>613</v>
      </c>
      <c r="AA110" s="187">
        <v>30</v>
      </c>
      <c r="AB110" s="198">
        <f>Y110*V110/AA110</f>
        <v>72.157317857560969</v>
      </c>
      <c r="AC110" s="207">
        <v>1</v>
      </c>
      <c r="AE110" s="225" t="s">
        <v>616</v>
      </c>
    </row>
    <row r="111" spans="1:31" s="146" customFormat="1">
      <c r="A111" s="213" t="s">
        <v>565</v>
      </c>
      <c r="B111" s="212" t="s">
        <v>579</v>
      </c>
      <c r="C111" s="212" t="s">
        <v>578</v>
      </c>
      <c r="D111" s="211"/>
      <c r="E111" s="176"/>
      <c r="F111" s="148"/>
      <c r="G111" s="160"/>
      <c r="H111" s="148"/>
      <c r="I111" s="1127"/>
      <c r="J111" s="1103"/>
      <c r="K111" s="1103"/>
      <c r="L111" s="1103"/>
      <c r="M111" s="1103"/>
      <c r="N111" s="1103"/>
      <c r="O111" s="1103"/>
      <c r="P111" s="1103"/>
      <c r="Q111" s="1103"/>
      <c r="R111" s="1106"/>
      <c r="T111" s="236" t="s">
        <v>37</v>
      </c>
      <c r="U111" s="256">
        <f>VLOOKUP(T111,KBOB_Baustoffe_2012,2,FALSE)</f>
        <v>2400</v>
      </c>
      <c r="V111" s="209">
        <f>VLOOKUP(T111,KBOB_Baustoffe_2012,4,FALSE)</f>
        <v>116.33592876941177</v>
      </c>
      <c r="W111" s="190" t="str">
        <f>"UBP/"&amp;VLOOKUP(T111,KBOB_Baustoffe_2012,3,FALSE)</f>
        <v>UBP/kg</v>
      </c>
      <c r="X111" s="187">
        <v>0.25</v>
      </c>
      <c r="Y111" s="208">
        <f>K_Tiefe_Sturz*X111*K_Länge_Sturz*U111/K_Fläche_Tür</f>
        <v>58.536585365853661</v>
      </c>
      <c r="Z111" s="187" t="s">
        <v>613</v>
      </c>
      <c r="AA111" s="187">
        <v>30</v>
      </c>
      <c r="AB111" s="198">
        <f>Y111*V111/AA111</f>
        <v>226.99693418421808</v>
      </c>
      <c r="AC111" s="207">
        <v>1</v>
      </c>
      <c r="AE111" s="225" t="s">
        <v>615</v>
      </c>
    </row>
    <row r="112" spans="1:31" s="146" customFormat="1">
      <c r="A112" s="191" t="s">
        <v>381</v>
      </c>
      <c r="B112" s="198">
        <f>Konstruktionen!I182</f>
        <v>906.22919999999999</v>
      </c>
      <c r="C112" s="198">
        <f>Konstruktionen!I183</f>
        <v>469.6207</v>
      </c>
      <c r="D112" s="216" t="s">
        <v>530</v>
      </c>
      <c r="E112" s="176"/>
      <c r="F112" s="148"/>
      <c r="G112" s="160"/>
      <c r="H112" s="148"/>
      <c r="I112" s="1127"/>
      <c r="J112" s="1103"/>
      <c r="K112" s="1103"/>
      <c r="L112" s="1103"/>
      <c r="M112" s="1103"/>
      <c r="N112" s="1103"/>
      <c r="O112" s="1103"/>
      <c r="P112" s="1103"/>
      <c r="Q112" s="1103"/>
      <c r="R112" s="1106"/>
      <c r="T112" s="236" t="s">
        <v>137</v>
      </c>
      <c r="U112" s="256">
        <f>VLOOKUP(T62,KBOB_Baustoffe_2012,2,FALSE)*105/VLOOKUP(T12,KBOB_Baustoffe_2012,2,FALSE)</f>
        <v>105</v>
      </c>
      <c r="V112" s="209">
        <f>VLOOKUP(T112,KBOB_Baustoffe_2012,4,FALSE)</f>
        <v>2430</v>
      </c>
      <c r="W112" s="190" t="str">
        <f>"UBP/"&amp;VLOOKUP(T112,KBOB_Baustoffe_2012,3,FALSE)</f>
        <v>UBP/kg</v>
      </c>
      <c r="X112" s="187">
        <v>0.25</v>
      </c>
      <c r="Y112" s="208">
        <f>K_Tiefe_Sturz*X112*K_Länge_Sturz*U112/K_Fläche_Tür</f>
        <v>2.5609756097560976</v>
      </c>
      <c r="Z112" s="187" t="s">
        <v>613</v>
      </c>
      <c r="AA112" s="187">
        <v>30</v>
      </c>
      <c r="AB112" s="198">
        <f>Y112*V112/AA112</f>
        <v>207.4390243902439</v>
      </c>
      <c r="AC112" s="207">
        <v>1</v>
      </c>
    </row>
    <row r="113" spans="1:31" s="146" customFormat="1" ht="13.5" thickBot="1">
      <c r="A113" s="203" t="s">
        <v>425</v>
      </c>
      <c r="B113" s="193">
        <f>Konstruktionen!E182</f>
        <v>618.46039999999994</v>
      </c>
      <c r="C113" s="193">
        <f>Konstruktionen!E183</f>
        <v>356.15589999999997</v>
      </c>
      <c r="D113" s="215" t="s">
        <v>530</v>
      </c>
      <c r="E113" s="176"/>
      <c r="F113" s="148"/>
      <c r="G113" s="160"/>
      <c r="H113" s="148"/>
      <c r="I113" s="1127"/>
      <c r="J113" s="1103"/>
      <c r="K113" s="1103"/>
      <c r="L113" s="1103"/>
      <c r="M113" s="1103"/>
      <c r="N113" s="1103"/>
      <c r="O113" s="1103"/>
      <c r="P113" s="1103"/>
      <c r="Q113" s="1103"/>
      <c r="R113" s="1106"/>
      <c r="T113" s="185"/>
      <c r="U113" s="202"/>
      <c r="V113" s="202"/>
      <c r="W113" s="202"/>
      <c r="X113" s="184"/>
      <c r="Y113" s="184"/>
      <c r="Z113" s="184"/>
      <c r="AA113" s="184"/>
      <c r="AB113" s="193">
        <f>SUM(AB108:AB112)</f>
        <v>2939.3039717299089</v>
      </c>
      <c r="AC113" s="201">
        <v>1</v>
      </c>
    </row>
    <row r="114" spans="1:31" s="146" customFormat="1" ht="13.5" thickBot="1">
      <c r="D114" s="177"/>
      <c r="E114" s="176"/>
      <c r="F114" s="148"/>
      <c r="G114" s="160"/>
      <c r="H114" s="148"/>
      <c r="I114" s="1127"/>
      <c r="J114" s="1103"/>
      <c r="K114" s="1103"/>
      <c r="L114" s="1103"/>
      <c r="M114" s="1103"/>
      <c r="N114" s="1103"/>
      <c r="O114" s="1103"/>
      <c r="P114" s="1103"/>
      <c r="Q114" s="1103"/>
      <c r="R114" s="1106"/>
    </row>
    <row r="115" spans="1:31" s="146" customFormat="1">
      <c r="A115" s="206" t="s">
        <v>563</v>
      </c>
      <c r="B115" s="205"/>
      <c r="C115" s="204"/>
      <c r="D115" s="177"/>
      <c r="E115" s="176"/>
      <c r="F115" s="148"/>
      <c r="G115" s="160"/>
      <c r="H115" s="148"/>
      <c r="I115" s="1127"/>
      <c r="J115" s="1103"/>
      <c r="K115" s="1103"/>
      <c r="L115" s="1103"/>
      <c r="M115" s="1103"/>
      <c r="N115" s="1103"/>
      <c r="O115" s="1103"/>
      <c r="P115" s="1103"/>
      <c r="Q115" s="1103"/>
      <c r="R115" s="1106"/>
      <c r="T115" s="238" t="s">
        <v>494</v>
      </c>
      <c r="U115" s="224" t="s">
        <v>581</v>
      </c>
      <c r="V115" s="224" t="s">
        <v>8</v>
      </c>
      <c r="W115" s="224" t="s">
        <v>572</v>
      </c>
      <c r="X115" s="224"/>
      <c r="Y115" s="224"/>
      <c r="Z115" s="224"/>
      <c r="AA115" s="224"/>
      <c r="AB115" s="224"/>
      <c r="AC115" s="223" t="s">
        <v>487</v>
      </c>
    </row>
    <row r="116" spans="1:31" s="146" customFormat="1">
      <c r="A116" s="188" t="s">
        <v>561</v>
      </c>
      <c r="B116" s="196">
        <v>20</v>
      </c>
      <c r="C116" s="189" t="s">
        <v>402</v>
      </c>
      <c r="D116" s="177"/>
      <c r="E116" s="176"/>
      <c r="F116" s="148"/>
      <c r="G116" s="160"/>
      <c r="H116" s="148"/>
      <c r="I116" s="1128"/>
      <c r="J116" s="1104"/>
      <c r="K116" s="1104"/>
      <c r="L116" s="1104"/>
      <c r="M116" s="1104"/>
      <c r="N116" s="1104"/>
      <c r="O116" s="1104"/>
      <c r="P116" s="1104"/>
      <c r="Q116" s="1104"/>
      <c r="R116" s="1107"/>
      <c r="T116" s="188" t="s">
        <v>607</v>
      </c>
      <c r="U116" s="148"/>
      <c r="V116" s="148"/>
      <c r="W116" s="148"/>
      <c r="X116" s="148"/>
      <c r="Y116" s="148"/>
      <c r="Z116" s="148"/>
      <c r="AA116" s="148"/>
      <c r="AB116" s="250">
        <f>Konstruktionen!AP150</f>
        <v>491.49313453749994</v>
      </c>
      <c r="AC116" s="249"/>
    </row>
    <row r="117" spans="1:31" s="146" customFormat="1" ht="13.5" thickBot="1">
      <c r="A117" s="188" t="s">
        <v>424</v>
      </c>
      <c r="B117" s="196">
        <v>7</v>
      </c>
      <c r="C117" s="189" t="s">
        <v>559</v>
      </c>
      <c r="D117" s="177"/>
      <c r="E117" s="176"/>
      <c r="F117" s="148"/>
      <c r="G117" s="160"/>
      <c r="H117" s="148"/>
      <c r="I117" s="247" t="s">
        <v>604</v>
      </c>
      <c r="J117" s="246">
        <v>0.05</v>
      </c>
      <c r="K117" s="246">
        <v>0.05</v>
      </c>
      <c r="L117" s="246">
        <v>9.9999999999999995E-8</v>
      </c>
      <c r="M117" s="246">
        <v>9.9999999999999995E-8</v>
      </c>
      <c r="N117" s="246">
        <v>9.9999999999999995E-8</v>
      </c>
      <c r="O117" s="246">
        <v>0.05</v>
      </c>
      <c r="P117" s="246">
        <v>1</v>
      </c>
      <c r="Q117" s="246">
        <v>0.1</v>
      </c>
      <c r="R117" s="245">
        <v>1</v>
      </c>
      <c r="T117" s="185" t="s">
        <v>458</v>
      </c>
      <c r="U117" s="219"/>
      <c r="V117" s="219"/>
      <c r="W117" s="219"/>
      <c r="X117" s="219"/>
      <c r="Y117" s="219"/>
      <c r="Z117" s="219"/>
      <c r="AA117" s="219"/>
      <c r="AB117" s="248">
        <f>SUM(AB116)</f>
        <v>491.49313453749994</v>
      </c>
      <c r="AC117" s="217"/>
    </row>
    <row r="118" spans="1:31" s="146" customFormat="1" ht="13.5" thickBot="1">
      <c r="A118" s="203" t="s">
        <v>556</v>
      </c>
      <c r="B118" s="202">
        <v>30</v>
      </c>
      <c r="C118" s="612" t="s">
        <v>402</v>
      </c>
      <c r="D118" s="177"/>
      <c r="E118" s="176"/>
      <c r="F118" s="148"/>
      <c r="G118" s="160"/>
      <c r="H118" s="148"/>
      <c r="I118" s="247" t="s">
        <v>435</v>
      </c>
      <c r="J118" s="246">
        <v>0.05</v>
      </c>
      <c r="K118" s="246">
        <v>0.05</v>
      </c>
      <c r="L118" s="246">
        <v>0.1</v>
      </c>
      <c r="M118" s="246">
        <v>0.05</v>
      </c>
      <c r="N118" s="246">
        <f>50%*L118</f>
        <v>0.05</v>
      </c>
      <c r="O118" s="246">
        <v>0.05</v>
      </c>
      <c r="P118" s="246">
        <v>1</v>
      </c>
      <c r="Q118" s="246">
        <v>0.1</v>
      </c>
      <c r="R118" s="245">
        <v>1</v>
      </c>
    </row>
    <row r="119" spans="1:31" s="146" customFormat="1" ht="13.5" thickBot="1">
      <c r="A119" s="177"/>
      <c r="B119" s="177"/>
      <c r="C119" s="177"/>
      <c r="D119" s="177"/>
      <c r="E119" s="176"/>
      <c r="F119" s="148"/>
      <c r="G119" s="160"/>
      <c r="H119" s="148"/>
      <c r="I119" s="244" t="s">
        <v>603</v>
      </c>
      <c r="J119" s="243">
        <v>0.1</v>
      </c>
      <c r="K119" s="243">
        <v>0.1</v>
      </c>
      <c r="L119" s="243">
        <v>0.27</v>
      </c>
      <c r="M119" s="243">
        <v>0.13</v>
      </c>
      <c r="N119" s="243">
        <f>50%*L119</f>
        <v>0.13500000000000001</v>
      </c>
      <c r="O119" s="243">
        <v>0.05</v>
      </c>
      <c r="P119" s="243">
        <v>1</v>
      </c>
      <c r="Q119" s="243">
        <v>0.1</v>
      </c>
      <c r="R119" s="242">
        <v>1</v>
      </c>
      <c r="T119" s="214" t="s">
        <v>489</v>
      </c>
      <c r="U119" s="212" t="s">
        <v>581</v>
      </c>
      <c r="V119" s="212" t="s">
        <v>8</v>
      </c>
      <c r="W119" s="212" t="s">
        <v>572</v>
      </c>
      <c r="X119" s="212" t="s">
        <v>571</v>
      </c>
      <c r="Y119" s="212" t="s">
        <v>570</v>
      </c>
      <c r="Z119" s="212" t="s">
        <v>569</v>
      </c>
      <c r="AA119" s="212" t="s">
        <v>568</v>
      </c>
      <c r="AB119" s="212" t="s">
        <v>580</v>
      </c>
      <c r="AC119" s="204" t="s">
        <v>487</v>
      </c>
      <c r="AE119" s="225" t="s">
        <v>602</v>
      </c>
    </row>
    <row r="120" spans="1:31" s="146" customFormat="1">
      <c r="A120" s="181"/>
      <c r="B120" s="181"/>
      <c r="C120" s="181"/>
      <c r="D120" s="181"/>
      <c r="E120" s="180"/>
      <c r="F120" s="180"/>
      <c r="G120" s="160"/>
      <c r="H120" s="148"/>
      <c r="T120" s="210" t="s">
        <v>94</v>
      </c>
      <c r="U120" s="235">
        <f>VLOOKUP(T120,KBOB_Baustoffe_2012,2,FALSE)</f>
        <v>1200</v>
      </c>
      <c r="V120" s="209">
        <f>VLOOKUP(T120,KBOB_Baustoffe_2012,4,FALSE)</f>
        <v>159.5326455</v>
      </c>
      <c r="W120" s="190" t="str">
        <f>"UBP/"&amp;VLOOKUP(T120,KBOB_Baustoffe_2012,3,FALSE)</f>
        <v>UBP/kg</v>
      </c>
      <c r="X120" s="187">
        <v>0.01</v>
      </c>
      <c r="Y120" s="208">
        <f>X120*U120*2*0.15</f>
        <v>3.5999999999999996</v>
      </c>
      <c r="Z120" s="187" t="s">
        <v>564</v>
      </c>
      <c r="AA120" s="187">
        <v>30</v>
      </c>
      <c r="AB120" s="209">
        <f>Y120*V120/AA120</f>
        <v>19.143917460000001</v>
      </c>
      <c r="AC120" s="234" t="s">
        <v>598</v>
      </c>
    </row>
    <row r="121" spans="1:31" s="146" customFormat="1" ht="13.5" thickBot="1">
      <c r="D121" s="177"/>
      <c r="E121" s="176"/>
      <c r="F121" s="148"/>
      <c r="G121" s="160"/>
      <c r="H121" s="148"/>
      <c r="T121" s="210" t="s">
        <v>108</v>
      </c>
      <c r="U121" s="235">
        <f>VLOOKUP(T121,KBOB_Baustoffe_2012,2,FALSE)</f>
        <v>1500</v>
      </c>
      <c r="V121" s="209">
        <f>VLOOKUP(T121,KBOB_Baustoffe_2012,4,FALSE)</f>
        <v>176.0982162</v>
      </c>
      <c r="W121" s="190" t="str">
        <f>"UBP/"&amp;VLOOKUP(T121,KBOB_Baustoffe_2012,3,FALSE)</f>
        <v>UBP/kg</v>
      </c>
      <c r="X121" s="187">
        <v>0.02</v>
      </c>
      <c r="Y121" s="208">
        <f>X121*U121*2*0.15</f>
        <v>9</v>
      </c>
      <c r="Z121" s="187" t="s">
        <v>564</v>
      </c>
      <c r="AA121" s="187">
        <v>30</v>
      </c>
      <c r="AB121" s="209">
        <f>Y121*V121/AA121</f>
        <v>52.829464860000002</v>
      </c>
      <c r="AC121" s="234" t="s">
        <v>598</v>
      </c>
    </row>
    <row r="122" spans="1:31" s="146" customFormat="1" ht="13.5" thickBot="1">
      <c r="A122" s="174"/>
      <c r="B122" s="174"/>
      <c r="C122" s="174"/>
      <c r="D122" s="174"/>
      <c r="E122" s="174"/>
      <c r="F122" s="148"/>
      <c r="G122" s="160"/>
      <c r="H122" s="148"/>
      <c r="I122" s="213" t="s">
        <v>601</v>
      </c>
      <c r="J122" s="212" t="s">
        <v>432</v>
      </c>
      <c r="K122" s="204"/>
      <c r="T122" s="203" t="s">
        <v>458</v>
      </c>
      <c r="U122" s="202"/>
      <c r="V122" s="202"/>
      <c r="W122" s="202"/>
      <c r="X122" s="184"/>
      <c r="Y122" s="184"/>
      <c r="Z122" s="184"/>
      <c r="AA122" s="184"/>
      <c r="AB122" s="226">
        <f>SUM(AB120:AB121)</f>
        <v>71.973382319999999</v>
      </c>
      <c r="AC122" s="241" t="s">
        <v>598</v>
      </c>
    </row>
    <row r="123" spans="1:31" s="146" customFormat="1" ht="15" thickBot="1">
      <c r="A123" s="174"/>
      <c r="B123" s="174"/>
      <c r="C123" s="174"/>
      <c r="D123" s="174"/>
      <c r="E123" s="174"/>
      <c r="F123" s="148"/>
      <c r="G123" s="160"/>
      <c r="H123" s="148"/>
      <c r="I123" s="191" t="str">
        <f>Konstruktionen!$G$128</f>
        <v>Leichtbauständerkonstruktion, Doppelbeplankung</v>
      </c>
      <c r="J123" s="240">
        <f>B84</f>
        <v>2516.1895734089167</v>
      </c>
      <c r="K123" s="239" t="s">
        <v>599</v>
      </c>
    </row>
    <row r="124" spans="1:31" s="146" customFormat="1" ht="14.25">
      <c r="A124" s="174"/>
      <c r="B124" s="174"/>
      <c r="C124" s="174"/>
      <c r="D124" s="174"/>
      <c r="E124" s="174"/>
      <c r="F124" s="148"/>
      <c r="G124" s="160"/>
      <c r="H124" s="148"/>
      <c r="I124" s="191" t="str">
        <f>Konstruktionen!$G$129</f>
        <v>Holzständerkonstruktion, gedämmt</v>
      </c>
      <c r="J124" s="240">
        <f>B85</f>
        <v>980.97053543767652</v>
      </c>
      <c r="K124" s="239" t="s">
        <v>599</v>
      </c>
      <c r="T124" s="238" t="s">
        <v>482</v>
      </c>
      <c r="U124" s="224" t="s">
        <v>581</v>
      </c>
      <c r="V124" s="224" t="s">
        <v>8</v>
      </c>
      <c r="W124" s="224" t="s">
        <v>572</v>
      </c>
      <c r="X124" s="224" t="s">
        <v>571</v>
      </c>
      <c r="Y124" s="224" t="s">
        <v>570</v>
      </c>
      <c r="Z124" s="224" t="s">
        <v>569</v>
      </c>
      <c r="AA124" s="224" t="s">
        <v>568</v>
      </c>
      <c r="AB124" s="224" t="s">
        <v>580</v>
      </c>
      <c r="AC124" s="223" t="s">
        <v>487</v>
      </c>
    </row>
    <row r="125" spans="1:31" s="146" customFormat="1" ht="15" thickBot="1">
      <c r="A125" s="174"/>
      <c r="B125" s="174"/>
      <c r="C125" s="174"/>
      <c r="D125" s="174"/>
      <c r="E125" s="174"/>
      <c r="F125" s="148"/>
      <c r="G125" s="160"/>
      <c r="H125" s="148"/>
      <c r="I125" s="203" t="str">
        <f>Konstruktionen!$G$130</f>
        <v>Backstein Mauerwerk, verputzt</v>
      </c>
      <c r="J125" s="904">
        <f>B86</f>
        <v>1003.1196024083334</v>
      </c>
      <c r="K125" s="237" t="s">
        <v>599</v>
      </c>
      <c r="T125" s="236" t="s">
        <v>94</v>
      </c>
      <c r="U125" s="235">
        <f>VLOOKUP(T125,KBOB_Baustoffe_2012,2,FALSE)</f>
        <v>1200</v>
      </c>
      <c r="V125" s="209">
        <f>VLOOKUP(T125,KBOB_Baustoffe_2012,4,FALSE)</f>
        <v>159.5326455</v>
      </c>
      <c r="W125" s="190" t="str">
        <f>"UBP/"&amp;VLOOKUP(T125,KBOB_Baustoffe_2012,3,FALSE)</f>
        <v>UBP/kg</v>
      </c>
      <c r="X125" s="187">
        <v>0.01</v>
      </c>
      <c r="Y125" s="208">
        <f>X125*U125*2*0.15</f>
        <v>3.5999999999999996</v>
      </c>
      <c r="Z125" s="187" t="s">
        <v>564</v>
      </c>
      <c r="AA125" s="187">
        <v>30</v>
      </c>
      <c r="AB125" s="198">
        <f>Y125*V125/AA125</f>
        <v>19.143917460000001</v>
      </c>
      <c r="AC125" s="234" t="s">
        <v>598</v>
      </c>
      <c r="AE125" s="225" t="s">
        <v>600</v>
      </c>
    </row>
    <row r="126" spans="1:31" s="146" customFormat="1">
      <c r="A126" s="174"/>
      <c r="B126" s="174"/>
      <c r="C126" s="174"/>
      <c r="D126" s="174"/>
      <c r="E126" s="174"/>
      <c r="F126" s="148"/>
      <c r="G126" s="160"/>
      <c r="H126" s="148"/>
      <c r="K126" s="182"/>
      <c r="T126" s="236" t="s">
        <v>108</v>
      </c>
      <c r="U126" s="235">
        <f>VLOOKUP(T126,KBOB_Baustoffe_2012,2,FALSE)</f>
        <v>1500</v>
      </c>
      <c r="V126" s="209">
        <f>VLOOKUP(T126,KBOB_Baustoffe_2012,4,FALSE)</f>
        <v>176.0982162</v>
      </c>
      <c r="W126" s="190" t="str">
        <f>"UBP/"&amp;VLOOKUP(T126,KBOB_Baustoffe_2012,3,FALSE)</f>
        <v>UBP/kg</v>
      </c>
      <c r="X126" s="187">
        <v>0.02</v>
      </c>
      <c r="Y126" s="208">
        <f>X126*U126*2*0.15</f>
        <v>9</v>
      </c>
      <c r="Z126" s="187" t="s">
        <v>564</v>
      </c>
      <c r="AA126" s="187">
        <v>30</v>
      </c>
      <c r="AB126" s="198">
        <f>Y126*V126/AA126</f>
        <v>52.829464860000002</v>
      </c>
      <c r="AC126" s="234" t="s">
        <v>598</v>
      </c>
      <c r="AE126" s="225" t="s">
        <v>597</v>
      </c>
    </row>
    <row r="127" spans="1:31" s="146" customFormat="1" ht="13.5" thickBot="1">
      <c r="A127" s="174"/>
      <c r="B127" s="174"/>
      <c r="C127" s="174"/>
      <c r="D127" s="174"/>
      <c r="E127" s="174"/>
      <c r="F127" s="148"/>
      <c r="G127" s="160"/>
      <c r="H127" s="148"/>
      <c r="K127" s="182"/>
      <c r="T127" s="236" t="s">
        <v>155</v>
      </c>
      <c r="U127" s="235">
        <f>VLOOKUP(T127,KBOB_Baustoffe_2012,2,FALSE)</f>
        <v>7850</v>
      </c>
      <c r="V127" s="209">
        <f>VLOOKUP(T127,KBOB_Baustoffe_2012,4,FALSE)</f>
        <v>2710</v>
      </c>
      <c r="W127" s="190" t="str">
        <f>"UBP/"&amp;VLOOKUP(T127,KBOB_Baustoffe_2012,3,FALSE)</f>
        <v>UBP/kg</v>
      </c>
      <c r="X127" s="187"/>
      <c r="Y127" s="208">
        <v>30</v>
      </c>
      <c r="Z127" s="187" t="s">
        <v>564</v>
      </c>
      <c r="AA127" s="187">
        <v>30</v>
      </c>
      <c r="AB127" s="198">
        <f>Y127*V127/AA127</f>
        <v>2710</v>
      </c>
      <c r="AC127" s="234" t="s">
        <v>596</v>
      </c>
      <c r="AE127" s="225" t="s">
        <v>595</v>
      </c>
    </row>
    <row r="128" spans="1:31" s="146" customFormat="1" ht="26.25" thickBot="1">
      <c r="A128" s="174"/>
      <c r="B128" s="174"/>
      <c r="C128" s="174"/>
      <c r="D128" s="174"/>
      <c r="E128" s="175"/>
      <c r="F128" s="161"/>
      <c r="G128" s="160"/>
      <c r="H128" s="148"/>
      <c r="I128" s="213" t="s">
        <v>594</v>
      </c>
      <c r="J128" s="212" t="s">
        <v>426</v>
      </c>
      <c r="K128" s="233" t="s">
        <v>592</v>
      </c>
      <c r="T128" s="232" t="s">
        <v>591</v>
      </c>
      <c r="U128" s="202"/>
      <c r="V128" s="226"/>
      <c r="W128" s="202"/>
      <c r="X128" s="184"/>
      <c r="Y128" s="184"/>
      <c r="Z128" s="184" t="s">
        <v>564</v>
      </c>
      <c r="AA128" s="184">
        <v>30</v>
      </c>
      <c r="AB128" s="231">
        <f>Konstruktionen!AP150</f>
        <v>491.49313453749994</v>
      </c>
      <c r="AC128" s="201" t="s">
        <v>590</v>
      </c>
      <c r="AE128" s="225" t="s">
        <v>589</v>
      </c>
    </row>
    <row r="129" spans="1:31" s="146" customFormat="1" ht="13.5" thickBot="1">
      <c r="A129" s="174"/>
      <c r="B129" s="174"/>
      <c r="C129" s="174"/>
      <c r="D129" s="174"/>
      <c r="E129" s="175"/>
      <c r="F129" s="161"/>
      <c r="G129" s="160"/>
      <c r="H129" s="148"/>
      <c r="I129" s="191" t="s">
        <v>455</v>
      </c>
      <c r="J129" s="198">
        <f>VLOOKUP("Lüftungsanlage Wohnen, Blechkanäle, inkl. Küchenabluft",KBOB_Gebäudetechnik_2012,4,FALSE)</f>
        <v>39700</v>
      </c>
      <c r="K129" s="216" t="s">
        <v>588</v>
      </c>
    </row>
    <row r="130" spans="1:31" s="146" customFormat="1">
      <c r="A130" s="174"/>
      <c r="B130" s="174"/>
      <c r="C130" s="174"/>
      <c r="D130" s="174"/>
      <c r="E130" s="175"/>
      <c r="F130" s="161"/>
      <c r="G130" s="160"/>
      <c r="H130" s="148"/>
      <c r="I130" s="191" t="s">
        <v>454</v>
      </c>
      <c r="J130" s="198">
        <f>VLOOKUP("Erdregister zu Lüftungsanlage Wohnen",KBOB_Gebäudetechnik_2012,4,FALSE)</f>
        <v>4530</v>
      </c>
      <c r="K130" s="216" t="s">
        <v>588</v>
      </c>
      <c r="T130" s="214" t="s">
        <v>466</v>
      </c>
      <c r="U130" s="212" t="s">
        <v>581</v>
      </c>
      <c r="V130" s="212" t="s">
        <v>8</v>
      </c>
      <c r="W130" s="212" t="s">
        <v>572</v>
      </c>
      <c r="X130" s="212" t="s">
        <v>571</v>
      </c>
      <c r="Y130" s="212" t="s">
        <v>570</v>
      </c>
      <c r="Z130" s="212" t="s">
        <v>569</v>
      </c>
      <c r="AA130" s="212" t="s">
        <v>568</v>
      </c>
      <c r="AB130" s="212" t="s">
        <v>580</v>
      </c>
      <c r="AC130" s="204" t="s">
        <v>487</v>
      </c>
    </row>
    <row r="131" spans="1:31" s="146" customFormat="1" ht="13.5" thickBot="1">
      <c r="A131" s="174"/>
      <c r="B131" s="174"/>
      <c r="C131" s="174"/>
      <c r="D131" s="174"/>
      <c r="E131" s="175"/>
      <c r="F131" s="161"/>
      <c r="G131" s="160"/>
      <c r="H131" s="148"/>
      <c r="I131" s="191" t="s">
        <v>453</v>
      </c>
      <c r="J131" s="198">
        <f>VLOOKUP("Abluftanlage Küche und Bad",KBOB_Gebäudetechnik_2012,4,FALSE)</f>
        <v>11400</v>
      </c>
      <c r="K131" s="216" t="s">
        <v>588</v>
      </c>
      <c r="T131" s="222" t="s">
        <v>94</v>
      </c>
      <c r="U131" s="230">
        <f>VLOOKUP(T131,KBOB_Baustoffe_2012,2,FALSE)</f>
        <v>1200</v>
      </c>
      <c r="V131" s="226">
        <f>VLOOKUP(T131,KBOB_Baustoffe_2012,4,FALSE)</f>
        <v>159.5326455</v>
      </c>
      <c r="W131" s="202" t="str">
        <f>"UBP/"&amp;VLOOKUP(T131,KBOB_Baustoffe_2012,3,FALSE)</f>
        <v>UBP/kg</v>
      </c>
      <c r="X131" s="184">
        <f>2*0.01</f>
        <v>0.02</v>
      </c>
      <c r="Y131" s="229">
        <f>U131*X131</f>
        <v>24</v>
      </c>
      <c r="Z131" s="184" t="s">
        <v>564</v>
      </c>
      <c r="AA131" s="184">
        <v>30</v>
      </c>
      <c r="AB131" s="193">
        <f>Y131*V131/AA131</f>
        <v>127.6261164</v>
      </c>
      <c r="AC131" s="201">
        <v>1</v>
      </c>
    </row>
    <row r="132" spans="1:31" s="146" customFormat="1" ht="13.5" thickBot="1">
      <c r="A132" s="174"/>
      <c r="B132" s="174"/>
      <c r="C132" s="174"/>
      <c r="D132" s="174"/>
      <c r="E132" s="175"/>
      <c r="F132" s="161"/>
      <c r="G132" s="160"/>
      <c r="H132" s="148"/>
      <c r="I132" s="191" t="s">
        <v>422</v>
      </c>
      <c r="J132" s="198">
        <f>VLOOKUP("Wohnen, inkl. Apparate und Leitungen",KBOB_Gebäudetechnik_2012,4,FALSE)</f>
        <v>15800</v>
      </c>
      <c r="K132" s="216" t="s">
        <v>588</v>
      </c>
    </row>
    <row r="133" spans="1:31" s="146" customFormat="1">
      <c r="A133" s="174"/>
      <c r="B133" s="174"/>
      <c r="C133" s="174"/>
      <c r="D133" s="174"/>
      <c r="E133" s="175"/>
      <c r="F133" s="161"/>
      <c r="G133" s="160"/>
      <c r="H133" s="148"/>
      <c r="I133" s="191" t="s">
        <v>421</v>
      </c>
      <c r="J133" s="198">
        <f>VLOOKUP("Elektroanlagen Wohnen",KBOB_Gebäudetechnik_2012,4,FALSE)</f>
        <v>47100</v>
      </c>
      <c r="K133" s="216" t="s">
        <v>588</v>
      </c>
      <c r="T133" s="214" t="s">
        <v>464</v>
      </c>
      <c r="U133" s="212" t="s">
        <v>573</v>
      </c>
      <c r="V133" s="212" t="s">
        <v>8</v>
      </c>
      <c r="W133" s="212" t="s">
        <v>572</v>
      </c>
      <c r="X133" s="212" t="s">
        <v>571</v>
      </c>
      <c r="Y133" s="212" t="s">
        <v>570</v>
      </c>
      <c r="Z133" s="212" t="s">
        <v>569</v>
      </c>
      <c r="AA133" s="212" t="s">
        <v>568</v>
      </c>
      <c r="AB133" s="212" t="s">
        <v>580</v>
      </c>
      <c r="AC133" s="204" t="s">
        <v>487</v>
      </c>
    </row>
    <row r="134" spans="1:31" s="146" customFormat="1" ht="25.5">
      <c r="A134" s="174"/>
      <c r="B134" s="174"/>
      <c r="C134" s="174"/>
      <c r="D134" s="174"/>
      <c r="E134" s="175"/>
      <c r="F134" s="161"/>
      <c r="G134" s="160"/>
      <c r="H134" s="148"/>
      <c r="I134" s="191" t="s">
        <v>448</v>
      </c>
      <c r="J134" s="198">
        <f>VLOOKUP("Solarstromanlage",KBOB_Gebäudetechnik_2012,4,FALSE)/B117/B118</f>
        <v>13761.904761904761</v>
      </c>
      <c r="K134" s="216" t="s">
        <v>444</v>
      </c>
      <c r="T134" s="210" t="s">
        <v>338</v>
      </c>
      <c r="U134" s="190">
        <f>VLOOKUP(T134,KBOB_Baustoffe_2012,2,FALSE)</f>
        <v>0.3</v>
      </c>
      <c r="V134" s="209">
        <f>VLOOKUP(T134,KBOB_Baustoffe_2012,4,FALSE)</f>
        <v>1510</v>
      </c>
      <c r="W134" s="190" t="str">
        <f>"UBP/"&amp;VLOOKUP(T134,KBOB_Baustoffe_2012,3,FALSE)</f>
        <v>UBP/m2</v>
      </c>
      <c r="X134" s="187"/>
      <c r="Y134" s="208">
        <v>0.6</v>
      </c>
      <c r="Z134" s="187" t="s">
        <v>564</v>
      </c>
      <c r="AA134" s="187">
        <v>30</v>
      </c>
      <c r="AB134" s="198">
        <f>Y134*V134/U134/AA134</f>
        <v>100.66666666666667</v>
      </c>
      <c r="AC134" s="207">
        <v>1</v>
      </c>
    </row>
    <row r="135" spans="1:31" s="146" customFormat="1" ht="26.25" thickBot="1">
      <c r="A135" s="174"/>
      <c r="B135" s="174"/>
      <c r="C135" s="174"/>
      <c r="D135" s="174"/>
      <c r="E135" s="175"/>
      <c r="F135" s="161"/>
      <c r="G135" s="160"/>
      <c r="H135" s="148"/>
      <c r="I135" s="203" t="s">
        <v>447</v>
      </c>
      <c r="J135" s="193">
        <f>AVERAGE(VLOOKUP("Flachkollektor für Warmwasser EFH",KBOB_Gebäudetechnik_2012,4,FALSE),VLOOKUP("Flachkollektor für Warmwasser MFH",KBOB_Gebäudetechnik_2012,4,FALSE))/B116</f>
        <v>24900</v>
      </c>
      <c r="K135" s="215" t="s">
        <v>444</v>
      </c>
      <c r="T135" s="210" t="s">
        <v>338</v>
      </c>
      <c r="U135" s="190">
        <f>VLOOKUP(T135,KBOB_Baustoffe_2012,2,FALSE)</f>
        <v>0.3</v>
      </c>
      <c r="V135" s="209">
        <f>VLOOKUP(T135,KBOB_Baustoffe_2012,4,FALSE)</f>
        <v>1510</v>
      </c>
      <c r="W135" s="190" t="str">
        <f>"UBP/"&amp;VLOOKUP(T135,KBOB_Baustoffe_2012,3,FALSE)</f>
        <v>UBP/m2</v>
      </c>
      <c r="X135" s="187"/>
      <c r="Y135" s="208">
        <f>0.6*0.3</f>
        <v>0.18</v>
      </c>
      <c r="Z135" s="187" t="s">
        <v>564</v>
      </c>
      <c r="AA135" s="187">
        <v>30</v>
      </c>
      <c r="AB135" s="198">
        <f>Y135*V135/U135/AA135</f>
        <v>30.200000000000003</v>
      </c>
      <c r="AC135" s="207">
        <v>1</v>
      </c>
    </row>
    <row r="136" spans="1:31" s="146" customFormat="1" ht="13.5" thickBot="1">
      <c r="A136" s="174"/>
      <c r="B136" s="174"/>
      <c r="C136" s="174"/>
      <c r="D136" s="174"/>
      <c r="E136" s="175"/>
      <c r="F136" s="161"/>
      <c r="G136" s="160"/>
      <c r="H136" s="148"/>
      <c r="T136" s="203" t="s">
        <v>458</v>
      </c>
      <c r="U136" s="202"/>
      <c r="V136" s="202"/>
      <c r="W136" s="202"/>
      <c r="X136" s="184"/>
      <c r="Y136" s="184"/>
      <c r="Z136" s="184"/>
      <c r="AA136" s="184"/>
      <c r="AB136" s="193">
        <f>SUM(AB134:AB135)</f>
        <v>130.86666666666667</v>
      </c>
      <c r="AC136" s="201"/>
      <c r="AE136" s="225" t="s">
        <v>584</v>
      </c>
    </row>
    <row r="137" spans="1:31" s="146" customFormat="1" ht="13.5" thickBot="1">
      <c r="A137" s="174"/>
      <c r="B137" s="174"/>
      <c r="C137" s="174"/>
      <c r="D137" s="174"/>
      <c r="E137" s="175"/>
      <c r="F137" s="161"/>
      <c r="G137" s="160"/>
      <c r="H137" s="148"/>
      <c r="AE137" s="225" t="s">
        <v>582</v>
      </c>
    </row>
    <row r="138" spans="1:31" s="146" customFormat="1" ht="13.5" thickBot="1">
      <c r="A138" s="174"/>
      <c r="B138" s="174"/>
      <c r="C138" s="174"/>
      <c r="D138" s="174"/>
      <c r="E138" s="175"/>
      <c r="F138" s="161"/>
      <c r="G138" s="160"/>
      <c r="H138" s="148"/>
      <c r="T138" s="214" t="s">
        <v>460</v>
      </c>
      <c r="U138" s="212" t="s">
        <v>581</v>
      </c>
      <c r="V138" s="212" t="s">
        <v>8</v>
      </c>
      <c r="W138" s="212" t="s">
        <v>572</v>
      </c>
      <c r="X138" s="212" t="s">
        <v>571</v>
      </c>
      <c r="Y138" s="212" t="s">
        <v>570</v>
      </c>
      <c r="Z138" s="212" t="s">
        <v>569</v>
      </c>
      <c r="AA138" s="212" t="s">
        <v>568</v>
      </c>
      <c r="AB138" s="212" t="s">
        <v>580</v>
      </c>
      <c r="AC138" s="204" t="s">
        <v>487</v>
      </c>
    </row>
    <row r="139" spans="1:31" s="146" customFormat="1" ht="13.5" thickBot="1">
      <c r="A139" s="174"/>
      <c r="B139" s="174"/>
      <c r="C139" s="174"/>
      <c r="D139" s="174"/>
      <c r="E139" s="175"/>
      <c r="F139" s="161"/>
      <c r="G139" s="160"/>
      <c r="H139" s="148"/>
      <c r="I139" s="213" t="s">
        <v>577</v>
      </c>
      <c r="J139" s="224"/>
      <c r="K139" s="223"/>
      <c r="N139" s="146" t="s">
        <v>20</v>
      </c>
      <c r="T139" s="222" t="s">
        <v>94</v>
      </c>
      <c r="U139" s="221">
        <f>VLOOKUP(T139,KBOB_Baustoffe_2012,2,FALSE)</f>
        <v>1200</v>
      </c>
      <c r="V139" s="220">
        <f>VLOOKUP(T139,KBOB_Baustoffe_2012,4,FALSE)</f>
        <v>159.5326455</v>
      </c>
      <c r="W139" s="219" t="str">
        <f>"UBP/"&amp;VLOOKUP(T139,KBOB_Baustoffe_2012,3,FALSE)</f>
        <v>UBP/kg</v>
      </c>
      <c r="X139" s="219">
        <v>0.01</v>
      </c>
      <c r="Y139" s="220">
        <f>U139*X139</f>
        <v>12</v>
      </c>
      <c r="Z139" s="219" t="s">
        <v>564</v>
      </c>
      <c r="AA139" s="219">
        <v>30</v>
      </c>
      <c r="AB139" s="218">
        <f>Y139*V139/AA139</f>
        <v>63.8130582</v>
      </c>
      <c r="AC139" s="217">
        <v>1</v>
      </c>
    </row>
    <row r="140" spans="1:31" s="146" customFormat="1" ht="13.5" thickBot="1">
      <c r="A140" s="174"/>
      <c r="B140" s="174"/>
      <c r="C140" s="174"/>
      <c r="D140" s="174"/>
      <c r="E140" s="175"/>
      <c r="F140" s="161"/>
      <c r="G140" s="160"/>
      <c r="H140" s="148"/>
      <c r="I140" s="188" t="s">
        <v>576</v>
      </c>
      <c r="J140" s="187">
        <f>K_Rahmentiefe</f>
        <v>0.15</v>
      </c>
      <c r="K140" s="186" t="s">
        <v>404</v>
      </c>
    </row>
    <row r="141" spans="1:31" s="146" customFormat="1" ht="13.5" thickBot="1">
      <c r="A141" s="174"/>
      <c r="B141" s="174"/>
      <c r="C141" s="174"/>
      <c r="D141" s="174"/>
      <c r="E141" s="175"/>
      <c r="F141" s="161"/>
      <c r="G141" s="160"/>
      <c r="H141" s="148"/>
      <c r="I141" s="188" t="s">
        <v>575</v>
      </c>
      <c r="J141" s="187">
        <f>K_Rahmenbreite</f>
        <v>0.9</v>
      </c>
      <c r="K141" s="186" t="s">
        <v>404</v>
      </c>
      <c r="T141" s="214" t="s">
        <v>574</v>
      </c>
      <c r="U141" s="212" t="s">
        <v>573</v>
      </c>
      <c r="V141" s="212" t="s">
        <v>8</v>
      </c>
      <c r="W141" s="212" t="s">
        <v>572</v>
      </c>
      <c r="X141" s="212" t="s">
        <v>571</v>
      </c>
      <c r="Y141" s="212" t="s">
        <v>570</v>
      </c>
      <c r="Z141" s="212" t="s">
        <v>569</v>
      </c>
      <c r="AA141" s="212" t="s">
        <v>568</v>
      </c>
      <c r="AB141" s="212" t="s">
        <v>567</v>
      </c>
      <c r="AC141" s="204" t="s">
        <v>487</v>
      </c>
    </row>
    <row r="142" spans="1:31" s="146" customFormat="1" ht="25.5">
      <c r="A142" s="174"/>
      <c r="B142" s="174"/>
      <c r="C142" s="174"/>
      <c r="D142" s="174"/>
      <c r="E142" s="175"/>
      <c r="F142" s="161"/>
      <c r="G142" s="160"/>
      <c r="H142" s="148"/>
      <c r="I142" s="188" t="s">
        <v>566</v>
      </c>
      <c r="J142" s="187">
        <f>K_Rahmenhöhe</f>
        <v>2.0499999999999998</v>
      </c>
      <c r="K142" s="186" t="s">
        <v>404</v>
      </c>
      <c r="M142" s="213" t="s">
        <v>565</v>
      </c>
      <c r="N142" s="213"/>
      <c r="O142" s="212" t="s">
        <v>381</v>
      </c>
      <c r="P142" s="1109" t="s">
        <v>425</v>
      </c>
      <c r="Q142" s="1109"/>
      <c r="R142" s="211"/>
      <c r="T142" s="210" t="s">
        <v>338</v>
      </c>
      <c r="U142" s="190">
        <f>VLOOKUP(T134,KBOB_Baustoffe_2012,2,FALSE)</f>
        <v>0.3</v>
      </c>
      <c r="V142" s="209">
        <f>VLOOKUP(T142,KBOB_Baustoffe_2012,4,FALSE)</f>
        <v>1510</v>
      </c>
      <c r="W142" s="190" t="str">
        <f>"UBP/"&amp;VLOOKUP(T142,KBOB_Baustoffe_2012,3,FALSE)</f>
        <v>UBP/m2</v>
      </c>
      <c r="X142" s="187"/>
      <c r="Y142" s="208">
        <v>0.3</v>
      </c>
      <c r="Z142" s="187" t="s">
        <v>564</v>
      </c>
      <c r="AA142" s="187">
        <v>30</v>
      </c>
      <c r="AB142" s="198">
        <f>Y142*V142/U142/AA142</f>
        <v>50.333333333333336</v>
      </c>
      <c r="AC142" s="207">
        <v>1</v>
      </c>
    </row>
    <row r="143" spans="1:31" s="146" customFormat="1" ht="13.5" thickBot="1">
      <c r="A143" s="174"/>
      <c r="B143" s="174"/>
      <c r="C143" s="174"/>
      <c r="D143" s="174"/>
      <c r="E143" s="175"/>
      <c r="F143" s="161"/>
      <c r="G143" s="160"/>
      <c r="H143" s="148"/>
      <c r="I143" s="188" t="s">
        <v>562</v>
      </c>
      <c r="J143" s="187">
        <f>K_Türumfang1</f>
        <v>5.0199999999999996</v>
      </c>
      <c r="K143" s="186" t="s">
        <v>404</v>
      </c>
      <c r="M143" s="1110" t="s">
        <v>452</v>
      </c>
      <c r="N143" s="1111"/>
      <c r="O143" s="198">
        <f>Konstruktionen!I179</f>
        <v>110.0107</v>
      </c>
      <c r="P143" s="1115">
        <f>Konstruktionen!E179</f>
        <v>66.013899999999992</v>
      </c>
      <c r="Q143" s="1115"/>
      <c r="R143" s="197" t="s">
        <v>444</v>
      </c>
      <c r="T143" s="203" t="s">
        <v>458</v>
      </c>
      <c r="U143" s="202"/>
      <c r="V143" s="202"/>
      <c r="W143" s="202"/>
      <c r="X143" s="184"/>
      <c r="Y143" s="184"/>
      <c r="Z143" s="184"/>
      <c r="AA143" s="184"/>
      <c r="AB143" s="193">
        <f>SUM(AB142:AB142)</f>
        <v>50.333333333333336</v>
      </c>
      <c r="AC143" s="201"/>
    </row>
    <row r="144" spans="1:31" s="146" customFormat="1" ht="13.5" customHeight="1">
      <c r="A144" s="174"/>
      <c r="B144" s="174"/>
      <c r="C144" s="174"/>
      <c r="D144" s="174"/>
      <c r="E144" s="175"/>
      <c r="F144" s="161"/>
      <c r="G144" s="160"/>
      <c r="H144" s="148"/>
      <c r="I144" s="188" t="s">
        <v>560</v>
      </c>
      <c r="J144" s="187">
        <f>K_Türumfang2</f>
        <v>5.04</v>
      </c>
      <c r="K144" s="186" t="s">
        <v>404</v>
      </c>
      <c r="M144" s="200" t="s">
        <v>451</v>
      </c>
      <c r="N144" s="199"/>
      <c r="O144" s="198">
        <f>Konstruktionen!I181</f>
        <v>359.61</v>
      </c>
      <c r="P144" s="1105">
        <f>Konstruktionen!E181</f>
        <v>290.142</v>
      </c>
      <c r="Q144" s="1105"/>
      <c r="R144" s="197" t="s">
        <v>444</v>
      </c>
    </row>
    <row r="145" spans="1:23" s="146" customFormat="1" ht="13.5" thickBot="1">
      <c r="A145" s="174"/>
      <c r="B145" s="174"/>
      <c r="C145" s="174"/>
      <c r="D145" s="174"/>
      <c r="E145" s="175"/>
      <c r="F145" s="161"/>
      <c r="G145" s="160"/>
      <c r="H145" s="148"/>
      <c r="I145" s="188" t="s">
        <v>558</v>
      </c>
      <c r="J145" s="187">
        <f>K_Länge_Sturz</f>
        <v>1.2</v>
      </c>
      <c r="K145" s="186" t="s">
        <v>404</v>
      </c>
      <c r="M145" s="195" t="s">
        <v>450</v>
      </c>
      <c r="N145" s="194"/>
      <c r="O145" s="193">
        <f>Konstruktionen!I180</f>
        <v>436.60849999999999</v>
      </c>
      <c r="P145" s="1108">
        <f>Konstruktionen!E180</f>
        <v>262.30450000000002</v>
      </c>
      <c r="Q145" s="1108"/>
      <c r="R145" s="192" t="s">
        <v>444</v>
      </c>
      <c r="T145" s="182"/>
      <c r="U145" s="182" t="s">
        <v>557</v>
      </c>
      <c r="V145" s="182"/>
    </row>
    <row r="146" spans="1:23" s="146" customFormat="1">
      <c r="A146" s="174"/>
      <c r="B146" s="174"/>
      <c r="C146" s="174"/>
      <c r="D146" s="174"/>
      <c r="E146" s="175"/>
      <c r="F146" s="161"/>
      <c r="G146" s="160"/>
      <c r="H146" s="148"/>
      <c r="I146" s="188" t="s">
        <v>555</v>
      </c>
      <c r="J146" s="187">
        <f>K_Tiefe_Sturz</f>
        <v>0.15</v>
      </c>
      <c r="K146" s="186" t="s">
        <v>404</v>
      </c>
      <c r="T146" s="182" t="s">
        <v>554</v>
      </c>
      <c r="U146" s="182">
        <v>13.85</v>
      </c>
      <c r="V146" s="182"/>
      <c r="W146" s="146" t="s">
        <v>553</v>
      </c>
    </row>
    <row r="147" spans="1:23" s="146" customFormat="1" ht="13.5" thickBot="1">
      <c r="A147" s="174"/>
      <c r="B147" s="174"/>
      <c r="C147" s="174"/>
      <c r="D147" s="174"/>
      <c r="E147" s="175"/>
      <c r="F147" s="161"/>
      <c r="G147" s="179"/>
      <c r="H147" s="148"/>
      <c r="I147" s="185" t="s">
        <v>552</v>
      </c>
      <c r="J147" s="184">
        <f>K_Fläche_Tür</f>
        <v>1.845</v>
      </c>
      <c r="K147" s="183" t="s">
        <v>498</v>
      </c>
      <c r="T147" s="182" t="s">
        <v>430</v>
      </c>
      <c r="U147" s="182">
        <v>11.17</v>
      </c>
      <c r="V147" s="182"/>
    </row>
    <row r="148" spans="1:23" s="146" customFormat="1" ht="22.5" customHeight="1">
      <c r="A148" s="174"/>
      <c r="B148" s="174"/>
      <c r="C148" s="174"/>
      <c r="D148" s="174"/>
      <c r="E148" s="175"/>
      <c r="F148" s="175"/>
      <c r="G148" s="160"/>
      <c r="H148" s="148"/>
      <c r="I148" s="148"/>
      <c r="J148" s="148"/>
      <c r="K148" s="148"/>
      <c r="T148" s="182" t="s">
        <v>431</v>
      </c>
      <c r="U148" s="182">
        <v>55.19</v>
      </c>
      <c r="V148" s="182"/>
    </row>
    <row r="149" spans="1:23" s="178" customFormat="1" ht="11.25" customHeight="1">
      <c r="A149" s="174"/>
      <c r="B149" s="174"/>
      <c r="C149" s="174"/>
      <c r="D149" s="174"/>
      <c r="E149" s="174"/>
      <c r="F149" s="175"/>
      <c r="G149" s="174"/>
      <c r="H149" s="179"/>
      <c r="I149" s="179"/>
      <c r="J149" s="179"/>
      <c r="K149" s="179"/>
    </row>
    <row r="150" spans="1:23" s="146" customFormat="1">
      <c r="A150" s="174"/>
      <c r="B150" s="174"/>
      <c r="C150" s="174"/>
      <c r="D150" s="174"/>
      <c r="E150" s="174"/>
      <c r="F150" s="175"/>
      <c r="G150" s="174"/>
      <c r="H150" s="148"/>
      <c r="I150" s="148"/>
      <c r="J150" s="148"/>
      <c r="K150" s="148"/>
    </row>
    <row r="151" spans="1:23" hidden="1"/>
  </sheetData>
  <mergeCells count="52">
    <mergeCell ref="I57:I66"/>
    <mergeCell ref="J57:P57"/>
    <mergeCell ref="Q57:R57"/>
    <mergeCell ref="J58:J66"/>
    <mergeCell ref="R108:R116"/>
    <mergeCell ref="I107:I116"/>
    <mergeCell ref="J107:P107"/>
    <mergeCell ref="Q107:R107"/>
    <mergeCell ref="J108:J116"/>
    <mergeCell ref="K108:K116"/>
    <mergeCell ref="L108:L116"/>
    <mergeCell ref="M108:M116"/>
    <mergeCell ref="K58:K66"/>
    <mergeCell ref="Q58:Q66"/>
    <mergeCell ref="I7:I16"/>
    <mergeCell ref="J7:P7"/>
    <mergeCell ref="O58:O66"/>
    <mergeCell ref="P58:P66"/>
    <mergeCell ref="M58:M66"/>
    <mergeCell ref="N58:N66"/>
    <mergeCell ref="M42:N42"/>
    <mergeCell ref="M43:N43"/>
    <mergeCell ref="L58:L66"/>
    <mergeCell ref="P43:Q43"/>
    <mergeCell ref="P44:Q44"/>
    <mergeCell ref="P45:Q45"/>
    <mergeCell ref="P42:Q42"/>
    <mergeCell ref="Q8:Q16"/>
    <mergeCell ref="P8:P16"/>
    <mergeCell ref="O8:O16"/>
    <mergeCell ref="P145:Q145"/>
    <mergeCell ref="P91:Q91"/>
    <mergeCell ref="M92:N92"/>
    <mergeCell ref="P142:Q142"/>
    <mergeCell ref="M143:N143"/>
    <mergeCell ref="N108:N116"/>
    <mergeCell ref="O108:O116"/>
    <mergeCell ref="P108:P116"/>
    <mergeCell ref="P92:Q92"/>
    <mergeCell ref="P93:Q93"/>
    <mergeCell ref="P94:Q94"/>
    <mergeCell ref="Q108:Q116"/>
    <mergeCell ref="P143:Q143"/>
    <mergeCell ref="Q7:R7"/>
    <mergeCell ref="J8:J16"/>
    <mergeCell ref="K8:K16"/>
    <mergeCell ref="P144:Q144"/>
    <mergeCell ref="M8:M16"/>
    <mergeCell ref="L8:L16"/>
    <mergeCell ref="R58:R66"/>
    <mergeCell ref="R8:R16"/>
    <mergeCell ref="N8:N16"/>
  </mergeCells>
  <pageMargins left="0.25" right="0.25" top="0.75" bottom="0.75" header="0.3" footer="0.3"/>
  <pageSetup paperSize="8" scale="42" fitToHeight="0" orientation="landscape" r:id="rId1"/>
  <colBreaks count="2" manualBreakCount="2">
    <brk id="7" max="43" man="1"/>
    <brk id="19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111"/>
  <sheetViews>
    <sheetView zoomScaleNormal="100" workbookViewId="0">
      <selection activeCell="F14" sqref="F14"/>
    </sheetView>
  </sheetViews>
  <sheetFormatPr baseColWidth="10" defaultRowHeight="12.75"/>
  <cols>
    <col min="1" max="1" width="3" style="174" customWidth="1"/>
    <col min="2" max="2" width="40.7109375" style="174" bestFit="1" customWidth="1"/>
    <col min="3" max="3" width="14" style="174" bestFit="1" customWidth="1"/>
    <col min="4" max="4" width="12.140625" style="174" bestFit="1" customWidth="1"/>
    <col min="5" max="6" width="16.7109375" style="174" customWidth="1"/>
    <col min="7" max="7" width="11.42578125" style="174"/>
    <col min="8" max="8" width="11.42578125" style="174" customWidth="1"/>
    <col min="9" max="9" width="14.5703125" style="174" customWidth="1"/>
    <col min="10" max="20" width="16.7109375" style="174" customWidth="1"/>
    <col min="21" max="16384" width="11.42578125" style="174"/>
  </cols>
  <sheetData>
    <row r="1" spans="1:2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3" ht="23.25">
      <c r="A3" s="146"/>
      <c r="B3" s="392" t="s">
        <v>707</v>
      </c>
      <c r="C3" s="167"/>
      <c r="D3" s="167"/>
      <c r="E3" s="167"/>
      <c r="F3" s="167"/>
      <c r="G3" s="170"/>
      <c r="H3" s="170"/>
      <c r="I3" s="170"/>
      <c r="J3" s="392" t="s">
        <v>706</v>
      </c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46"/>
      <c r="V3" s="146"/>
      <c r="W3" s="146"/>
    </row>
    <row r="4" spans="1:2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3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1:23" ht="15">
      <c r="A6" s="146"/>
      <c r="B6" s="380" t="s">
        <v>685</v>
      </c>
      <c r="C6" s="146"/>
      <c r="D6" s="146"/>
      <c r="E6" s="146"/>
      <c r="F6" s="146"/>
      <c r="G6" s="146"/>
      <c r="H6" s="146"/>
      <c r="I6" s="146"/>
      <c r="J6" s="380" t="s">
        <v>685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spans="1:23">
      <c r="A7" s="146"/>
      <c r="B7" s="146"/>
      <c r="C7" s="146" t="s">
        <v>705</v>
      </c>
      <c r="D7" s="146"/>
      <c r="E7" s="146"/>
      <c r="F7" s="146" t="s">
        <v>704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1:23">
      <c r="A8" s="146"/>
      <c r="B8" s="371"/>
      <c r="C8" s="373" t="s">
        <v>683</v>
      </c>
      <c r="D8" s="373" t="s">
        <v>682</v>
      </c>
      <c r="E8" s="373" t="s">
        <v>681</v>
      </c>
      <c r="F8" s="379" t="s">
        <v>680</v>
      </c>
      <c r="G8" s="146"/>
      <c r="H8" s="146"/>
      <c r="I8" s="146"/>
      <c r="J8" s="391"/>
      <c r="K8" s="1133" t="s">
        <v>703</v>
      </c>
      <c r="L8" s="1133"/>
      <c r="M8" s="1133" t="s">
        <v>702</v>
      </c>
      <c r="N8" s="1133"/>
      <c r="O8" s="1133" t="s">
        <v>701</v>
      </c>
      <c r="P8" s="1133"/>
      <c r="Q8" s="1133" t="s">
        <v>700</v>
      </c>
      <c r="R8" s="1133"/>
      <c r="S8" s="1133" t="s">
        <v>699</v>
      </c>
      <c r="T8" s="1133"/>
      <c r="U8" s="337"/>
      <c r="V8" s="146"/>
      <c r="W8" s="146"/>
    </row>
    <row r="9" spans="1:23">
      <c r="A9" s="146"/>
      <c r="B9" s="358" t="s">
        <v>646</v>
      </c>
      <c r="C9" s="389">
        <v>90</v>
      </c>
      <c r="D9" s="389">
        <v>130</v>
      </c>
      <c r="E9" s="813">
        <v>30</v>
      </c>
      <c r="F9" s="814">
        <v>50</v>
      </c>
      <c r="G9" s="146"/>
      <c r="H9" s="146"/>
      <c r="I9" s="146"/>
      <c r="J9" s="390"/>
      <c r="K9" s="378" t="s">
        <v>648</v>
      </c>
      <c r="L9" s="378" t="s">
        <v>647</v>
      </c>
      <c r="M9" s="378" t="s">
        <v>648</v>
      </c>
      <c r="N9" s="378" t="s">
        <v>647</v>
      </c>
      <c r="O9" s="378" t="s">
        <v>648</v>
      </c>
      <c r="P9" s="378" t="s">
        <v>647</v>
      </c>
      <c r="Q9" s="378" t="s">
        <v>648</v>
      </c>
      <c r="R9" s="378" t="s">
        <v>647</v>
      </c>
      <c r="S9" s="378" t="s">
        <v>648</v>
      </c>
      <c r="T9" s="378" t="s">
        <v>647</v>
      </c>
      <c r="U9" s="337"/>
      <c r="V9" s="146"/>
      <c r="W9" s="146"/>
    </row>
    <row r="10" spans="1:23" ht="15" customHeight="1">
      <c r="A10" s="146"/>
      <c r="B10" s="146"/>
      <c r="C10" s="146"/>
      <c r="D10" s="146"/>
      <c r="E10" s="146"/>
      <c r="F10" s="146"/>
      <c r="G10" s="146"/>
      <c r="H10" s="146"/>
      <c r="I10" s="911" t="s">
        <v>381</v>
      </c>
      <c r="J10" s="1131" t="s">
        <v>646</v>
      </c>
      <c r="K10" s="1129">
        <v>10</v>
      </c>
      <c r="L10" s="1129">
        <v>20</v>
      </c>
      <c r="M10" s="1129">
        <v>15</v>
      </c>
      <c r="N10" s="1129">
        <v>25</v>
      </c>
      <c r="O10" s="1129">
        <v>15</v>
      </c>
      <c r="P10" s="1129">
        <v>25</v>
      </c>
      <c r="Q10" s="1129">
        <v>45</v>
      </c>
      <c r="R10" s="1129">
        <v>65</v>
      </c>
      <c r="S10" s="1129">
        <v>5</v>
      </c>
      <c r="T10" s="1129">
        <v>10</v>
      </c>
      <c r="U10" s="337"/>
      <c r="V10" s="146"/>
      <c r="W10" s="146"/>
    </row>
    <row r="11" spans="1:23">
      <c r="A11" s="146"/>
      <c r="B11" s="146"/>
      <c r="C11" s="146"/>
      <c r="D11" s="146"/>
      <c r="E11" s="146"/>
      <c r="F11" s="146"/>
      <c r="G11" s="146"/>
      <c r="H11" s="146"/>
      <c r="I11" s="911"/>
      <c r="J11" s="1131"/>
      <c r="K11" s="1129"/>
      <c r="L11" s="1129"/>
      <c r="M11" s="1129"/>
      <c r="N11" s="1129"/>
      <c r="O11" s="1129"/>
      <c r="P11" s="1129"/>
      <c r="Q11" s="1129"/>
      <c r="R11" s="1129"/>
      <c r="S11" s="1129"/>
      <c r="T11" s="1129"/>
      <c r="U11" s="337"/>
      <c r="V11" s="146"/>
      <c r="W11" s="146"/>
    </row>
    <row r="12" spans="1:23">
      <c r="A12" s="146"/>
      <c r="B12" s="146"/>
      <c r="C12" s="146"/>
      <c r="D12" s="146"/>
      <c r="E12" s="146"/>
      <c r="F12" s="146"/>
      <c r="G12" s="146"/>
      <c r="H12" s="146"/>
      <c r="I12" s="911"/>
      <c r="J12" s="1132"/>
      <c r="K12" s="1130"/>
      <c r="L12" s="1130"/>
      <c r="M12" s="1130"/>
      <c r="N12" s="1130"/>
      <c r="O12" s="1130"/>
      <c r="P12" s="1130"/>
      <c r="Q12" s="1130"/>
      <c r="R12" s="1130"/>
      <c r="S12" s="1130"/>
      <c r="T12" s="1130"/>
      <c r="U12" s="337"/>
      <c r="V12" s="146"/>
      <c r="W12" s="146"/>
    </row>
    <row r="13" spans="1:23" ht="40.5" customHeight="1">
      <c r="A13" s="146"/>
      <c r="B13" s="349"/>
      <c r="C13" s="374" t="s">
        <v>674</v>
      </c>
      <c r="D13" s="373" t="s">
        <v>673</v>
      </c>
      <c r="E13" s="370" t="s">
        <v>672</v>
      </c>
      <c r="F13" s="372" t="s">
        <v>671</v>
      </c>
      <c r="G13" s="372" t="s">
        <v>670</v>
      </c>
      <c r="H13" s="146"/>
      <c r="I13" s="912" t="s">
        <v>649</v>
      </c>
      <c r="J13" s="910" t="s">
        <v>646</v>
      </c>
      <c r="K13" s="376">
        <f t="shared" ref="K13:R13" si="0">K10*1.2</f>
        <v>12</v>
      </c>
      <c r="L13" s="376">
        <f t="shared" si="0"/>
        <v>24</v>
      </c>
      <c r="M13" s="376">
        <f t="shared" si="0"/>
        <v>18</v>
      </c>
      <c r="N13" s="376">
        <f t="shared" si="0"/>
        <v>30</v>
      </c>
      <c r="O13" s="376">
        <f t="shared" si="0"/>
        <v>18</v>
      </c>
      <c r="P13" s="376">
        <f t="shared" si="0"/>
        <v>30</v>
      </c>
      <c r="Q13" s="376">
        <f t="shared" si="0"/>
        <v>54</v>
      </c>
      <c r="R13" s="376">
        <f t="shared" si="0"/>
        <v>78</v>
      </c>
      <c r="S13" s="376">
        <f>S10</f>
        <v>5</v>
      </c>
      <c r="T13" s="375">
        <f>T10</f>
        <v>10</v>
      </c>
      <c r="U13" s="148"/>
      <c r="V13" s="146"/>
      <c r="W13" s="146"/>
    </row>
    <row r="14" spans="1:23" ht="15" customHeight="1">
      <c r="A14" s="146"/>
      <c r="B14" s="374" t="s">
        <v>646</v>
      </c>
      <c r="C14" s="820">
        <f>Referenzblatt!B23</f>
        <v>132.85714285714286</v>
      </c>
      <c r="D14" s="813">
        <f>Referenzblatt!B24</f>
        <v>178</v>
      </c>
      <c r="E14" s="821">
        <f>Referenzblatt!B31</f>
        <v>11.7323</v>
      </c>
      <c r="F14" s="822">
        <f>Referenzblatt!B32</f>
        <v>7.8666999999999998</v>
      </c>
      <c r="G14" s="823">
        <f>IF(Objektdaten_Neubau!E10="Ja",1,0)</f>
        <v>0</v>
      </c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</row>
    <row r="15" spans="1:23" ht="38.25">
      <c r="A15" s="146"/>
      <c r="B15" s="827"/>
      <c r="C15" s="824"/>
      <c r="D15" s="825"/>
      <c r="E15" s="817"/>
      <c r="F15" s="817"/>
      <c r="G15" s="817"/>
      <c r="H15" s="146"/>
      <c r="I15" s="146"/>
      <c r="J15" s="371"/>
      <c r="K15" s="370" t="s">
        <v>698</v>
      </c>
      <c r="L15" s="370" t="s">
        <v>697</v>
      </c>
      <c r="M15" s="370" t="s">
        <v>696</v>
      </c>
      <c r="N15" s="370" t="s">
        <v>695</v>
      </c>
      <c r="O15" s="370" t="s">
        <v>694</v>
      </c>
      <c r="P15" s="370" t="s">
        <v>693</v>
      </c>
      <c r="Q15" s="370" t="s">
        <v>692</v>
      </c>
      <c r="R15" s="370" t="s">
        <v>691</v>
      </c>
      <c r="S15" s="370" t="s">
        <v>690</v>
      </c>
      <c r="T15" s="370" t="s">
        <v>689</v>
      </c>
      <c r="U15" s="337"/>
      <c r="V15" s="146"/>
      <c r="W15" s="146"/>
    </row>
    <row r="16" spans="1:23">
      <c r="A16" s="146"/>
      <c r="B16" s="175"/>
      <c r="C16" s="826"/>
      <c r="D16" s="819"/>
      <c r="E16" s="818"/>
      <c r="F16" s="818"/>
      <c r="G16" s="818"/>
      <c r="H16" s="146"/>
      <c r="I16" s="911"/>
      <c r="J16" s="369"/>
      <c r="K16" s="368"/>
      <c r="L16" s="365"/>
      <c r="M16" s="365"/>
      <c r="N16" s="388"/>
      <c r="O16" s="388"/>
      <c r="P16" s="388"/>
      <c r="Q16" s="388"/>
      <c r="R16" s="388"/>
      <c r="S16" s="365"/>
      <c r="T16" s="364"/>
      <c r="U16" s="337"/>
      <c r="V16" s="146"/>
      <c r="W16" s="146"/>
    </row>
    <row r="17" spans="1:23">
      <c r="A17" s="146"/>
      <c r="B17" s="146"/>
      <c r="C17" s="385"/>
      <c r="D17" s="384"/>
      <c r="E17" s="146"/>
      <c r="F17" s="146"/>
      <c r="G17" s="146"/>
      <c r="H17" s="146"/>
      <c r="I17" s="911"/>
      <c r="J17" s="363"/>
      <c r="K17" s="367"/>
      <c r="L17" s="361"/>
      <c r="M17" s="361"/>
      <c r="N17" s="346"/>
      <c r="O17" s="346"/>
      <c r="P17" s="346"/>
      <c r="Q17" s="346"/>
      <c r="R17" s="346"/>
      <c r="S17" s="361"/>
      <c r="T17" s="360"/>
      <c r="U17" s="337"/>
      <c r="V17" s="146"/>
      <c r="W17" s="146"/>
    </row>
    <row r="18" spans="1:23">
      <c r="A18" s="146"/>
      <c r="B18" s="146"/>
      <c r="C18" s="385"/>
      <c r="D18" s="384"/>
      <c r="E18" s="146"/>
      <c r="F18" s="146"/>
      <c r="G18" s="146"/>
      <c r="H18" s="146"/>
      <c r="I18" s="911" t="s">
        <v>381</v>
      </c>
      <c r="J18" s="363" t="s">
        <v>646</v>
      </c>
      <c r="K18" s="382">
        <f>Referenzblatt!J34</f>
        <v>132.85714285714286</v>
      </c>
      <c r="L18" s="357">
        <f>Referenzblatt!J35</f>
        <v>178</v>
      </c>
      <c r="M18" s="357">
        <f>Referenzblatt!O45</f>
        <v>6.8559999999999999</v>
      </c>
      <c r="N18" s="344">
        <f>Referenzblatt!J29/Referenzblatt!$B$37</f>
        <v>7.0991467857844226</v>
      </c>
      <c r="O18" s="344">
        <f>Referenzblatt!J30/Referenzblatt!$B$37</f>
        <v>1.9714452107063927</v>
      </c>
      <c r="P18" s="344">
        <f>Referenzblatt!J31/Referenzblatt!$B$37</f>
        <v>1.9181789602879218</v>
      </c>
      <c r="Q18" s="344">
        <f>Referenzblatt!J32/Referenzblatt!$B$37</f>
        <v>4.666666666666667</v>
      </c>
      <c r="R18" s="344">
        <f>Referenzblatt!J33/Referenzblatt!$B$37</f>
        <v>6.6333333333333337</v>
      </c>
      <c r="S18" s="357">
        <f>Referenzblatt!O43</f>
        <v>0.878</v>
      </c>
      <c r="T18" s="356">
        <f>Referenzblatt!O44</f>
        <v>3.9983</v>
      </c>
      <c r="U18" s="337"/>
      <c r="V18" s="146"/>
      <c r="W18" s="146"/>
    </row>
    <row r="19" spans="1:23">
      <c r="A19" s="146"/>
      <c r="B19" s="146"/>
      <c r="C19" s="385"/>
      <c r="D19" s="384"/>
      <c r="E19" s="146"/>
      <c r="F19" s="146"/>
      <c r="G19" s="146"/>
      <c r="H19" s="146"/>
      <c r="I19" s="383"/>
      <c r="J19" s="363"/>
      <c r="K19" s="368"/>
      <c r="L19" s="365"/>
      <c r="M19" s="365"/>
      <c r="N19" s="388"/>
      <c r="O19" s="388"/>
      <c r="P19" s="388"/>
      <c r="Q19" s="388"/>
      <c r="R19" s="388"/>
      <c r="S19" s="365"/>
      <c r="T19" s="364"/>
      <c r="U19" s="148"/>
      <c r="V19" s="146"/>
      <c r="W19" s="146"/>
    </row>
    <row r="20" spans="1:23">
      <c r="A20" s="146"/>
      <c r="B20" s="146"/>
      <c r="C20" s="146"/>
      <c r="D20" s="146"/>
      <c r="E20" s="146"/>
      <c r="F20" s="146"/>
      <c r="G20" s="146"/>
      <c r="H20" s="146"/>
      <c r="I20" s="387"/>
      <c r="J20" s="363"/>
      <c r="K20" s="367"/>
      <c r="L20" s="361"/>
      <c r="M20" s="361"/>
      <c r="N20" s="346"/>
      <c r="O20" s="346"/>
      <c r="P20" s="346"/>
      <c r="Q20" s="386"/>
      <c r="R20" s="386"/>
      <c r="S20" s="361"/>
      <c r="T20" s="360"/>
      <c r="U20" s="148"/>
      <c r="V20" s="146"/>
      <c r="W20" s="146"/>
    </row>
    <row r="21" spans="1:23" ht="12.75" customHeight="1">
      <c r="A21" s="146"/>
      <c r="B21" s="146"/>
      <c r="C21" s="146"/>
      <c r="D21" s="146"/>
      <c r="E21" s="146"/>
      <c r="F21" s="146"/>
      <c r="G21" s="146"/>
      <c r="H21" s="146"/>
      <c r="I21" s="383" t="s">
        <v>649</v>
      </c>
      <c r="J21" s="358" t="s">
        <v>646</v>
      </c>
      <c r="K21" s="382">
        <f>K18</f>
        <v>132.85714285714286</v>
      </c>
      <c r="L21" s="357">
        <f>L18</f>
        <v>178</v>
      </c>
      <c r="M21" s="357">
        <f>Referenzblatt!P45</f>
        <v>4.1135999999999999</v>
      </c>
      <c r="N21" s="344">
        <f>N18</f>
        <v>7.0991467857844226</v>
      </c>
      <c r="O21" s="344">
        <f>O18</f>
        <v>1.9714452107063927</v>
      </c>
      <c r="P21" s="344">
        <f>P18</f>
        <v>1.9181789602879218</v>
      </c>
      <c r="Q21" s="344">
        <f>Q18</f>
        <v>4.666666666666667</v>
      </c>
      <c r="R21" s="344">
        <f>R18</f>
        <v>6.6333333333333337</v>
      </c>
      <c r="S21" s="357">
        <f>Referenzblatt!P43</f>
        <v>0.52680000000000005</v>
      </c>
      <c r="T21" s="356">
        <f>Referenzblatt!P44</f>
        <v>3.2262999999999997</v>
      </c>
      <c r="U21" s="148"/>
      <c r="V21" s="146"/>
      <c r="W21" s="146"/>
    </row>
    <row r="22" spans="1:23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</row>
    <row r="23" spans="1:2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</row>
    <row r="24" spans="1:2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</row>
    <row r="25" spans="1:23" ht="23.25">
      <c r="A25" s="146"/>
      <c r="B25" s="381" t="s">
        <v>688</v>
      </c>
      <c r="C25" s="290"/>
      <c r="D25" s="290"/>
      <c r="E25" s="290"/>
      <c r="F25" s="290"/>
      <c r="G25" s="170"/>
      <c r="H25" s="170"/>
      <c r="I25" s="170"/>
      <c r="J25" s="381" t="s">
        <v>687</v>
      </c>
      <c r="K25" s="290"/>
      <c r="L25" s="290"/>
      <c r="M25" s="290"/>
      <c r="N25" s="290"/>
      <c r="O25" s="290"/>
      <c r="P25" s="290"/>
      <c r="Q25" s="290" t="s">
        <v>686</v>
      </c>
      <c r="R25" s="290"/>
      <c r="S25" s="290"/>
      <c r="T25" s="290"/>
      <c r="U25" s="146"/>
      <c r="V25" s="146"/>
      <c r="W25" s="146"/>
    </row>
    <row r="26" spans="1:23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</row>
    <row r="27" spans="1:23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</row>
    <row r="28" spans="1:23" ht="15">
      <c r="A28" s="146"/>
      <c r="B28" s="380" t="s">
        <v>685</v>
      </c>
      <c r="C28" s="146"/>
      <c r="D28" s="146"/>
      <c r="E28" s="146"/>
      <c r="F28" s="146"/>
      <c r="G28" s="146"/>
      <c r="H28" s="146"/>
      <c r="I28" s="146"/>
      <c r="J28" s="380" t="s">
        <v>685</v>
      </c>
      <c r="K28" s="146"/>
      <c r="L28" s="146" t="s">
        <v>684</v>
      </c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</row>
    <row r="29" spans="1:23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  <row r="30" spans="1:23">
      <c r="A30" s="146"/>
      <c r="B30" s="371"/>
      <c r="C30" s="373" t="s">
        <v>683</v>
      </c>
      <c r="D30" s="373" t="s">
        <v>682</v>
      </c>
      <c r="E30" s="373" t="s">
        <v>681</v>
      </c>
      <c r="F30" s="379" t="s">
        <v>680</v>
      </c>
      <c r="G30" s="146"/>
      <c r="H30" s="146"/>
      <c r="I30" s="146"/>
      <c r="J30" s="339"/>
      <c r="K30" s="1133" t="s">
        <v>679</v>
      </c>
      <c r="L30" s="1133"/>
      <c r="M30" s="1133" t="s">
        <v>678</v>
      </c>
      <c r="N30" s="1133"/>
      <c r="O30" s="1133" t="s">
        <v>677</v>
      </c>
      <c r="P30" s="1133"/>
      <c r="Q30" s="1133" t="s">
        <v>676</v>
      </c>
      <c r="R30" s="1133"/>
      <c r="S30" s="1133" t="s">
        <v>675</v>
      </c>
      <c r="T30" s="1133"/>
      <c r="U30" s="337"/>
      <c r="V30" s="146"/>
      <c r="W30" s="146"/>
    </row>
    <row r="31" spans="1:23">
      <c r="A31" s="146"/>
      <c r="B31" s="815" t="s">
        <v>646</v>
      </c>
      <c r="C31" s="816">
        <v>6.6</v>
      </c>
      <c r="D31" s="816">
        <v>10.4</v>
      </c>
      <c r="E31" s="813">
        <v>2.2999999999999998</v>
      </c>
      <c r="F31" s="814">
        <v>3.9</v>
      </c>
      <c r="G31" s="146"/>
      <c r="H31" s="146"/>
      <c r="I31" s="146"/>
      <c r="J31" s="337"/>
      <c r="K31" s="378" t="s">
        <v>648</v>
      </c>
      <c r="L31" s="378" t="s">
        <v>647</v>
      </c>
      <c r="M31" s="378" t="s">
        <v>648</v>
      </c>
      <c r="N31" s="378" t="s">
        <v>647</v>
      </c>
      <c r="O31" s="378" t="s">
        <v>648</v>
      </c>
      <c r="P31" s="378" t="s">
        <v>647</v>
      </c>
      <c r="Q31" s="378" t="s">
        <v>648</v>
      </c>
      <c r="R31" s="378" t="s">
        <v>647</v>
      </c>
      <c r="S31" s="378" t="s">
        <v>648</v>
      </c>
      <c r="T31" s="378" t="s">
        <v>647</v>
      </c>
      <c r="U31" s="337"/>
      <c r="V31" s="146"/>
      <c r="W31" s="146"/>
    </row>
    <row r="32" spans="1:23">
      <c r="A32" s="146"/>
      <c r="B32" s="146"/>
      <c r="C32" s="146"/>
      <c r="D32" s="146"/>
      <c r="E32" s="146"/>
      <c r="F32" s="146"/>
      <c r="G32" s="146"/>
      <c r="H32" s="146"/>
      <c r="I32" s="1143" t="s">
        <v>381</v>
      </c>
      <c r="J32" s="369"/>
      <c r="K32" s="1129">
        <v>0.5</v>
      </c>
      <c r="L32" s="1129">
        <v>1</v>
      </c>
      <c r="M32" s="1129">
        <v>0.75</v>
      </c>
      <c r="N32" s="1129">
        <v>1.25</v>
      </c>
      <c r="O32" s="1129">
        <v>0.75</v>
      </c>
      <c r="P32" s="1129">
        <v>1.25</v>
      </c>
      <c r="Q32" s="1129">
        <v>2.25</v>
      </c>
      <c r="R32" s="1129">
        <v>3.25</v>
      </c>
      <c r="S32" s="1129">
        <v>0.25</v>
      </c>
      <c r="T32" s="1129">
        <v>0.5</v>
      </c>
      <c r="U32" s="337"/>
      <c r="V32" s="146"/>
      <c r="W32" s="146"/>
    </row>
    <row r="33" spans="1:23">
      <c r="A33" s="146"/>
      <c r="B33" s="146"/>
      <c r="C33" s="146"/>
      <c r="D33" s="146"/>
      <c r="E33" s="146"/>
      <c r="F33" s="146"/>
      <c r="G33" s="146"/>
      <c r="H33" s="146"/>
      <c r="I33" s="1143"/>
      <c r="J33" s="363"/>
      <c r="K33" s="1129"/>
      <c r="L33" s="1129"/>
      <c r="M33" s="1129"/>
      <c r="N33" s="1129"/>
      <c r="O33" s="1129"/>
      <c r="P33" s="1129"/>
      <c r="Q33" s="1129"/>
      <c r="R33" s="1129"/>
      <c r="S33" s="1129"/>
      <c r="T33" s="1129"/>
      <c r="U33" s="337"/>
      <c r="V33" s="146"/>
      <c r="W33" s="146"/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143"/>
      <c r="J34" s="358" t="s">
        <v>646</v>
      </c>
      <c r="K34" s="1130"/>
      <c r="L34" s="1130"/>
      <c r="M34" s="1130"/>
      <c r="N34" s="1130"/>
      <c r="O34" s="1130"/>
      <c r="P34" s="1130"/>
      <c r="Q34" s="1130"/>
      <c r="R34" s="1130"/>
      <c r="S34" s="1130"/>
      <c r="T34" s="1130"/>
      <c r="U34" s="337"/>
      <c r="V34" s="146"/>
      <c r="W34" s="146"/>
    </row>
    <row r="35" spans="1:23" ht="37.5" customHeight="1">
      <c r="A35" s="146"/>
      <c r="B35" s="146"/>
      <c r="C35" s="146"/>
      <c r="D35" s="146"/>
      <c r="E35" s="146"/>
      <c r="F35" s="146"/>
      <c r="G35" s="146"/>
      <c r="H35" s="146"/>
      <c r="I35" s="377" t="s">
        <v>649</v>
      </c>
      <c r="J35" s="913" t="s">
        <v>646</v>
      </c>
      <c r="K35" s="376">
        <f t="shared" ref="K35:R35" si="1">K32*1.2</f>
        <v>0.6</v>
      </c>
      <c r="L35" s="376">
        <f t="shared" si="1"/>
        <v>1.2</v>
      </c>
      <c r="M35" s="376">
        <f t="shared" si="1"/>
        <v>0.89999999999999991</v>
      </c>
      <c r="N35" s="376">
        <f t="shared" si="1"/>
        <v>1.5</v>
      </c>
      <c r="O35" s="376">
        <f t="shared" si="1"/>
        <v>0.89999999999999991</v>
      </c>
      <c r="P35" s="376">
        <f t="shared" si="1"/>
        <v>1.5</v>
      </c>
      <c r="Q35" s="376">
        <f t="shared" si="1"/>
        <v>2.6999999999999997</v>
      </c>
      <c r="R35" s="376">
        <f t="shared" si="1"/>
        <v>3.9</v>
      </c>
      <c r="S35" s="376">
        <f>S32</f>
        <v>0.25</v>
      </c>
      <c r="T35" s="375">
        <f>T32</f>
        <v>0.5</v>
      </c>
      <c r="U35" s="148"/>
      <c r="V35" s="146"/>
      <c r="W35" s="146"/>
    </row>
    <row r="36" spans="1:23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</row>
    <row r="37" spans="1:23" ht="38.25">
      <c r="A37" s="146"/>
      <c r="B37" s="349"/>
      <c r="C37" s="374" t="s">
        <v>674</v>
      </c>
      <c r="D37" s="373" t="s">
        <v>673</v>
      </c>
      <c r="E37" s="370" t="s">
        <v>672</v>
      </c>
      <c r="F37" s="372" t="s">
        <v>671</v>
      </c>
      <c r="G37" s="372" t="s">
        <v>670</v>
      </c>
      <c r="H37" s="146"/>
      <c r="I37" s="146"/>
      <c r="J37" s="371"/>
      <c r="K37" s="370" t="s">
        <v>669</v>
      </c>
      <c r="L37" s="370" t="s">
        <v>668</v>
      </c>
      <c r="M37" s="370" t="s">
        <v>667</v>
      </c>
      <c r="N37" s="370" t="s">
        <v>666</v>
      </c>
      <c r="O37" s="370" t="s">
        <v>665</v>
      </c>
      <c r="P37" s="370" t="s">
        <v>664</v>
      </c>
      <c r="Q37" s="370" t="s">
        <v>663</v>
      </c>
      <c r="R37" s="370" t="s">
        <v>662</v>
      </c>
      <c r="S37" s="370" t="s">
        <v>661</v>
      </c>
      <c r="T37" s="370" t="s">
        <v>660</v>
      </c>
      <c r="U37" s="337"/>
      <c r="V37" s="146"/>
      <c r="W37" s="146"/>
    </row>
    <row r="38" spans="1:23">
      <c r="A38" s="146"/>
      <c r="B38" s="374" t="s">
        <v>646</v>
      </c>
      <c r="C38" s="829">
        <f>Referenzblatt!B64</f>
        <v>9.6666666666666661</v>
      </c>
      <c r="D38" s="830">
        <f>Referenzblatt!B65</f>
        <v>11.438516</v>
      </c>
      <c r="E38" s="821">
        <f>Referenzblatt!B72</f>
        <v>0.67489999999999961</v>
      </c>
      <c r="F38" s="822">
        <f>Referenzblatt!B73</f>
        <v>0.45489999999999958</v>
      </c>
      <c r="G38" s="823">
        <f>IF(Objektdaten_Neubau!E10="Ja",1,0)</f>
        <v>0</v>
      </c>
      <c r="H38" s="146"/>
      <c r="I38" s="1143" t="s">
        <v>381</v>
      </c>
      <c r="J38" s="369"/>
      <c r="K38" s="368"/>
      <c r="L38" s="365"/>
      <c r="M38" s="365"/>
      <c r="N38" s="365"/>
      <c r="O38" s="365"/>
      <c r="P38" s="366"/>
      <c r="Q38" s="365"/>
      <c r="R38" s="365"/>
      <c r="S38" s="365"/>
      <c r="T38" s="364"/>
      <c r="U38" s="337"/>
      <c r="V38" s="146"/>
      <c r="W38" s="146"/>
    </row>
    <row r="39" spans="1:23">
      <c r="A39" s="146"/>
      <c r="B39" s="161"/>
      <c r="C39" s="818"/>
      <c r="D39" s="818"/>
      <c r="E39" s="818"/>
      <c r="F39" s="818"/>
      <c r="G39" s="818"/>
      <c r="H39" s="146"/>
      <c r="I39" s="1143"/>
      <c r="J39" s="363"/>
      <c r="K39" s="367"/>
      <c r="L39" s="361"/>
      <c r="M39" s="361"/>
      <c r="N39" s="361"/>
      <c r="O39" s="361"/>
      <c r="P39" s="362"/>
      <c r="Q39" s="361"/>
      <c r="R39" s="361"/>
      <c r="S39" s="361"/>
      <c r="T39" s="360"/>
      <c r="U39" s="337"/>
      <c r="V39" s="146"/>
      <c r="W39" s="146"/>
    </row>
    <row r="40" spans="1:23">
      <c r="A40" s="146"/>
      <c r="B40" s="828"/>
      <c r="C40" s="818"/>
      <c r="D40" s="818"/>
      <c r="E40" s="818"/>
      <c r="F40" s="818"/>
      <c r="G40" s="818"/>
      <c r="H40" s="146"/>
      <c r="I40" s="1143"/>
      <c r="J40" s="363" t="s">
        <v>646</v>
      </c>
      <c r="K40" s="367">
        <f>Referenzblatt!J84</f>
        <v>9.6666666666666661</v>
      </c>
      <c r="L40" s="361">
        <f>Referenzblatt!J85</f>
        <v>11.438516</v>
      </c>
      <c r="M40" s="357">
        <f>Referenzblatt!O94</f>
        <v>0.37999999999999962</v>
      </c>
      <c r="N40" s="361">
        <f>Referenzblatt!J79/Referenzblatt!$B$78</f>
        <v>0.4422430460136112</v>
      </c>
      <c r="O40" s="361">
        <f>Referenzblatt!J80/Referenzblatt!$B$78</f>
        <v>0.15186614657005035</v>
      </c>
      <c r="P40" s="361">
        <f>Referenzblatt!J81/Referenzblatt!$B$78</f>
        <v>0.11962975526823237</v>
      </c>
      <c r="Q40" s="361">
        <f>Referenzblatt!J82/Referenzblatt!$B$78</f>
        <v>0.29699999999999999</v>
      </c>
      <c r="R40" s="361">
        <f>Referenzblatt!J83/Referenzblatt!$B$78</f>
        <v>0.42333333333333328</v>
      </c>
      <c r="S40" s="357">
        <f>Referenzblatt!O92</f>
        <v>5.4000000000000006E-2</v>
      </c>
      <c r="T40" s="356">
        <f>Referenzblatt!O93</f>
        <v>0.2409</v>
      </c>
      <c r="U40" s="337"/>
      <c r="V40" s="146"/>
      <c r="W40" s="146"/>
    </row>
    <row r="41" spans="1:23">
      <c r="A41" s="146"/>
      <c r="B41" s="146"/>
      <c r="C41" s="359"/>
      <c r="D41" s="359"/>
      <c r="E41" s="146"/>
      <c r="F41" s="146"/>
      <c r="G41" s="146"/>
      <c r="H41" s="146"/>
      <c r="I41" s="1148" t="s">
        <v>649</v>
      </c>
      <c r="J41" s="363"/>
      <c r="K41" s="365"/>
      <c r="L41" s="365"/>
      <c r="M41" s="365"/>
      <c r="N41" s="365"/>
      <c r="O41" s="365"/>
      <c r="P41" s="366"/>
      <c r="Q41" s="365"/>
      <c r="R41" s="365"/>
      <c r="S41" s="365"/>
      <c r="T41" s="364"/>
      <c r="U41" s="148"/>
      <c r="V41" s="146"/>
      <c r="W41" s="146"/>
    </row>
    <row r="42" spans="1:23">
      <c r="A42" s="146"/>
      <c r="B42" s="146"/>
      <c r="C42" s="359"/>
      <c r="D42" s="359"/>
      <c r="E42" s="146"/>
      <c r="F42" s="146"/>
      <c r="G42" s="146"/>
      <c r="H42" s="146"/>
      <c r="I42" s="1148"/>
      <c r="J42" s="363"/>
      <c r="K42" s="361"/>
      <c r="L42" s="361"/>
      <c r="M42" s="361"/>
      <c r="N42" s="361"/>
      <c r="O42" s="361"/>
      <c r="P42" s="362"/>
      <c r="Q42" s="361"/>
      <c r="R42" s="361"/>
      <c r="S42" s="361"/>
      <c r="T42" s="360"/>
      <c r="U42" s="148"/>
      <c r="V42" s="146"/>
      <c r="W42" s="146"/>
    </row>
    <row r="43" spans="1:23" ht="12.75" customHeight="1">
      <c r="A43" s="146"/>
      <c r="B43" s="146"/>
      <c r="C43" s="359"/>
      <c r="D43" s="359"/>
      <c r="E43" s="146"/>
      <c r="F43" s="146"/>
      <c r="G43" s="146"/>
      <c r="H43" s="146"/>
      <c r="I43" s="1148"/>
      <c r="J43" s="358" t="s">
        <v>646</v>
      </c>
      <c r="K43" s="357">
        <f>K40</f>
        <v>9.6666666666666661</v>
      </c>
      <c r="L43" s="357">
        <f>L40</f>
        <v>11.438516</v>
      </c>
      <c r="M43" s="357">
        <f>Referenzblatt!P94</f>
        <v>0.22799999999999959</v>
      </c>
      <c r="N43" s="357">
        <f>N40</f>
        <v>0.4422430460136112</v>
      </c>
      <c r="O43" s="357">
        <f>O40</f>
        <v>0.15186614657005035</v>
      </c>
      <c r="P43" s="357">
        <f>P40</f>
        <v>0.11962975526823237</v>
      </c>
      <c r="Q43" s="357">
        <f>Q40</f>
        <v>0.29699999999999999</v>
      </c>
      <c r="R43" s="357">
        <f>R40</f>
        <v>0.42333333333333328</v>
      </c>
      <c r="S43" s="357">
        <f>Referenzblatt!P92</f>
        <v>3.2399999999999998E-2</v>
      </c>
      <c r="T43" s="356">
        <f>Referenzblatt!P93</f>
        <v>0.19450000000000001</v>
      </c>
      <c r="U43" s="148"/>
      <c r="V43" s="146"/>
      <c r="W43" s="146"/>
    </row>
    <row r="44" spans="1:23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</row>
    <row r="45" spans="1:23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</row>
    <row r="46" spans="1:23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</row>
    <row r="47" spans="1:23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</row>
    <row r="48" spans="1:23" ht="23.25" customHeight="1">
      <c r="A48" s="146"/>
      <c r="B48" s="354" t="s">
        <v>1173</v>
      </c>
      <c r="C48" s="353"/>
      <c r="D48" s="353"/>
      <c r="E48" s="353"/>
      <c r="F48" s="353"/>
      <c r="G48" s="353"/>
      <c r="H48" s="354" t="s">
        <v>658</v>
      </c>
      <c r="I48" s="355"/>
      <c r="J48" s="355"/>
      <c r="K48" s="355"/>
      <c r="L48" s="355"/>
      <c r="M48" s="355"/>
      <c r="N48" s="355"/>
      <c r="O48" s="354" t="s">
        <v>657</v>
      </c>
      <c r="P48" s="353"/>
      <c r="Q48" s="353"/>
      <c r="R48" s="353"/>
      <c r="S48" s="353"/>
      <c r="T48" s="353"/>
      <c r="U48" s="146"/>
      <c r="V48" s="146"/>
      <c r="W48" s="146"/>
    </row>
    <row r="49" spans="1:23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</row>
    <row r="50" spans="1:23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</row>
    <row r="51" spans="1:23">
      <c r="A51" s="146"/>
      <c r="F51" s="146"/>
      <c r="G51" s="146"/>
      <c r="H51" s="146"/>
      <c r="I51" s="146"/>
      <c r="J51" s="146"/>
      <c r="K51" s="146"/>
      <c r="L51" s="146"/>
      <c r="M51" s="146"/>
      <c r="N51" s="146"/>
      <c r="U51" s="146"/>
      <c r="V51" s="146"/>
      <c r="W51" s="146"/>
    </row>
    <row r="52" spans="1:23">
      <c r="A52" s="146"/>
      <c r="B52" s="340" t="s">
        <v>656</v>
      </c>
      <c r="C52" s="146"/>
      <c r="D52" s="146"/>
      <c r="F52" s="146"/>
      <c r="G52" s="146"/>
      <c r="H52" s="146"/>
      <c r="I52" s="146"/>
      <c r="J52" s="340" t="s">
        <v>417</v>
      </c>
      <c r="K52" s="146"/>
      <c r="L52" s="146"/>
      <c r="M52" s="146"/>
      <c r="N52" s="146"/>
      <c r="O52" s="146"/>
      <c r="P52" s="146"/>
      <c r="Q52" s="146"/>
      <c r="R52" s="340" t="s">
        <v>417</v>
      </c>
      <c r="S52" s="146"/>
      <c r="T52" s="146"/>
      <c r="U52" s="146"/>
      <c r="V52" s="146"/>
      <c r="W52" s="146"/>
    </row>
    <row r="53" spans="1:23" ht="14.25">
      <c r="A53" s="146"/>
      <c r="B53" s="339" t="s">
        <v>655</v>
      </c>
      <c r="C53" s="352">
        <f>Ae</f>
        <v>0</v>
      </c>
      <c r="D53" s="351" t="s">
        <v>423</v>
      </c>
      <c r="F53" s="146"/>
      <c r="G53" s="1136" t="s">
        <v>381</v>
      </c>
      <c r="H53" s="1137"/>
      <c r="I53" s="1138"/>
      <c r="J53" s="348" t="s">
        <v>593</v>
      </c>
      <c r="K53" s="348" t="s">
        <v>427</v>
      </c>
      <c r="L53" s="347" t="s">
        <v>426</v>
      </c>
      <c r="M53" s="146"/>
      <c r="N53" s="146"/>
      <c r="O53" s="1136" t="s">
        <v>381</v>
      </c>
      <c r="P53" s="1137"/>
      <c r="Q53" s="1138"/>
      <c r="R53" s="348" t="s">
        <v>593</v>
      </c>
      <c r="S53" s="348" t="s">
        <v>427</v>
      </c>
      <c r="T53" s="347" t="s">
        <v>426</v>
      </c>
      <c r="U53" s="146"/>
      <c r="V53" s="146"/>
      <c r="W53" s="146"/>
    </row>
    <row r="54" spans="1:23" ht="14.25">
      <c r="A54" s="146"/>
      <c r="B54" s="337" t="s">
        <v>654</v>
      </c>
      <c r="C54" s="148">
        <f>Gf-Ae</f>
        <v>0</v>
      </c>
      <c r="D54" s="350" t="s">
        <v>423</v>
      </c>
      <c r="F54" s="146"/>
      <c r="G54" s="1139" t="s">
        <v>450</v>
      </c>
      <c r="H54" s="1140"/>
      <c r="I54" s="1141"/>
      <c r="J54" s="467">
        <f>IF(Objektdaten_Neubau!$E$10="Ja",'Berechnung Grenzwerte'!M16,0)</f>
        <v>0</v>
      </c>
      <c r="K54" s="388">
        <f>IF(Objektdaten_Neubau!$E$10="Ja",'Berechnung Grenzwerte'!M17,0)</f>
        <v>0</v>
      </c>
      <c r="L54" s="468">
        <f>IF(Objektdaten_Neubau!$E$10="Ja",'Berechnung Grenzwerte'!M18,0)</f>
        <v>0</v>
      </c>
      <c r="M54" s="146"/>
      <c r="N54" s="146"/>
      <c r="O54" s="1139" t="s">
        <v>450</v>
      </c>
      <c r="P54" s="1140"/>
      <c r="Q54" s="1141"/>
      <c r="R54" s="346">
        <f>IF(Objektdaten_Neubau!E10="Ja",'Berechnung Grenzwerte'!M38,0)</f>
        <v>0</v>
      </c>
      <c r="S54" s="346">
        <f>IF(Objektdaten_Neubau!E10="Ja",'Berechnung Grenzwerte'!M39,0)</f>
        <v>0</v>
      </c>
      <c r="T54" s="345">
        <f>IF(Objektdaten_Neubau!E10="Ja",'Berechnung Grenzwerte'!M40,0)</f>
        <v>0</v>
      </c>
      <c r="U54" s="146"/>
      <c r="V54" s="146"/>
      <c r="W54" s="146"/>
    </row>
    <row r="55" spans="1:23" ht="15" thickBot="1">
      <c r="A55" s="146"/>
      <c r="B55" s="337" t="s">
        <v>653</v>
      </c>
      <c r="C55" s="148">
        <f>Objektdaten_Neubau!E26</f>
        <v>0</v>
      </c>
      <c r="D55" s="350" t="s">
        <v>423</v>
      </c>
      <c r="F55" s="146"/>
      <c r="G55" s="343"/>
      <c r="H55" s="343"/>
      <c r="I55" s="342" t="s">
        <v>651</v>
      </c>
      <c r="J55" s="341">
        <f>SUM(J54:J54)</f>
        <v>0</v>
      </c>
      <c r="K55" s="341">
        <f>SUM(K54:K54)</f>
        <v>0</v>
      </c>
      <c r="L55" s="341">
        <f>SUM(L54:L54)</f>
        <v>0</v>
      </c>
      <c r="M55" s="146"/>
      <c r="N55" s="146"/>
      <c r="O55" s="343"/>
      <c r="P55" s="343"/>
      <c r="Q55" s="342" t="s">
        <v>651</v>
      </c>
      <c r="R55" s="341">
        <f>SUM(R54:R54)</f>
        <v>0</v>
      </c>
      <c r="S55" s="341">
        <f>SUM(S54:S54)</f>
        <v>0</v>
      </c>
      <c r="T55" s="341">
        <f>SUM(T54:T54)</f>
        <v>0</v>
      </c>
      <c r="U55" s="146"/>
      <c r="V55" s="146"/>
      <c r="W55" s="146"/>
    </row>
    <row r="56" spans="1:23" ht="15" thickTop="1">
      <c r="A56" s="146"/>
      <c r="B56" s="905" t="s">
        <v>652</v>
      </c>
      <c r="C56" s="906">
        <f>Objektdaten_Neubau!E28</f>
        <v>0</v>
      </c>
      <c r="D56" s="907" t="s">
        <v>423</v>
      </c>
      <c r="F56" s="146"/>
      <c r="G56" s="146"/>
      <c r="H56" s="146"/>
      <c r="J56" s="146"/>
      <c r="K56" s="146"/>
      <c r="L56" s="146"/>
      <c r="M56" s="146"/>
      <c r="N56" s="146"/>
      <c r="O56" s="146"/>
      <c r="P56" s="146"/>
      <c r="R56" s="146"/>
      <c r="S56" s="146"/>
      <c r="T56" s="146"/>
      <c r="U56" s="146"/>
      <c r="V56" s="146"/>
      <c r="W56" s="146"/>
    </row>
    <row r="57" spans="1:23">
      <c r="A57" s="146"/>
      <c r="B57" s="146"/>
      <c r="C57" s="146"/>
      <c r="D57" s="146"/>
      <c r="F57" s="146"/>
      <c r="G57" s="146"/>
      <c r="H57" s="146"/>
      <c r="J57" s="146"/>
      <c r="K57" s="146"/>
      <c r="L57" s="146"/>
      <c r="M57" s="146"/>
      <c r="N57" s="146"/>
      <c r="O57" s="146"/>
      <c r="P57" s="146"/>
      <c r="R57" s="146"/>
      <c r="S57" s="146"/>
      <c r="T57" s="146"/>
      <c r="U57" s="146"/>
      <c r="V57" s="146"/>
      <c r="W57" s="146"/>
    </row>
    <row r="58" spans="1:23">
      <c r="B58" s="146"/>
      <c r="C58" s="146"/>
      <c r="D58" s="146"/>
      <c r="F58" s="146"/>
      <c r="G58" s="146"/>
      <c r="H58" s="146"/>
      <c r="I58" s="146"/>
      <c r="J58" s="340" t="s">
        <v>417</v>
      </c>
      <c r="K58" s="146"/>
      <c r="L58" s="146"/>
      <c r="M58" s="146"/>
      <c r="N58" s="146"/>
      <c r="O58" s="146"/>
      <c r="P58" s="146"/>
      <c r="Q58" s="146"/>
      <c r="R58" s="340" t="s">
        <v>417</v>
      </c>
      <c r="S58" s="146"/>
      <c r="T58" s="146"/>
    </row>
    <row r="59" spans="1:23">
      <c r="B59" s="146"/>
      <c r="C59" s="146"/>
      <c r="D59" s="146"/>
      <c r="F59" s="146"/>
      <c r="G59" s="1136" t="s">
        <v>649</v>
      </c>
      <c r="H59" s="1137"/>
      <c r="I59" s="1138"/>
      <c r="J59" s="349" t="s">
        <v>593</v>
      </c>
      <c r="K59" s="348" t="s">
        <v>427</v>
      </c>
      <c r="L59" s="347" t="s">
        <v>426</v>
      </c>
      <c r="M59" s="146"/>
      <c r="N59" s="146"/>
      <c r="O59" s="1136" t="s">
        <v>649</v>
      </c>
      <c r="P59" s="1137"/>
      <c r="Q59" s="1138"/>
      <c r="R59" s="349" t="s">
        <v>593</v>
      </c>
      <c r="S59" s="348" t="s">
        <v>427</v>
      </c>
      <c r="T59" s="347" t="s">
        <v>426</v>
      </c>
    </row>
    <row r="60" spans="1:23">
      <c r="B60" s="146"/>
      <c r="C60" s="146"/>
      <c r="D60" s="146"/>
      <c r="E60" s="146"/>
      <c r="F60" s="146"/>
      <c r="G60" s="1139" t="s">
        <v>450</v>
      </c>
      <c r="H60" s="1140"/>
      <c r="I60" s="1141"/>
      <c r="J60" s="467">
        <f>IF(Objektdaten_Neubau!$E$10="Ja",'Berechnung Grenzwerte'!M19,0)</f>
        <v>0</v>
      </c>
      <c r="K60" s="388">
        <f>IF(Objektdaten_Neubau!$E$10="Ja",'Berechnung Grenzwerte'!M20,0)</f>
        <v>0</v>
      </c>
      <c r="L60" s="468">
        <f>IF(Objektdaten_Neubau!$E$10="Ja",'Berechnung Grenzwerte'!M21,0)</f>
        <v>0</v>
      </c>
      <c r="M60" s="146"/>
      <c r="N60" s="146"/>
      <c r="O60" s="1139" t="s">
        <v>450</v>
      </c>
      <c r="P60" s="1140"/>
      <c r="Q60" s="1141"/>
      <c r="R60" s="346">
        <f>IF(Objektdaten_Neubau!E10="Ja",'Berechnung Grenzwerte'!M41,0)</f>
        <v>0</v>
      </c>
      <c r="S60" s="346">
        <f>IF(Objektdaten_Neubau!E10="Ja",'Berechnung Grenzwerte'!M42,0)</f>
        <v>0</v>
      </c>
      <c r="T60" s="345">
        <f>IF(Objektdaten_Neubau!E10="Ja",'Berechnung Grenzwerte'!M43,0)</f>
        <v>0</v>
      </c>
    </row>
    <row r="61" spans="1:23" ht="13.5" thickBot="1">
      <c r="B61" s="146"/>
      <c r="C61" s="146"/>
      <c r="D61" s="146"/>
      <c r="E61" s="146"/>
      <c r="F61" s="146"/>
      <c r="G61" s="343"/>
      <c r="H61" s="343"/>
      <c r="I61" s="342" t="s">
        <v>651</v>
      </c>
      <c r="J61" s="341">
        <f>SUM(J60:J60)</f>
        <v>0</v>
      </c>
      <c r="K61" s="341">
        <f>SUM(K60:K60)</f>
        <v>0</v>
      </c>
      <c r="L61" s="341">
        <f>SUM(L60:L60)</f>
        <v>0</v>
      </c>
      <c r="M61" s="146"/>
      <c r="N61" s="146"/>
      <c r="O61" s="343"/>
      <c r="P61" s="343"/>
      <c r="Q61" s="342" t="s">
        <v>651</v>
      </c>
      <c r="R61" s="341">
        <f>SUM(R60:R60)</f>
        <v>0</v>
      </c>
      <c r="S61" s="341">
        <f>SUM(S60:S60)</f>
        <v>0</v>
      </c>
      <c r="T61" s="341">
        <f>SUM(T60:T60)</f>
        <v>0</v>
      </c>
    </row>
    <row r="62" spans="1:23" ht="13.5" thickTop="1"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</row>
    <row r="63" spans="1:23"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</row>
    <row r="64" spans="1:23">
      <c r="B64" s="146"/>
      <c r="C64" s="146"/>
      <c r="D64" s="146"/>
      <c r="E64" s="146"/>
      <c r="F64" s="146"/>
      <c r="G64" s="340" t="s">
        <v>650</v>
      </c>
      <c r="H64" s="146"/>
      <c r="I64" s="146"/>
      <c r="J64" s="146"/>
      <c r="K64" s="146"/>
      <c r="L64" s="146"/>
      <c r="M64" s="146"/>
      <c r="N64" s="146"/>
      <c r="O64" s="340" t="s">
        <v>650</v>
      </c>
      <c r="P64" s="146"/>
      <c r="Q64" s="146"/>
      <c r="R64" s="146"/>
      <c r="S64" s="146"/>
      <c r="T64" s="146"/>
    </row>
    <row r="65" spans="1:23">
      <c r="B65" s="146"/>
      <c r="C65" s="146"/>
      <c r="D65" s="146"/>
      <c r="E65" s="146"/>
      <c r="F65" s="146"/>
      <c r="G65" s="339"/>
      <c r="H65" s="338"/>
      <c r="I65" s="1142" t="s">
        <v>381</v>
      </c>
      <c r="J65" s="1142"/>
      <c r="K65" s="1134" t="s">
        <v>649</v>
      </c>
      <c r="L65" s="1135"/>
      <c r="M65" s="146"/>
      <c r="N65" s="146"/>
      <c r="O65" s="339"/>
      <c r="P65" s="338"/>
      <c r="Q65" s="1142" t="s">
        <v>381</v>
      </c>
      <c r="R65" s="1142"/>
      <c r="S65" s="1134" t="s">
        <v>649</v>
      </c>
      <c r="T65" s="1135"/>
    </row>
    <row r="66" spans="1:23">
      <c r="B66" s="146"/>
      <c r="C66" s="146"/>
      <c r="D66" s="146"/>
      <c r="E66" s="146"/>
      <c r="F66" s="146"/>
      <c r="G66" s="337"/>
      <c r="H66" s="336"/>
      <c r="I66" s="335" t="s">
        <v>648</v>
      </c>
      <c r="J66" s="335" t="s">
        <v>647</v>
      </c>
      <c r="K66" s="334" t="s">
        <v>648</v>
      </c>
      <c r="L66" s="333" t="s">
        <v>647</v>
      </c>
      <c r="M66" s="326"/>
      <c r="N66" s="326"/>
      <c r="O66" s="337"/>
      <c r="P66" s="336"/>
      <c r="Q66" s="335" t="s">
        <v>648</v>
      </c>
      <c r="R66" s="335" t="s">
        <v>647</v>
      </c>
      <c r="S66" s="334" t="s">
        <v>648</v>
      </c>
      <c r="T66" s="333" t="s">
        <v>647</v>
      </c>
    </row>
    <row r="67" spans="1:23">
      <c r="B67" s="146"/>
      <c r="C67" s="146"/>
      <c r="D67" s="146"/>
      <c r="E67" s="146"/>
      <c r="F67" s="146"/>
      <c r="G67" s="1144" t="s">
        <v>408</v>
      </c>
      <c r="H67" s="1145"/>
      <c r="I67" s="908" t="e">
        <f>(EBF*C9+UBF*E9+C55*C14+C56*D14)/EBF+E14*G14</f>
        <v>#DIV/0!</v>
      </c>
      <c r="J67" s="909" t="e">
        <f>(EBF*D9+UBF*F9+C55*C14+C56*D14)/EBF+E14*G14</f>
        <v>#DIV/0!</v>
      </c>
      <c r="K67" s="908" t="e">
        <f>(EBF*C9+UBF*E9+C55*C14+C56*D14)/EBF+F14*G14</f>
        <v>#DIV/0!</v>
      </c>
      <c r="L67" s="909" t="e">
        <f>(EBF*D9+UBF*F9+C55*C14+C56*D14)/EBF+F14*G14</f>
        <v>#DIV/0!</v>
      </c>
      <c r="M67" s="326"/>
      <c r="N67" s="326"/>
      <c r="O67" s="1146" t="s">
        <v>408</v>
      </c>
      <c r="P67" s="1147"/>
      <c r="Q67" s="908" t="e">
        <f>(EBF*C31+UBF*E31+C55*C38+C56*D38)/EBF+E38*G38</f>
        <v>#DIV/0!</v>
      </c>
      <c r="R67" s="909" t="e">
        <f>(EBF*D31+UBF*F31+C55*C38+C56*D38)/EBF+E38*G38</f>
        <v>#DIV/0!</v>
      </c>
      <c r="S67" s="908" t="e">
        <f>(EBF*C31+UBF*E31+C55*C38+C56*D38)/EBF+F38*G38</f>
        <v>#DIV/0!</v>
      </c>
      <c r="T67" s="909" t="e">
        <f>(EBF*D31+UBF*F31+C55*C38+C56*D38)/EBF+F38*G38</f>
        <v>#DIV/0!</v>
      </c>
    </row>
    <row r="68" spans="1:23">
      <c r="B68" s="146"/>
      <c r="C68" s="146"/>
      <c r="D68" s="146"/>
      <c r="E68" s="146"/>
      <c r="F68" s="146"/>
      <c r="M68" s="326"/>
      <c r="N68" s="326"/>
      <c r="R68" s="323"/>
    </row>
    <row r="69" spans="1:23">
      <c r="B69" s="146"/>
      <c r="C69" s="146"/>
      <c r="D69" s="146"/>
      <c r="E69" s="146"/>
      <c r="F69" s="146"/>
      <c r="M69" s="146"/>
      <c r="N69" s="146"/>
      <c r="R69" s="323"/>
    </row>
    <row r="70" spans="1:23">
      <c r="B70" s="146"/>
      <c r="C70" s="146"/>
      <c r="D70" s="146"/>
      <c r="E70" s="146"/>
      <c r="F70" s="146"/>
      <c r="M70" s="146"/>
      <c r="N70" s="146"/>
      <c r="R70" s="323"/>
    </row>
    <row r="71" spans="1:23">
      <c r="B71" s="146"/>
      <c r="C71" s="146"/>
      <c r="D71" s="146"/>
      <c r="E71" s="146"/>
      <c r="F71" s="146"/>
      <c r="M71" s="146"/>
      <c r="N71" s="146"/>
      <c r="R71" s="323"/>
    </row>
    <row r="72" spans="1:23" ht="23.25" customHeight="1">
      <c r="A72" s="146"/>
      <c r="B72" s="354" t="s">
        <v>659</v>
      </c>
      <c r="C72" s="353"/>
      <c r="D72" s="353"/>
      <c r="E72" s="353"/>
      <c r="F72" s="353"/>
      <c r="G72" s="353"/>
      <c r="H72" s="354" t="s">
        <v>658</v>
      </c>
      <c r="I72" s="355"/>
      <c r="J72" s="355"/>
      <c r="K72" s="355"/>
      <c r="L72" s="355"/>
      <c r="M72" s="355"/>
      <c r="N72" s="355"/>
      <c r="O72" s="354" t="s">
        <v>657</v>
      </c>
      <c r="P72" s="353"/>
      <c r="Q72" s="353"/>
      <c r="R72" s="353"/>
      <c r="S72" s="353"/>
      <c r="T72" s="353"/>
      <c r="U72" s="146"/>
      <c r="V72" s="146"/>
      <c r="W72" s="146"/>
    </row>
    <row r="73" spans="1:23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</row>
    <row r="74" spans="1:23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</row>
    <row r="75" spans="1:23">
      <c r="A75" s="146"/>
      <c r="F75" s="146"/>
      <c r="G75" s="146"/>
      <c r="H75" s="146"/>
      <c r="I75" s="146"/>
      <c r="J75" s="146"/>
      <c r="K75" s="146"/>
      <c r="L75" s="146"/>
      <c r="M75" s="146"/>
      <c r="N75" s="146"/>
      <c r="U75" s="146"/>
      <c r="V75" s="146"/>
      <c r="W75" s="146"/>
    </row>
    <row r="76" spans="1:23">
      <c r="A76" s="146"/>
      <c r="B76" s="340" t="s">
        <v>656</v>
      </c>
      <c r="C76" s="146"/>
      <c r="D76" s="146"/>
      <c r="F76" s="146"/>
      <c r="G76" s="146"/>
      <c r="H76" s="146"/>
      <c r="I76" s="146"/>
      <c r="J76" s="340" t="s">
        <v>417</v>
      </c>
      <c r="K76" s="146"/>
      <c r="L76" s="146"/>
      <c r="M76" s="146"/>
      <c r="N76" s="146"/>
      <c r="O76" s="146"/>
      <c r="P76" s="146"/>
      <c r="Q76" s="146"/>
      <c r="R76" s="340" t="s">
        <v>417</v>
      </c>
      <c r="S76" s="146"/>
      <c r="T76" s="146"/>
      <c r="U76" s="146"/>
      <c r="V76" s="146"/>
      <c r="W76" s="146"/>
    </row>
    <row r="77" spans="1:23" ht="14.25">
      <c r="A77" s="146"/>
      <c r="B77" s="339" t="s">
        <v>655</v>
      </c>
      <c r="C77" s="352">
        <f>Ae_mod</f>
        <v>0</v>
      </c>
      <c r="D77" s="351" t="s">
        <v>423</v>
      </c>
      <c r="F77" s="146"/>
      <c r="G77" s="1136" t="s">
        <v>381</v>
      </c>
      <c r="H77" s="1137"/>
      <c r="I77" s="1138"/>
      <c r="J77" s="347" t="s">
        <v>426</v>
      </c>
      <c r="K77" s="914"/>
      <c r="M77" s="146"/>
      <c r="N77" s="146"/>
      <c r="O77" s="1136" t="s">
        <v>381</v>
      </c>
      <c r="P77" s="1137"/>
      <c r="Q77" s="1138"/>
      <c r="R77" s="347" t="s">
        <v>426</v>
      </c>
      <c r="U77" s="146"/>
      <c r="V77" s="146"/>
      <c r="W77" s="146"/>
    </row>
    <row r="78" spans="1:23" ht="14.25">
      <c r="A78" s="146"/>
      <c r="B78" s="337" t="s">
        <v>654</v>
      </c>
      <c r="C78" s="148">
        <f>Gf_mod-Ae_mod</f>
        <v>0</v>
      </c>
      <c r="D78" s="350" t="s">
        <v>423</v>
      </c>
      <c r="F78" s="146"/>
      <c r="G78" s="1139" t="s">
        <v>450</v>
      </c>
      <c r="H78" s="1140"/>
      <c r="I78" s="1141"/>
      <c r="J78" s="468">
        <f>IF(Erdsonde_mod="Ja",'Berechnung Grenzwerte'!M18,0)</f>
        <v>0</v>
      </c>
      <c r="K78" s="346"/>
      <c r="M78" s="146"/>
      <c r="N78" s="146"/>
      <c r="O78" s="1139" t="s">
        <v>450</v>
      </c>
      <c r="P78" s="1140"/>
      <c r="Q78" s="1141"/>
      <c r="R78" s="468">
        <f>IF(Erdsonde_mod="Ja",'Berechnung Grenzwerte'!M40,0)</f>
        <v>0</v>
      </c>
      <c r="U78" s="146"/>
      <c r="V78" s="146"/>
      <c r="W78" s="146"/>
    </row>
    <row r="79" spans="1:23" ht="14.25">
      <c r="A79" s="146"/>
      <c r="B79" s="337" t="s">
        <v>653</v>
      </c>
      <c r="C79" s="148">
        <f>[0]!PV_Fläche_mod</f>
        <v>0</v>
      </c>
      <c r="D79" s="350" t="s">
        <v>423</v>
      </c>
      <c r="F79" s="146"/>
      <c r="G79" s="1139" t="s">
        <v>455</v>
      </c>
      <c r="H79" s="1140"/>
      <c r="I79" s="1141"/>
      <c r="J79" s="916">
        <f>IF(Lüftung="Ja",'Berechnung Grenzwerte'!N18,0)</f>
        <v>0</v>
      </c>
      <c r="K79" s="466"/>
      <c r="M79" s="146"/>
      <c r="N79" s="146"/>
      <c r="O79" s="1139" t="s">
        <v>455</v>
      </c>
      <c r="P79" s="1140"/>
      <c r="Q79" s="1141"/>
      <c r="R79" s="916">
        <f>IF(Lüftung="Ja",'Berechnung Grenzwerte'!N40,0)</f>
        <v>0</v>
      </c>
      <c r="U79" s="146"/>
      <c r="V79" s="146"/>
      <c r="W79" s="146"/>
    </row>
    <row r="80" spans="1:23" ht="14.25">
      <c r="A80" s="146"/>
      <c r="B80" s="337" t="s">
        <v>652</v>
      </c>
      <c r="C80" s="148">
        <f>[0]!SK_Fläche_mod</f>
        <v>0</v>
      </c>
      <c r="D80" s="350" t="s">
        <v>423</v>
      </c>
      <c r="F80" s="146"/>
      <c r="G80" s="1139" t="s">
        <v>454</v>
      </c>
      <c r="H80" s="1140"/>
      <c r="I80" s="1141"/>
      <c r="J80" s="916">
        <f>IF(Erdregister="Ja",'Berechnung Grenzwerte'!O18,0)</f>
        <v>0</v>
      </c>
      <c r="K80" s="466"/>
      <c r="M80" s="146"/>
      <c r="N80" s="146"/>
      <c r="O80" s="1139" t="s">
        <v>454</v>
      </c>
      <c r="P80" s="1140"/>
      <c r="Q80" s="1141"/>
      <c r="R80" s="916">
        <f>IF(Erdregister="Ja",'Berechnung Grenzwerte'!O40,0)</f>
        <v>0</v>
      </c>
      <c r="U80" s="146"/>
      <c r="V80" s="146"/>
      <c r="W80" s="146"/>
    </row>
    <row r="81" spans="1:23" ht="14.25">
      <c r="A81" s="146"/>
      <c r="B81" s="469" t="s">
        <v>443</v>
      </c>
      <c r="C81" s="470">
        <f>Objektdaten_Modernisierung!E18</f>
        <v>0</v>
      </c>
      <c r="D81" s="471" t="s">
        <v>1028</v>
      </c>
      <c r="F81" s="146"/>
      <c r="G81" s="1139" t="s">
        <v>453</v>
      </c>
      <c r="H81" s="1140"/>
      <c r="I81" s="1141"/>
      <c r="J81" s="916">
        <f>IF(Abluftanlagen="Ja",'Berechnung Grenzwerte'!P18,0)</f>
        <v>0</v>
      </c>
      <c r="K81" s="466"/>
      <c r="M81" s="146"/>
      <c r="N81" s="146"/>
      <c r="O81" s="1139" t="s">
        <v>453</v>
      </c>
      <c r="P81" s="1140"/>
      <c r="Q81" s="1141"/>
      <c r="R81" s="916">
        <f>IF(Abluftanlagen="Ja",'Berechnung Grenzwerte'!P40,0)</f>
        <v>0</v>
      </c>
      <c r="U81" s="146"/>
      <c r="V81" s="146"/>
      <c r="W81" s="146"/>
    </row>
    <row r="82" spans="1:23" ht="14.25">
      <c r="B82" s="472" t="s">
        <v>442</v>
      </c>
      <c r="C82" s="470">
        <f>Objektdaten_Modernisierung!E20</f>
        <v>0</v>
      </c>
      <c r="D82" s="471" t="s">
        <v>1028</v>
      </c>
      <c r="F82" s="146"/>
      <c r="G82" s="1139" t="s">
        <v>422</v>
      </c>
      <c r="H82" s="1140"/>
      <c r="I82" s="1141"/>
      <c r="J82" s="916">
        <f>IF(Sanitär="Ja",'Berechnung Grenzwerte'!Q18,0)</f>
        <v>0</v>
      </c>
      <c r="K82" s="466"/>
      <c r="M82" s="146"/>
      <c r="N82" s="146"/>
      <c r="O82" s="1139" t="s">
        <v>422</v>
      </c>
      <c r="P82" s="1140"/>
      <c r="Q82" s="1141"/>
      <c r="R82" s="916">
        <f>IF(Sanitär="Ja",'Berechnung Grenzwerte'!Q40,0)</f>
        <v>0</v>
      </c>
    </row>
    <row r="83" spans="1:23" ht="14.25">
      <c r="B83" s="472" t="s">
        <v>441</v>
      </c>
      <c r="C83" s="470">
        <f>AFU_mod</f>
        <v>0</v>
      </c>
      <c r="D83" s="471" t="s">
        <v>1028</v>
      </c>
      <c r="F83" s="146"/>
      <c r="G83" s="1139" t="s">
        <v>421</v>
      </c>
      <c r="H83" s="1140"/>
      <c r="I83" s="1141"/>
      <c r="J83" s="916">
        <f>IF(Elektro="Ja",'Berechnung Grenzwerte'!R18,0)</f>
        <v>0</v>
      </c>
      <c r="K83" s="466"/>
      <c r="M83" s="146"/>
      <c r="N83" s="146"/>
      <c r="O83" s="1139" t="s">
        <v>421</v>
      </c>
      <c r="P83" s="1140"/>
      <c r="Q83" s="1141"/>
      <c r="R83" s="916">
        <f>IF(Elektro="Ja",'Berechnung Grenzwerte'!R40,0)</f>
        <v>0</v>
      </c>
    </row>
    <row r="84" spans="1:23" ht="14.25">
      <c r="B84" s="473" t="s">
        <v>440</v>
      </c>
      <c r="C84" s="474">
        <f>Objektdaten_Modernisierung!E22</f>
        <v>0</v>
      </c>
      <c r="D84" s="475" t="s">
        <v>1028</v>
      </c>
      <c r="E84" s="146"/>
      <c r="F84" s="146"/>
      <c r="G84" s="1139" t="s">
        <v>452</v>
      </c>
      <c r="H84" s="1140"/>
      <c r="I84" s="1141"/>
      <c r="J84" s="916">
        <f>IF(Wärmeerzeugung="Ja",'Berechnung Grenzwerte'!S18,0)</f>
        <v>0</v>
      </c>
      <c r="K84" s="466"/>
      <c r="M84" s="146"/>
      <c r="N84" s="146"/>
      <c r="O84" s="1139" t="s">
        <v>452</v>
      </c>
      <c r="P84" s="1140"/>
      <c r="Q84" s="1141"/>
      <c r="R84" s="916">
        <f>IF(Wärmeerzeugung="Ja",'Berechnung Grenzwerte'!S40,0)</f>
        <v>0</v>
      </c>
    </row>
    <row r="85" spans="1:23">
      <c r="B85" s="146"/>
      <c r="C85" s="146"/>
      <c r="D85" s="146"/>
      <c r="E85" s="146"/>
      <c r="F85" s="146"/>
      <c r="G85" s="1149" t="s">
        <v>451</v>
      </c>
      <c r="H85" s="1150"/>
      <c r="I85" s="1151"/>
      <c r="J85" s="345">
        <f>IF(Wärmeverteilung="Ja",'Berechnung Grenzwerte'!T18,0)</f>
        <v>0</v>
      </c>
      <c r="K85" s="466"/>
      <c r="M85" s="146"/>
      <c r="N85" s="146"/>
      <c r="O85" s="1149" t="s">
        <v>451</v>
      </c>
      <c r="P85" s="1150"/>
      <c r="Q85" s="1151"/>
      <c r="R85" s="345">
        <f>IF(Wärmeverteilung="Ja",'Berechnung Grenzwerte'!T40,0)</f>
        <v>0</v>
      </c>
    </row>
    <row r="86" spans="1:23" ht="13.5" thickBot="1">
      <c r="B86" s="146"/>
      <c r="C86" s="146"/>
      <c r="D86" s="146"/>
      <c r="E86" s="146"/>
      <c r="F86" s="146"/>
      <c r="G86" s="343"/>
      <c r="H86" s="343"/>
      <c r="I86" s="342" t="s">
        <v>651</v>
      </c>
      <c r="J86" s="341">
        <f>SUM(J78:J85)</f>
        <v>0</v>
      </c>
      <c r="K86" s="915"/>
      <c r="M86" s="146"/>
      <c r="N86" s="146"/>
      <c r="O86" s="343"/>
      <c r="P86" s="343"/>
      <c r="Q86" s="342" t="s">
        <v>651</v>
      </c>
      <c r="R86" s="341">
        <f>SUM(R78:R85)</f>
        <v>0</v>
      </c>
    </row>
    <row r="87" spans="1:23" ht="13.5" thickTop="1">
      <c r="B87" s="146"/>
      <c r="C87" s="146"/>
      <c r="D87" s="146"/>
      <c r="E87" s="146"/>
      <c r="F87" s="146"/>
      <c r="G87" s="146"/>
      <c r="H87" s="146"/>
      <c r="J87" s="146"/>
      <c r="K87" s="148"/>
      <c r="L87" s="146"/>
      <c r="M87" s="146"/>
      <c r="N87" s="146"/>
      <c r="O87" s="146"/>
      <c r="P87" s="146"/>
      <c r="R87" s="146"/>
      <c r="S87" s="146"/>
      <c r="T87" s="146"/>
    </row>
    <row r="88" spans="1:23">
      <c r="B88" s="146"/>
      <c r="C88" s="146"/>
      <c r="D88" s="146"/>
      <c r="E88" s="146"/>
      <c r="F88" s="146"/>
      <c r="G88" s="146"/>
      <c r="H88" s="146"/>
      <c r="J88" s="146"/>
      <c r="K88" s="146"/>
      <c r="L88" s="146"/>
      <c r="M88" s="146"/>
      <c r="N88" s="146"/>
      <c r="O88" s="146"/>
      <c r="P88" s="146"/>
      <c r="R88" s="146"/>
      <c r="S88" s="146"/>
      <c r="T88" s="146"/>
    </row>
    <row r="89" spans="1:23">
      <c r="B89" s="146"/>
      <c r="C89" s="146"/>
      <c r="D89" s="146"/>
      <c r="E89" s="146"/>
      <c r="F89" s="146"/>
      <c r="G89" s="146"/>
      <c r="H89" s="146"/>
      <c r="I89" s="146"/>
      <c r="J89" s="340" t="s">
        <v>417</v>
      </c>
      <c r="K89" s="146"/>
      <c r="L89" s="146"/>
      <c r="M89" s="146"/>
      <c r="N89" s="146"/>
      <c r="O89" s="146"/>
      <c r="P89" s="146"/>
      <c r="Q89" s="146"/>
      <c r="R89" s="340" t="s">
        <v>417</v>
      </c>
      <c r="S89" s="146"/>
      <c r="T89" s="146"/>
    </row>
    <row r="90" spans="1:23">
      <c r="B90" s="146"/>
      <c r="C90" s="146"/>
      <c r="D90" s="146"/>
      <c r="E90" s="146"/>
      <c r="F90" s="146"/>
      <c r="G90" s="876" t="s">
        <v>649</v>
      </c>
      <c r="H90" s="877"/>
      <c r="I90" s="878"/>
      <c r="J90" s="347" t="s">
        <v>426</v>
      </c>
      <c r="K90" s="914"/>
      <c r="L90" s="323"/>
      <c r="M90" s="146"/>
      <c r="N90" s="146"/>
      <c r="O90" s="876" t="s">
        <v>649</v>
      </c>
      <c r="P90" s="877"/>
      <c r="Q90" s="878"/>
      <c r="R90" s="347" t="s">
        <v>426</v>
      </c>
    </row>
    <row r="91" spans="1:23">
      <c r="B91" s="146"/>
      <c r="C91" s="146"/>
      <c r="D91" s="146"/>
      <c r="E91" s="146"/>
      <c r="F91" s="146"/>
      <c r="G91" s="1152" t="s">
        <v>450</v>
      </c>
      <c r="H91" s="1153"/>
      <c r="I91" s="1154"/>
      <c r="J91" s="468">
        <f>IF(Erdsonde_mod="Ja",'Berechnung Grenzwerte'!M21,0)</f>
        <v>0</v>
      </c>
      <c r="K91" s="346"/>
      <c r="L91" s="346"/>
      <c r="M91" s="146"/>
      <c r="N91" s="146"/>
      <c r="O91" s="1152" t="s">
        <v>450</v>
      </c>
      <c r="P91" s="1153"/>
      <c r="Q91" s="1154"/>
      <c r="R91" s="468">
        <f>IF(Erdsonde_mod="Ja",'Berechnung Grenzwerte'!M43,0)</f>
        <v>0</v>
      </c>
    </row>
    <row r="92" spans="1:23">
      <c r="B92" s="146"/>
      <c r="C92" s="146"/>
      <c r="D92" s="146"/>
      <c r="E92" s="146"/>
      <c r="F92" s="146"/>
      <c r="G92" s="1139" t="s">
        <v>455</v>
      </c>
      <c r="H92" s="1140"/>
      <c r="I92" s="1141"/>
      <c r="J92" s="916">
        <f>IF(Lüftung="Ja",'Berechnung Grenzwerte'!N21,0)</f>
        <v>0</v>
      </c>
      <c r="K92" s="466"/>
      <c r="L92" s="466"/>
      <c r="M92" s="146"/>
      <c r="N92" s="146"/>
      <c r="O92" s="1139" t="s">
        <v>455</v>
      </c>
      <c r="P92" s="1140"/>
      <c r="Q92" s="1141"/>
      <c r="R92" s="916">
        <f>IF(Lüftung="Ja",'Berechnung Grenzwerte'!N43,0)</f>
        <v>0</v>
      </c>
    </row>
    <row r="93" spans="1:23">
      <c r="B93" s="146"/>
      <c r="C93" s="146"/>
      <c r="D93" s="146"/>
      <c r="E93" s="146"/>
      <c r="F93" s="146"/>
      <c r="G93" s="1139" t="s">
        <v>454</v>
      </c>
      <c r="H93" s="1140"/>
      <c r="I93" s="1141"/>
      <c r="J93" s="916">
        <f>IF(Erdregister="Ja",'Berechnung Grenzwerte'!O21,0)</f>
        <v>0</v>
      </c>
      <c r="K93" s="466"/>
      <c r="L93" s="466"/>
      <c r="M93" s="146"/>
      <c r="N93" s="146"/>
      <c r="O93" s="1139" t="s">
        <v>454</v>
      </c>
      <c r="P93" s="1140"/>
      <c r="Q93" s="1141"/>
      <c r="R93" s="916">
        <f>IF(Erdregister="Ja",'Berechnung Grenzwerte'!O43,0)</f>
        <v>0</v>
      </c>
    </row>
    <row r="94" spans="1:23">
      <c r="B94" s="146"/>
      <c r="C94" s="146"/>
      <c r="D94" s="146"/>
      <c r="E94" s="146"/>
      <c r="F94" s="146"/>
      <c r="G94" s="1139" t="s">
        <v>453</v>
      </c>
      <c r="H94" s="1140"/>
      <c r="I94" s="1141"/>
      <c r="J94" s="916">
        <f>IF(Abluftanlagen="Ja",'Berechnung Grenzwerte'!P18,0)</f>
        <v>0</v>
      </c>
      <c r="K94" s="466"/>
      <c r="L94" s="466"/>
      <c r="M94" s="146"/>
      <c r="N94" s="146"/>
      <c r="O94" s="1139" t="s">
        <v>453</v>
      </c>
      <c r="P94" s="1140"/>
      <c r="Q94" s="1141"/>
      <c r="R94" s="916">
        <f>IF(Abluftanlagen="Ja",'Berechnung Grenzwerte'!P43,0)</f>
        <v>0</v>
      </c>
    </row>
    <row r="95" spans="1:23">
      <c r="B95" s="146"/>
      <c r="C95" s="146"/>
      <c r="D95" s="146"/>
      <c r="E95" s="146"/>
      <c r="F95" s="146"/>
      <c r="G95" s="1139" t="s">
        <v>422</v>
      </c>
      <c r="H95" s="1140"/>
      <c r="I95" s="1141"/>
      <c r="J95" s="916">
        <f>IF(Sanitär="Ja",'Berechnung Grenzwerte'!Q21,0)</f>
        <v>0</v>
      </c>
      <c r="K95" s="466"/>
      <c r="L95" s="466"/>
      <c r="M95" s="146"/>
      <c r="N95" s="146"/>
      <c r="O95" s="1139" t="s">
        <v>422</v>
      </c>
      <c r="P95" s="1140"/>
      <c r="Q95" s="1141"/>
      <c r="R95" s="916">
        <f>IF(Sanitär="Ja",'Berechnung Grenzwerte'!Q43,0)</f>
        <v>0</v>
      </c>
    </row>
    <row r="96" spans="1:23">
      <c r="B96" s="146"/>
      <c r="C96" s="146"/>
      <c r="D96" s="146"/>
      <c r="E96" s="146"/>
      <c r="F96" s="146"/>
      <c r="G96" s="1139" t="s">
        <v>421</v>
      </c>
      <c r="H96" s="1140"/>
      <c r="I96" s="1141"/>
      <c r="J96" s="916">
        <f>IF(Elektro="Ja",'Berechnung Grenzwerte'!R21,0)</f>
        <v>0</v>
      </c>
      <c r="K96" s="466"/>
      <c r="L96" s="466"/>
      <c r="M96" s="146"/>
      <c r="N96" s="146"/>
      <c r="O96" s="1139" t="s">
        <v>421</v>
      </c>
      <c r="P96" s="1140"/>
      <c r="Q96" s="1141"/>
      <c r="R96" s="916">
        <f>IF(Elektro="Ja",'Berechnung Grenzwerte'!R43,0)</f>
        <v>0</v>
      </c>
    </row>
    <row r="97" spans="2:20">
      <c r="B97" s="146"/>
      <c r="C97" s="146"/>
      <c r="D97" s="146"/>
      <c r="E97" s="146"/>
      <c r="F97" s="146"/>
      <c r="G97" s="1139" t="s">
        <v>452</v>
      </c>
      <c r="H97" s="1140"/>
      <c r="I97" s="1141"/>
      <c r="J97" s="916">
        <f>IF(Wärmeerzeugung="Ja",'Berechnung Grenzwerte'!S21,0)</f>
        <v>0</v>
      </c>
      <c r="K97" s="466"/>
      <c r="L97" s="466"/>
      <c r="M97" s="146"/>
      <c r="N97" s="146"/>
      <c r="O97" s="1139" t="s">
        <v>452</v>
      </c>
      <c r="P97" s="1140"/>
      <c r="Q97" s="1141"/>
      <c r="R97" s="916">
        <f>IF(Wärmeerzeugung="Ja",'Berechnung Grenzwerte'!S43,0)</f>
        <v>0</v>
      </c>
    </row>
    <row r="98" spans="2:20">
      <c r="E98" s="146"/>
      <c r="F98" s="146"/>
      <c r="G98" s="1149" t="s">
        <v>451</v>
      </c>
      <c r="H98" s="1150"/>
      <c r="I98" s="1151"/>
      <c r="J98" s="345">
        <f>IF(Wärmeverteilung="Ja",'Berechnung Grenzwerte'!T21,0)</f>
        <v>0</v>
      </c>
      <c r="K98" s="466"/>
      <c r="L98" s="466"/>
      <c r="M98" s="146"/>
      <c r="N98" s="146"/>
      <c r="O98" s="1139" t="s">
        <v>451</v>
      </c>
      <c r="P98" s="1140"/>
      <c r="Q98" s="1141"/>
      <c r="R98" s="345">
        <f>IF(Wärmeverteilung="Ja",'Berechnung Grenzwerte'!T43,0)</f>
        <v>0</v>
      </c>
    </row>
    <row r="99" spans="2:20" ht="13.5" thickBot="1">
      <c r="E99" s="146"/>
      <c r="F99" s="146"/>
      <c r="G99" s="343"/>
      <c r="H99" s="343"/>
      <c r="I99" s="342" t="s">
        <v>651</v>
      </c>
      <c r="J99" s="341">
        <f>SUM(J91:J98)</f>
        <v>0</v>
      </c>
      <c r="K99" s="915"/>
      <c r="L99" s="915"/>
      <c r="M99" s="146"/>
      <c r="N99" s="146"/>
      <c r="O99" s="343"/>
      <c r="P99" s="343"/>
      <c r="Q99" s="342" t="s">
        <v>651</v>
      </c>
      <c r="R99" s="341">
        <f>SUM(R91:R98)</f>
        <v>0</v>
      </c>
    </row>
    <row r="100" spans="2:20" ht="13.5" thickTop="1">
      <c r="E100" s="146"/>
      <c r="F100" s="146"/>
      <c r="G100" s="146"/>
      <c r="H100" s="146"/>
      <c r="I100" s="146"/>
      <c r="J100" s="146"/>
      <c r="K100" s="323"/>
      <c r="L100" s="323"/>
      <c r="M100" s="146"/>
      <c r="N100" s="146"/>
      <c r="O100" s="146"/>
      <c r="P100" s="146"/>
      <c r="Q100" s="146"/>
      <c r="R100" s="146"/>
      <c r="S100" s="146"/>
      <c r="T100" s="146"/>
    </row>
    <row r="101" spans="2:20"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</row>
    <row r="102" spans="2:20">
      <c r="E102" s="146"/>
      <c r="G102" s="340" t="s">
        <v>650</v>
      </c>
      <c r="H102" s="146"/>
      <c r="I102" s="146"/>
      <c r="J102" s="146"/>
      <c r="K102" s="146"/>
      <c r="L102" s="146"/>
      <c r="O102" s="340" t="s">
        <v>650</v>
      </c>
      <c r="P102" s="146"/>
      <c r="Q102" s="146"/>
      <c r="R102" s="146"/>
      <c r="S102" s="146"/>
      <c r="T102" s="146"/>
    </row>
    <row r="103" spans="2:20">
      <c r="E103" s="146"/>
      <c r="G103" s="339"/>
      <c r="H103" s="338"/>
      <c r="I103" s="884" t="s">
        <v>381</v>
      </c>
      <c r="J103" s="884"/>
      <c r="K103" s="885" t="s">
        <v>649</v>
      </c>
      <c r="L103" s="886"/>
      <c r="O103" s="339"/>
      <c r="P103" s="338"/>
      <c r="Q103" s="884" t="s">
        <v>381</v>
      </c>
      <c r="R103" s="884"/>
      <c r="S103" s="885" t="s">
        <v>649</v>
      </c>
      <c r="T103" s="886"/>
    </row>
    <row r="104" spans="2:20">
      <c r="E104" s="146"/>
      <c r="G104" s="337"/>
      <c r="H104" s="336"/>
      <c r="I104" s="335" t="s">
        <v>648</v>
      </c>
      <c r="J104" s="335" t="s">
        <v>647</v>
      </c>
      <c r="K104" s="334" t="s">
        <v>648</v>
      </c>
      <c r="L104" s="333" t="s">
        <v>647</v>
      </c>
      <c r="O104" s="337"/>
      <c r="P104" s="336"/>
      <c r="Q104" s="335" t="s">
        <v>648</v>
      </c>
      <c r="R104" s="335" t="s">
        <v>647</v>
      </c>
      <c r="S104" s="334" t="s">
        <v>648</v>
      </c>
      <c r="T104" s="333" t="s">
        <v>647</v>
      </c>
    </row>
    <row r="105" spans="2:20">
      <c r="E105" s="146"/>
      <c r="G105" s="882"/>
      <c r="H105" s="883"/>
      <c r="I105" s="332"/>
      <c r="J105" s="331"/>
      <c r="K105" s="332"/>
      <c r="L105" s="331"/>
      <c r="M105" s="330"/>
      <c r="N105" s="330"/>
      <c r="O105" s="880"/>
      <c r="P105" s="881"/>
      <c r="Q105" s="332"/>
      <c r="R105" s="331"/>
      <c r="S105" s="332"/>
      <c r="T105" s="331"/>
    </row>
    <row r="106" spans="2:20">
      <c r="E106" s="146"/>
      <c r="G106" s="882" t="s">
        <v>409</v>
      </c>
      <c r="H106" s="883"/>
      <c r="I106" s="328"/>
      <c r="J106" s="327"/>
      <c r="K106" s="328"/>
      <c r="L106" s="327"/>
      <c r="M106" s="330"/>
      <c r="N106" s="330"/>
      <c r="O106" s="880" t="s">
        <v>409</v>
      </c>
      <c r="P106" s="881"/>
      <c r="Q106" s="329"/>
      <c r="R106" s="329"/>
      <c r="S106" s="328"/>
      <c r="T106" s="327"/>
    </row>
    <row r="107" spans="2:20">
      <c r="E107" s="146"/>
      <c r="G107" s="917" t="s">
        <v>646</v>
      </c>
      <c r="H107" s="879"/>
      <c r="I107" s="325" t="e">
        <f>($C$81*$K$10+$C$82*$M$10+$C$83*$O$10+$C$84*$Q$10+$C$79*$K$18+$C$80*$L$18)/EBF_mod+$J$86+$S$10</f>
        <v>#DIV/0!</v>
      </c>
      <c r="J107" s="324" t="e">
        <f>($C$81*$L$10+$C$82*$N$10+$C$83*$P$10+$C$84*$R$10+$C$79*$K$18+$C$80*$L$18)/EBF_mod+$J$86+$T$10</f>
        <v>#DIV/0!</v>
      </c>
      <c r="K107" s="325" t="e">
        <f>($C$81*$K$13+$C$82*$M$13+$C$83*$O$13+$C$84*$Q$13+$C$79*$K$21+$C$80*$L$21)/EBF_mod+$J$99+$S$13</f>
        <v>#DIV/0!</v>
      </c>
      <c r="L107" s="324" t="e">
        <f>($C$81*$L$13+$C$82*$N$13+$C$83*$P$13+$C$84*$R$13+$C$79*$K$21+$C$80*$L$21)/EBF_mod+$J$99+$T$13</f>
        <v>#DIV/0!</v>
      </c>
      <c r="M107" s="326"/>
      <c r="N107" s="326"/>
      <c r="O107" s="887" t="s">
        <v>646</v>
      </c>
      <c r="P107" s="888"/>
      <c r="Q107" s="325" t="e">
        <f>($C$81*$K$32+$C$82*$M$32+$C$83*$O$32+$C$84*$Q$32+$C$79*$K$40+$C$80*$L$40)/EBF_mod+$R$86+$S$32</f>
        <v>#DIV/0!</v>
      </c>
      <c r="R107" s="324" t="e">
        <f>($C$81*$L$32+$C$82*$N$32+$C$83*$P$32+$C$84*$R$32+$C$79*$K$40+$C$80*$L$40)/EBF_mod+$R$86+$T$32</f>
        <v>#DIV/0!</v>
      </c>
      <c r="S107" s="325" t="e">
        <f>($C$81*$K$35+$C$82*$M$35+$C$83*$O$35+$C$84*$Q$35+$C$79*$K$43+$C$80*$L$43)/EBF_mod+$R$99+$S$35</f>
        <v>#DIV/0!</v>
      </c>
      <c r="T107" s="324" t="e">
        <f>($C$81*$L$35+$C$82*$N$35+$C$83*$P$35+$C$84*$R$35+$C$79*$K$43+$C$80*$L$43)/EBF_mod+$R$99+$T$35</f>
        <v>#DIV/0!</v>
      </c>
    </row>
    <row r="108" spans="2:20">
      <c r="E108" s="146"/>
      <c r="M108" s="326"/>
      <c r="N108" s="326"/>
    </row>
    <row r="109" spans="2:20">
      <c r="E109" s="146"/>
      <c r="M109" s="326"/>
      <c r="N109" s="326"/>
    </row>
    <row r="110" spans="2:20">
      <c r="E110" s="146"/>
      <c r="R110" s="323"/>
    </row>
    <row r="111" spans="2:20">
      <c r="E111" s="146"/>
    </row>
  </sheetData>
  <mergeCells count="82">
    <mergeCell ref="G97:I97"/>
    <mergeCell ref="G98:I98"/>
    <mergeCell ref="O91:Q91"/>
    <mergeCell ref="O92:Q92"/>
    <mergeCell ref="O93:Q93"/>
    <mergeCell ref="O94:Q94"/>
    <mergeCell ref="O95:Q95"/>
    <mergeCell ref="O96:Q96"/>
    <mergeCell ref="O97:Q97"/>
    <mergeCell ref="O98:Q98"/>
    <mergeCell ref="G91:I91"/>
    <mergeCell ref="G92:I92"/>
    <mergeCell ref="G93:I93"/>
    <mergeCell ref="G94:I94"/>
    <mergeCell ref="G95:I95"/>
    <mergeCell ref="G84:I84"/>
    <mergeCell ref="O84:Q84"/>
    <mergeCell ref="G85:I85"/>
    <mergeCell ref="O85:Q85"/>
    <mergeCell ref="G96:I96"/>
    <mergeCell ref="G81:I81"/>
    <mergeCell ref="O81:Q81"/>
    <mergeCell ref="G82:I82"/>
    <mergeCell ref="O82:Q82"/>
    <mergeCell ref="G83:I83"/>
    <mergeCell ref="O83:Q83"/>
    <mergeCell ref="G78:I78"/>
    <mergeCell ref="O78:Q78"/>
    <mergeCell ref="G79:I79"/>
    <mergeCell ref="O79:Q79"/>
    <mergeCell ref="G80:I80"/>
    <mergeCell ref="O80:Q80"/>
    <mergeCell ref="G54:I54"/>
    <mergeCell ref="I32:I34"/>
    <mergeCell ref="I38:I40"/>
    <mergeCell ref="G77:I77"/>
    <mergeCell ref="O77:Q77"/>
    <mergeCell ref="G67:H67"/>
    <mergeCell ref="I65:J65"/>
    <mergeCell ref="K65:L65"/>
    <mergeCell ref="O67:P67"/>
    <mergeCell ref="G59:I59"/>
    <mergeCell ref="G60:I60"/>
    <mergeCell ref="I41:I43"/>
    <mergeCell ref="N32:N34"/>
    <mergeCell ref="G53:I53"/>
    <mergeCell ref="K32:K34"/>
    <mergeCell ref="L32:L34"/>
    <mergeCell ref="S32:S34"/>
    <mergeCell ref="S65:T65"/>
    <mergeCell ref="O59:Q59"/>
    <mergeCell ref="O60:Q60"/>
    <mergeCell ref="Q65:R65"/>
    <mergeCell ref="O53:Q53"/>
    <mergeCell ref="O54:Q54"/>
    <mergeCell ref="T32:T34"/>
    <mergeCell ref="Q32:Q34"/>
    <mergeCell ref="R32:R34"/>
    <mergeCell ref="O32:O34"/>
    <mergeCell ref="P32:P34"/>
    <mergeCell ref="S30:T30"/>
    <mergeCell ref="K8:L8"/>
    <mergeCell ref="M8:N8"/>
    <mergeCell ref="O8:P8"/>
    <mergeCell ref="Q8:R8"/>
    <mergeCell ref="S8:T8"/>
    <mergeCell ref="K30:L30"/>
    <mergeCell ref="M30:N30"/>
    <mergeCell ref="R10:R12"/>
    <mergeCell ref="S10:S12"/>
    <mergeCell ref="T10:T12"/>
    <mergeCell ref="K10:K12"/>
    <mergeCell ref="M10:M12"/>
    <mergeCell ref="N10:N12"/>
    <mergeCell ref="O10:O12"/>
    <mergeCell ref="M32:M34"/>
    <mergeCell ref="Q10:Q12"/>
    <mergeCell ref="L10:L12"/>
    <mergeCell ref="J10:J12"/>
    <mergeCell ref="O30:P30"/>
    <mergeCell ref="P10:P12"/>
    <mergeCell ref="Q30:R30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outlinePr summaryRight="0"/>
    <pageSetUpPr fitToPage="1"/>
  </sheetPr>
  <dimension ref="A1:AG179"/>
  <sheetViews>
    <sheetView topLeftCell="A91" zoomScaleNormal="100" zoomScaleSheetLayoutView="75" workbookViewId="0">
      <selection activeCell="C114" sqref="C114"/>
    </sheetView>
  </sheetViews>
  <sheetFormatPr baseColWidth="10" defaultRowHeight="12.75"/>
  <cols>
    <col min="1" max="1" width="11.42578125" style="20"/>
    <col min="2" max="2" width="53.5703125" style="116" customWidth="1"/>
    <col min="3" max="3" width="12" style="117" customWidth="1"/>
    <col min="4" max="4" width="7.140625" style="16" customWidth="1"/>
    <col min="5" max="14" width="9.7109375" style="16" customWidth="1"/>
    <col min="15" max="16" width="10.7109375" style="16" customWidth="1"/>
    <col min="17" max="17" width="52.42578125" style="119" customWidth="1"/>
    <col min="18" max="19" width="10.85546875" style="46" customWidth="1"/>
    <col min="20" max="20" width="62" style="46" customWidth="1"/>
    <col min="21" max="16384" width="11.42578125" style="16"/>
  </cols>
  <sheetData>
    <row r="1" spans="1:33" s="7" customFormat="1" ht="19.5" customHeight="1">
      <c r="A1" s="1"/>
      <c r="B1" s="2" t="s">
        <v>0</v>
      </c>
      <c r="C1" s="3"/>
      <c r="D1" s="4"/>
      <c r="E1" s="4"/>
      <c r="F1" s="5"/>
      <c r="G1" s="5"/>
      <c r="H1" s="4" t="s">
        <v>1</v>
      </c>
      <c r="I1" s="5"/>
      <c r="J1" s="5"/>
      <c r="K1" s="5"/>
      <c r="L1" s="5"/>
      <c r="M1" s="5"/>
      <c r="N1" s="5"/>
      <c r="O1" s="5"/>
      <c r="P1" s="5"/>
      <c r="Q1" s="6" t="s">
        <v>2</v>
      </c>
    </row>
    <row r="2" spans="1:33" s="14" customFormat="1" ht="14.25" customHeight="1">
      <c r="A2" s="8"/>
      <c r="B2" s="9" t="s">
        <v>913</v>
      </c>
      <c r="C2" s="10"/>
      <c r="D2" s="10"/>
      <c r="E2" s="10"/>
      <c r="F2" s="11"/>
      <c r="G2" s="11"/>
      <c r="H2" s="11"/>
      <c r="I2" s="11"/>
      <c r="J2" s="12"/>
      <c r="K2" s="12"/>
      <c r="L2" s="11"/>
      <c r="M2" s="11"/>
      <c r="N2" s="11"/>
      <c r="O2" s="11"/>
      <c r="P2" s="11"/>
      <c r="Q2" s="13" t="s">
        <v>3</v>
      </c>
    </row>
    <row r="3" spans="1:33" ht="25.5" customHeight="1">
      <c r="A3" s="15" t="s">
        <v>4</v>
      </c>
      <c r="B3" s="1166" t="s">
        <v>5</v>
      </c>
      <c r="C3" s="1168" t="s">
        <v>6</v>
      </c>
      <c r="D3" s="1170" t="s">
        <v>7</v>
      </c>
      <c r="E3" s="1172" t="s">
        <v>8</v>
      </c>
      <c r="F3" s="1172"/>
      <c r="G3" s="1172"/>
      <c r="H3" s="1173" t="s">
        <v>9</v>
      </c>
      <c r="I3" s="1173"/>
      <c r="J3" s="1173"/>
      <c r="K3" s="1173"/>
      <c r="L3" s="1173"/>
      <c r="M3" s="1173"/>
      <c r="N3" s="1174" t="s">
        <v>10</v>
      </c>
      <c r="O3" s="1174"/>
      <c r="P3" s="1174"/>
      <c r="Q3" s="1155" t="s">
        <v>11</v>
      </c>
      <c r="R3" s="16"/>
      <c r="S3" s="16"/>
      <c r="T3" s="16"/>
    </row>
    <row r="4" spans="1:33" ht="14.25" customHeight="1">
      <c r="A4" s="1157" t="s">
        <v>12</v>
      </c>
      <c r="B4" s="1167"/>
      <c r="C4" s="1169"/>
      <c r="D4" s="1163"/>
      <c r="E4" s="17"/>
      <c r="F4" s="18"/>
      <c r="G4" s="19"/>
      <c r="H4" s="1159" t="s">
        <v>13</v>
      </c>
      <c r="I4" s="1159"/>
      <c r="J4" s="1159"/>
      <c r="K4" s="1159" t="s">
        <v>14</v>
      </c>
      <c r="L4" s="1159"/>
      <c r="M4" s="1159"/>
      <c r="N4" s="1160" t="s">
        <v>15</v>
      </c>
      <c r="O4" s="1161"/>
      <c r="P4" s="1161"/>
      <c r="Q4" s="1156"/>
      <c r="R4" s="16"/>
      <c r="S4" s="16"/>
      <c r="T4" s="16"/>
    </row>
    <row r="5" spans="1:33" ht="12.75" customHeight="1">
      <c r="A5" s="1158"/>
      <c r="B5" s="1167"/>
      <c r="C5" s="1162" t="s">
        <v>16</v>
      </c>
      <c r="D5" s="1163"/>
      <c r="E5" s="1164" t="s">
        <v>8</v>
      </c>
      <c r="F5" s="1164"/>
      <c r="G5" s="1164"/>
      <c r="H5" s="1165" t="s">
        <v>17</v>
      </c>
      <c r="I5" s="1165"/>
      <c r="J5" s="1165"/>
      <c r="K5" s="1165" t="s">
        <v>18</v>
      </c>
      <c r="L5" s="1165"/>
      <c r="M5" s="1165"/>
      <c r="N5" s="1165" t="s">
        <v>19</v>
      </c>
      <c r="O5" s="1165"/>
      <c r="P5" s="1165"/>
      <c r="Q5" s="1156"/>
      <c r="R5" s="16"/>
      <c r="S5" s="16"/>
      <c r="T5" s="16"/>
    </row>
    <row r="6" spans="1:33" ht="14.25" customHeight="1">
      <c r="B6" s="21" t="s">
        <v>20</v>
      </c>
      <c r="C6" s="1163"/>
      <c r="D6" s="1163"/>
      <c r="E6" s="22" t="s">
        <v>21</v>
      </c>
      <c r="F6" s="23" t="s">
        <v>22</v>
      </c>
      <c r="G6" s="23" t="s">
        <v>23</v>
      </c>
      <c r="H6" s="24" t="s">
        <v>21</v>
      </c>
      <c r="I6" s="25" t="s">
        <v>22</v>
      </c>
      <c r="J6" s="25" t="s">
        <v>23</v>
      </c>
      <c r="K6" s="24" t="s">
        <v>21</v>
      </c>
      <c r="L6" s="25" t="s">
        <v>22</v>
      </c>
      <c r="M6" s="25" t="s">
        <v>23</v>
      </c>
      <c r="N6" s="24" t="s">
        <v>21</v>
      </c>
      <c r="O6" s="25" t="s">
        <v>22</v>
      </c>
      <c r="P6" s="25" t="s">
        <v>23</v>
      </c>
      <c r="Q6" s="26"/>
      <c r="R6" s="16"/>
      <c r="S6" s="16"/>
      <c r="T6" s="16"/>
    </row>
    <row r="7" spans="1:33" s="32" customFormat="1" ht="14.25" customHeight="1">
      <c r="A7" s="27"/>
      <c r="B7" s="21"/>
      <c r="C7" s="1163"/>
      <c r="D7" s="1163"/>
      <c r="E7" s="28" t="s">
        <v>24</v>
      </c>
      <c r="F7" s="29" t="s">
        <v>25</v>
      </c>
      <c r="G7" s="29" t="s">
        <v>26</v>
      </c>
      <c r="H7" s="30" t="s">
        <v>24</v>
      </c>
      <c r="I7" s="31" t="s">
        <v>25</v>
      </c>
      <c r="J7" s="31" t="s">
        <v>26</v>
      </c>
      <c r="K7" s="30" t="s">
        <v>24</v>
      </c>
      <c r="L7" s="31" t="s">
        <v>25</v>
      </c>
      <c r="M7" s="31" t="s">
        <v>26</v>
      </c>
      <c r="N7" s="30" t="s">
        <v>24</v>
      </c>
      <c r="O7" s="31" t="s">
        <v>25</v>
      </c>
      <c r="P7" s="31" t="s">
        <v>26</v>
      </c>
      <c r="Q7" s="26"/>
      <c r="R7" s="16"/>
      <c r="S7" s="16"/>
      <c r="T7" s="16"/>
    </row>
    <row r="8" spans="1:33" s="32" customFormat="1" ht="12.75" customHeight="1">
      <c r="A8" s="27"/>
      <c r="B8" s="33"/>
      <c r="C8" s="34"/>
      <c r="D8" s="1171"/>
      <c r="E8" s="35" t="s">
        <v>27</v>
      </c>
      <c r="F8" s="35" t="s">
        <v>27</v>
      </c>
      <c r="G8" s="35" t="s">
        <v>27</v>
      </c>
      <c r="H8" s="36" t="s">
        <v>28</v>
      </c>
      <c r="I8" s="36" t="s">
        <v>28</v>
      </c>
      <c r="J8" s="36" t="s">
        <v>28</v>
      </c>
      <c r="K8" s="36" t="s">
        <v>28</v>
      </c>
      <c r="L8" s="36" t="s">
        <v>28</v>
      </c>
      <c r="M8" s="36" t="s">
        <v>28</v>
      </c>
      <c r="N8" s="36" t="s">
        <v>29</v>
      </c>
      <c r="O8" s="36" t="s">
        <v>29</v>
      </c>
      <c r="P8" s="36" t="s">
        <v>29</v>
      </c>
      <c r="Q8" s="37"/>
      <c r="R8" s="16"/>
      <c r="S8" s="16"/>
      <c r="T8" s="16"/>
    </row>
    <row r="9" spans="1:33" s="32" customFormat="1" ht="15.75" customHeight="1">
      <c r="A9" s="38">
        <v>1</v>
      </c>
      <c r="B9" s="39" t="s">
        <v>30</v>
      </c>
      <c r="C9" s="40" t="s">
        <v>31</v>
      </c>
      <c r="D9" s="41"/>
      <c r="E9" s="42"/>
      <c r="F9" s="42"/>
      <c r="G9" s="42"/>
      <c r="H9" s="41"/>
      <c r="I9" s="41"/>
      <c r="J9" s="41"/>
      <c r="K9" s="43"/>
      <c r="L9" s="44"/>
      <c r="M9" s="44"/>
      <c r="N9" s="41"/>
      <c r="O9" s="41"/>
      <c r="P9" s="41"/>
      <c r="Q9" s="45" t="s">
        <v>32</v>
      </c>
      <c r="R9" s="46"/>
      <c r="S9" s="46"/>
      <c r="T9" s="46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47" customFormat="1" ht="15.75" customHeight="1">
      <c r="A10" s="48">
        <f>A9+0.001</f>
        <v>1.0009999999999999</v>
      </c>
      <c r="B10" s="49" t="s">
        <v>33</v>
      </c>
      <c r="C10" s="50">
        <v>2200</v>
      </c>
      <c r="D10" s="51" t="s">
        <v>29</v>
      </c>
      <c r="E10" s="52">
        <v>87.314306155251131</v>
      </c>
      <c r="F10" s="53">
        <v>63.525114155251138</v>
      </c>
      <c r="G10" s="53">
        <v>23.789191999999996</v>
      </c>
      <c r="H10" s="54">
        <v>0.54429223264998794</v>
      </c>
      <c r="I10" s="55">
        <v>0.36625666452054795</v>
      </c>
      <c r="J10" s="55">
        <v>0.17803556812943999</v>
      </c>
      <c r="K10" s="54">
        <v>0.51688580105788751</v>
      </c>
      <c r="L10" s="55">
        <v>0.3449054188584475</v>
      </c>
      <c r="M10" s="55">
        <v>0.17198038219944001</v>
      </c>
      <c r="N10" s="56">
        <v>6.4634689607305937E-2</v>
      </c>
      <c r="O10" s="57">
        <v>5.5730593607305937E-2</v>
      </c>
      <c r="P10" s="58">
        <v>8.9040960000000002E-3</v>
      </c>
      <c r="Q10" s="59" t="s">
        <v>34</v>
      </c>
      <c r="R10" s="46"/>
      <c r="S10" s="46"/>
      <c r="T10" s="46"/>
    </row>
    <row r="11" spans="1:33" s="47" customFormat="1" ht="15.75" customHeight="1">
      <c r="A11" s="48">
        <f>A10+0.001</f>
        <v>1.0019999999999998</v>
      </c>
      <c r="B11" s="49" t="s">
        <v>35</v>
      </c>
      <c r="C11" s="50">
        <v>2400</v>
      </c>
      <c r="D11" s="51" t="s">
        <v>29</v>
      </c>
      <c r="E11" s="52">
        <v>95.990941717987425</v>
      </c>
      <c r="F11" s="53">
        <v>70.213836477987428</v>
      </c>
      <c r="G11" s="53">
        <v>25.777105239999997</v>
      </c>
      <c r="H11" s="54">
        <v>0.72087951091458236</v>
      </c>
      <c r="I11" s="55">
        <v>0.51876009752620555</v>
      </c>
      <c r="J11" s="55">
        <v>0.20211941338837677</v>
      </c>
      <c r="K11" s="54">
        <v>0.6797513731349093</v>
      </c>
      <c r="L11" s="55">
        <v>0.48377914909853253</v>
      </c>
      <c r="M11" s="55">
        <v>0.19597222403637676</v>
      </c>
      <c r="N11" s="56">
        <v>7.7485480323354311E-2</v>
      </c>
      <c r="O11" s="57">
        <v>6.6976939203354305E-2</v>
      </c>
      <c r="P11" s="57">
        <v>1.0508541120000001E-2</v>
      </c>
      <c r="Q11" s="59" t="s">
        <v>36</v>
      </c>
      <c r="R11" s="46"/>
      <c r="S11" s="46"/>
      <c r="T11" s="46"/>
    </row>
    <row r="12" spans="1:33" s="47" customFormat="1" ht="15.75" customHeight="1">
      <c r="A12" s="48">
        <f>A11+0.001</f>
        <v>1.0029999999999997</v>
      </c>
      <c r="B12" s="49" t="s">
        <v>37</v>
      </c>
      <c r="C12" s="50">
        <v>2400</v>
      </c>
      <c r="D12" s="51" t="s">
        <v>29</v>
      </c>
      <c r="E12" s="60">
        <v>116.33592876941177</v>
      </c>
      <c r="F12" s="53">
        <v>90.558823529411768</v>
      </c>
      <c r="G12" s="53">
        <v>25.777105239999997</v>
      </c>
      <c r="H12" s="54">
        <v>0.81090888603543565</v>
      </c>
      <c r="I12" s="55">
        <v>0.60878947264705885</v>
      </c>
      <c r="J12" s="55">
        <v>0.20211941338837677</v>
      </c>
      <c r="K12" s="54">
        <v>0.77089807147335154</v>
      </c>
      <c r="L12" s="55">
        <v>0.57492584743697484</v>
      </c>
      <c r="M12" s="55">
        <v>0.19597222403637676</v>
      </c>
      <c r="N12" s="54">
        <v>0.12040770078386555</v>
      </c>
      <c r="O12" s="55">
        <v>0.10989915966386554</v>
      </c>
      <c r="P12" s="57">
        <v>1.0508541120000001E-2</v>
      </c>
      <c r="Q12" s="59" t="s">
        <v>38</v>
      </c>
      <c r="R12" s="46"/>
      <c r="S12" s="46"/>
      <c r="T12" s="46"/>
    </row>
    <row r="13" spans="1:33" s="47" customFormat="1" ht="15.75" customHeight="1">
      <c r="A13" s="48">
        <f>A12+0.001</f>
        <v>1.0039999999999996</v>
      </c>
      <c r="B13" s="49" t="s">
        <v>39</v>
      </c>
      <c r="C13" s="50">
        <v>2450</v>
      </c>
      <c r="D13" s="51" t="s">
        <v>29</v>
      </c>
      <c r="E13" s="60">
        <v>128.89595769901638</v>
      </c>
      <c r="F13" s="61">
        <v>103.1188524590164</v>
      </c>
      <c r="G13" s="53">
        <v>25.777105239999997</v>
      </c>
      <c r="H13" s="54">
        <v>0.93254977154411445</v>
      </c>
      <c r="I13" s="55">
        <v>0.73043035815573765</v>
      </c>
      <c r="J13" s="55">
        <v>0.20211941338837677</v>
      </c>
      <c r="K13" s="54">
        <v>0.88676477071670456</v>
      </c>
      <c r="L13" s="55">
        <v>0.69079254668032786</v>
      </c>
      <c r="M13" s="55">
        <v>0.19597222403637676</v>
      </c>
      <c r="N13" s="54">
        <v>0.14366837718557376</v>
      </c>
      <c r="O13" s="55">
        <v>0.13315983606557377</v>
      </c>
      <c r="P13" s="57">
        <v>1.0508541120000001E-2</v>
      </c>
      <c r="Q13" s="59" t="s">
        <v>40</v>
      </c>
      <c r="R13" s="46"/>
      <c r="S13" s="46"/>
      <c r="T13" s="46"/>
    </row>
    <row r="14" spans="1:33" s="47" customFormat="1" ht="15.75" customHeight="1">
      <c r="A14" s="38">
        <v>2</v>
      </c>
      <c r="B14" s="39" t="s">
        <v>41</v>
      </c>
      <c r="C14" s="40" t="s">
        <v>31</v>
      </c>
      <c r="D14" s="62" t="s">
        <v>42</v>
      </c>
      <c r="E14" s="63"/>
      <c r="F14" s="63"/>
      <c r="G14" s="63"/>
      <c r="H14" s="64"/>
      <c r="I14" s="44"/>
      <c r="J14" s="65"/>
      <c r="K14" s="43"/>
      <c r="L14" s="44"/>
      <c r="M14" s="44"/>
      <c r="N14" s="43"/>
      <c r="O14" s="44"/>
      <c r="P14" s="44"/>
      <c r="Q14" s="45" t="s">
        <v>43</v>
      </c>
      <c r="R14" s="46"/>
      <c r="S14" s="46"/>
      <c r="T14" s="46"/>
    </row>
    <row r="15" spans="1:33" s="47" customFormat="1" ht="15.75" customHeight="1">
      <c r="A15" s="48">
        <f t="shared" ref="A15:A21" si="0">A14+0.001</f>
        <v>2.0009999999999999</v>
      </c>
      <c r="B15" s="49" t="s">
        <v>44</v>
      </c>
      <c r="C15" s="50">
        <v>900</v>
      </c>
      <c r="D15" s="51" t="s">
        <v>29</v>
      </c>
      <c r="E15" s="60">
        <v>177.81622879999998</v>
      </c>
      <c r="F15" s="61">
        <v>153.57</v>
      </c>
      <c r="G15" s="53">
        <v>24.246228799999994</v>
      </c>
      <c r="H15" s="66">
        <v>3.0176369541136161</v>
      </c>
      <c r="I15" s="67">
        <v>2.8290284894000002</v>
      </c>
      <c r="J15" s="55">
        <v>0.18860846471361595</v>
      </c>
      <c r="K15" s="66">
        <v>2.7568763194816164</v>
      </c>
      <c r="L15" s="67">
        <v>2.5736972264000002</v>
      </c>
      <c r="M15" s="55">
        <v>0.18317909308161595</v>
      </c>
      <c r="N15" s="54">
        <v>0.2476973744</v>
      </c>
      <c r="O15" s="55">
        <v>0.23863000000000001</v>
      </c>
      <c r="P15" s="58">
        <v>9.0673743999999997E-3</v>
      </c>
      <c r="Q15" s="59" t="s">
        <v>45</v>
      </c>
      <c r="R15" s="46"/>
      <c r="S15" s="46"/>
      <c r="T15" s="46"/>
    </row>
    <row r="16" spans="1:33" s="47" customFormat="1" ht="15.75" customHeight="1">
      <c r="A16" s="48">
        <f t="shared" si="0"/>
        <v>2.0019999999999998</v>
      </c>
      <c r="B16" s="49" t="s">
        <v>46</v>
      </c>
      <c r="C16" s="50">
        <v>1400</v>
      </c>
      <c r="D16" s="51" t="s">
        <v>29</v>
      </c>
      <c r="E16" s="60">
        <v>134.40714159999999</v>
      </c>
      <c r="F16" s="61">
        <v>110.69</v>
      </c>
      <c r="G16" s="53">
        <v>23.717141599999998</v>
      </c>
      <c r="H16" s="66">
        <v>1.5788393723481122</v>
      </c>
      <c r="I16" s="67">
        <v>1.3987941030000002</v>
      </c>
      <c r="J16" s="55">
        <v>0.18004526934811194</v>
      </c>
      <c r="K16" s="66">
        <v>1.453479431474112</v>
      </c>
      <c r="L16" s="67">
        <v>1.279117134</v>
      </c>
      <c r="M16" s="55">
        <v>0.17436229747411194</v>
      </c>
      <c r="N16" s="54">
        <v>0.13910864079999999</v>
      </c>
      <c r="O16" s="55">
        <v>0.13038</v>
      </c>
      <c r="P16" s="58">
        <v>8.7286407999999979E-3</v>
      </c>
      <c r="Q16" s="59" t="s">
        <v>47</v>
      </c>
      <c r="R16" s="46"/>
      <c r="S16" s="46"/>
      <c r="T16" s="46"/>
    </row>
    <row r="17" spans="1:33" s="47" customFormat="1" ht="15.75" customHeight="1">
      <c r="A17" s="48">
        <f t="shared" si="0"/>
        <v>2.0029999999999997</v>
      </c>
      <c r="B17" s="49" t="s">
        <v>48</v>
      </c>
      <c r="C17" s="50">
        <v>700</v>
      </c>
      <c r="D17" s="51" t="s">
        <v>29</v>
      </c>
      <c r="E17" s="60">
        <v>224.15622879999998</v>
      </c>
      <c r="F17" s="61">
        <v>199.91</v>
      </c>
      <c r="G17" s="53">
        <v>24.246228799999994</v>
      </c>
      <c r="H17" s="66">
        <v>5.6747447757136156</v>
      </c>
      <c r="I17" s="67">
        <v>5.4861363109999992</v>
      </c>
      <c r="J17" s="55">
        <v>0.18860846471361595</v>
      </c>
      <c r="K17" s="66">
        <v>2.8257889160816161</v>
      </c>
      <c r="L17" s="67">
        <v>2.6426098229999999</v>
      </c>
      <c r="M17" s="55">
        <v>0.18317909308161595</v>
      </c>
      <c r="N17" s="54">
        <v>0.1699873744</v>
      </c>
      <c r="O17" s="55">
        <v>0.16092000000000001</v>
      </c>
      <c r="P17" s="58">
        <v>9.0673743999999997E-3</v>
      </c>
      <c r="Q17" s="59" t="s">
        <v>49</v>
      </c>
      <c r="R17" s="46"/>
      <c r="S17" s="46"/>
      <c r="T17" s="46"/>
    </row>
    <row r="18" spans="1:33" s="47" customFormat="1" ht="15.75" customHeight="1">
      <c r="A18" s="48">
        <f t="shared" si="0"/>
        <v>2.0039999999999996</v>
      </c>
      <c r="B18" s="49" t="s">
        <v>50</v>
      </c>
      <c r="C18" s="50">
        <v>1200</v>
      </c>
      <c r="D18" s="51" t="s">
        <v>29</v>
      </c>
      <c r="E18" s="60">
        <v>386.64622879999996</v>
      </c>
      <c r="F18" s="61">
        <v>362.4</v>
      </c>
      <c r="G18" s="53">
        <v>24.246228799999994</v>
      </c>
      <c r="H18" s="66">
        <v>5.612336551713617</v>
      </c>
      <c r="I18" s="67">
        <v>5.4237280870000006</v>
      </c>
      <c r="J18" s="55">
        <v>0.18860846471361595</v>
      </c>
      <c r="K18" s="66">
        <v>5.4441284590816164</v>
      </c>
      <c r="L18" s="67">
        <v>5.2609493660000002</v>
      </c>
      <c r="M18" s="55">
        <v>0.18317909308161595</v>
      </c>
      <c r="N18" s="54">
        <v>0.40944737440000001</v>
      </c>
      <c r="O18" s="55">
        <v>0.40038000000000001</v>
      </c>
      <c r="P18" s="58">
        <v>9.0673743999999997E-3</v>
      </c>
      <c r="Q18" s="59" t="s">
        <v>51</v>
      </c>
      <c r="R18" s="46"/>
      <c r="S18" s="46"/>
      <c r="T18" s="46"/>
    </row>
    <row r="19" spans="1:33" s="47" customFormat="1" ht="15.75" customHeight="1">
      <c r="A19" s="48">
        <f t="shared" si="0"/>
        <v>2.0049999999999994</v>
      </c>
      <c r="B19" s="49" t="s">
        <v>52</v>
      </c>
      <c r="C19" s="50">
        <v>1200</v>
      </c>
      <c r="D19" s="51" t="s">
        <v>29</v>
      </c>
      <c r="E19" s="60">
        <v>182.20622879999999</v>
      </c>
      <c r="F19" s="61">
        <v>157.96</v>
      </c>
      <c r="G19" s="53">
        <v>24.246228799999994</v>
      </c>
      <c r="H19" s="66">
        <v>1.6414909737136161</v>
      </c>
      <c r="I19" s="67">
        <v>1.4528825090000002</v>
      </c>
      <c r="J19" s="55">
        <v>0.18860846471361595</v>
      </c>
      <c r="K19" s="66">
        <v>1.5422015620816161</v>
      </c>
      <c r="L19" s="67">
        <v>1.3590224690000001</v>
      </c>
      <c r="M19" s="55">
        <v>0.18317909308161595</v>
      </c>
      <c r="N19" s="54">
        <v>0.22402737440000001</v>
      </c>
      <c r="O19" s="55">
        <v>0.21496000000000001</v>
      </c>
      <c r="P19" s="58">
        <v>9.0673743999999997E-3</v>
      </c>
      <c r="Q19" s="59" t="s">
        <v>53</v>
      </c>
      <c r="R19" s="46"/>
      <c r="S19" s="46"/>
      <c r="T19" s="46"/>
    </row>
    <row r="20" spans="1:33" s="47" customFormat="1" ht="15.75" customHeight="1">
      <c r="A20" s="48">
        <f t="shared" si="0"/>
        <v>2.0059999999999993</v>
      </c>
      <c r="B20" s="49" t="s">
        <v>54</v>
      </c>
      <c r="C20" s="50">
        <v>500</v>
      </c>
      <c r="D20" s="51" t="s">
        <v>29</v>
      </c>
      <c r="E20" s="60">
        <v>288.76622879999996</v>
      </c>
      <c r="F20" s="61">
        <v>264.52</v>
      </c>
      <c r="G20" s="53">
        <v>24.246228799999994</v>
      </c>
      <c r="H20" s="66">
        <v>3.6377018737136155</v>
      </c>
      <c r="I20" s="67">
        <v>3.4490934089999996</v>
      </c>
      <c r="J20" s="55">
        <v>0.18860846471361595</v>
      </c>
      <c r="K20" s="66">
        <v>3.433156892081616</v>
      </c>
      <c r="L20" s="67">
        <v>3.2499777989999998</v>
      </c>
      <c r="M20" s="55">
        <v>0.18317909308161595</v>
      </c>
      <c r="N20" s="54">
        <v>0.42077737440000001</v>
      </c>
      <c r="O20" s="55">
        <v>0.41171000000000002</v>
      </c>
      <c r="P20" s="58">
        <v>9.0673743999999997E-3</v>
      </c>
      <c r="Q20" s="59" t="s">
        <v>55</v>
      </c>
      <c r="R20" s="46"/>
      <c r="S20" s="46"/>
      <c r="T20" s="46"/>
    </row>
    <row r="21" spans="1:33" s="47" customFormat="1" ht="15.75" customHeight="1">
      <c r="A21" s="48">
        <f t="shared" si="0"/>
        <v>2.0069999999999992</v>
      </c>
      <c r="B21" s="49" t="s">
        <v>56</v>
      </c>
      <c r="C21" s="50">
        <v>1700</v>
      </c>
      <c r="D21" s="51" t="s">
        <v>29</v>
      </c>
      <c r="E21" s="60">
        <v>133.57919200000001</v>
      </c>
      <c r="F21" s="61">
        <v>109.79</v>
      </c>
      <c r="G21" s="53">
        <v>23.789191999999996</v>
      </c>
      <c r="H21" s="66">
        <v>1.00882829212944</v>
      </c>
      <c r="I21" s="55">
        <v>0.83079272400000015</v>
      </c>
      <c r="J21" s="55">
        <v>0.17803556812943999</v>
      </c>
      <c r="K21" s="54">
        <v>0.92970269419944007</v>
      </c>
      <c r="L21" s="55">
        <v>0.75772231200000006</v>
      </c>
      <c r="M21" s="55">
        <v>0.17198038219944001</v>
      </c>
      <c r="N21" s="54">
        <v>0.130184096</v>
      </c>
      <c r="O21" s="55">
        <v>0.12128</v>
      </c>
      <c r="P21" s="58">
        <v>8.9040960000000002E-3</v>
      </c>
      <c r="Q21" s="59" t="s">
        <v>57</v>
      </c>
      <c r="R21" s="46"/>
      <c r="S21" s="46"/>
      <c r="T21" s="46"/>
    </row>
    <row r="22" spans="1:33" s="47" customFormat="1" ht="15.75" customHeight="1">
      <c r="A22" s="38">
        <v>3</v>
      </c>
      <c r="B22" s="39" t="s">
        <v>58</v>
      </c>
      <c r="C22" s="40" t="s">
        <v>31</v>
      </c>
      <c r="D22" s="62" t="s">
        <v>42</v>
      </c>
      <c r="E22" s="63"/>
      <c r="F22" s="63"/>
      <c r="G22" s="63"/>
      <c r="H22" s="64"/>
      <c r="I22" s="44"/>
      <c r="J22" s="65"/>
      <c r="K22" s="43"/>
      <c r="L22" s="44"/>
      <c r="M22" s="44"/>
      <c r="N22" s="43"/>
      <c r="O22" s="44"/>
      <c r="P22" s="44"/>
      <c r="Q22" s="45" t="s">
        <v>59</v>
      </c>
      <c r="R22" s="46"/>
      <c r="S22" s="46"/>
      <c r="T22" s="46"/>
    </row>
    <row r="23" spans="1:33" s="47" customFormat="1" ht="15.75" customHeight="1">
      <c r="A23" s="48">
        <f t="shared" ref="A23:A38" si="1">A22+0.001</f>
        <v>3.0009999999999999</v>
      </c>
      <c r="B23" s="49" t="s">
        <v>60</v>
      </c>
      <c r="C23" s="50">
        <v>2300</v>
      </c>
      <c r="D23" s="51" t="s">
        <v>29</v>
      </c>
      <c r="E23" s="60">
        <v>204.89622879999999</v>
      </c>
      <c r="F23" s="61">
        <v>180.65</v>
      </c>
      <c r="G23" s="53">
        <v>24.246228799999994</v>
      </c>
      <c r="H23" s="66">
        <v>1.9974461717136158</v>
      </c>
      <c r="I23" s="67">
        <v>1.8088377069999999</v>
      </c>
      <c r="J23" s="55">
        <v>0.18860846471361595</v>
      </c>
      <c r="K23" s="66">
        <v>1.8855213700816158</v>
      </c>
      <c r="L23" s="67">
        <v>1.7023422769999998</v>
      </c>
      <c r="M23" s="55">
        <v>0.18317909308161595</v>
      </c>
      <c r="N23" s="54">
        <v>0.2178273744</v>
      </c>
      <c r="O23" s="55">
        <v>0.20876</v>
      </c>
      <c r="P23" s="58">
        <v>9.0673743999999997E-3</v>
      </c>
      <c r="Q23" s="59" t="s">
        <v>61</v>
      </c>
      <c r="R23" s="46"/>
      <c r="S23" s="46"/>
      <c r="T23" s="46"/>
    </row>
    <row r="24" spans="1:33" s="47" customFormat="1" ht="15.75" customHeight="1">
      <c r="A24" s="48">
        <f t="shared" si="1"/>
        <v>3.0019999999999998</v>
      </c>
      <c r="B24" s="49" t="s">
        <v>62</v>
      </c>
      <c r="C24" s="50">
        <v>1800</v>
      </c>
      <c r="D24" s="51" t="s">
        <v>29</v>
      </c>
      <c r="E24" s="60">
        <v>682.428</v>
      </c>
      <c r="F24" s="61">
        <v>651.48</v>
      </c>
      <c r="G24" s="53">
        <v>30.948</v>
      </c>
      <c r="H24" s="68">
        <v>10.651411436010001</v>
      </c>
      <c r="I24" s="69">
        <v>10.35433583</v>
      </c>
      <c r="J24" s="55">
        <v>0.29707560601000005</v>
      </c>
      <c r="K24" s="66">
        <v>9.0635737641099983</v>
      </c>
      <c r="L24" s="67">
        <v>8.7687152599999987</v>
      </c>
      <c r="M24" s="55">
        <v>0.29485850411000003</v>
      </c>
      <c r="N24" s="54">
        <v>0.74468800000000002</v>
      </c>
      <c r="O24" s="55">
        <v>0.73133000000000004</v>
      </c>
      <c r="P24" s="57">
        <v>1.3358E-2</v>
      </c>
      <c r="Q24" s="59" t="s">
        <v>63</v>
      </c>
      <c r="R24" s="46"/>
      <c r="S24" s="46"/>
      <c r="T24" s="46"/>
    </row>
    <row r="25" spans="1:33" s="47" customFormat="1" ht="15.75" customHeight="1">
      <c r="A25" s="48">
        <f t="shared" si="1"/>
        <v>3.0029999999999997</v>
      </c>
      <c r="B25" s="49" t="s">
        <v>64</v>
      </c>
      <c r="C25" s="50">
        <v>1800</v>
      </c>
      <c r="D25" s="51" t="s">
        <v>29</v>
      </c>
      <c r="E25" s="60">
        <v>911.85799999999995</v>
      </c>
      <c r="F25" s="61">
        <v>880.91</v>
      </c>
      <c r="G25" s="53">
        <v>30.948</v>
      </c>
      <c r="H25" s="68">
        <v>14.181331021010003</v>
      </c>
      <c r="I25" s="69">
        <v>13.884255415000002</v>
      </c>
      <c r="J25" s="55">
        <v>0.29707560601000005</v>
      </c>
      <c r="K25" s="68">
        <v>12.065602689110001</v>
      </c>
      <c r="L25" s="69">
        <v>11.770744185000002</v>
      </c>
      <c r="M25" s="55">
        <v>0.29485850411000003</v>
      </c>
      <c r="N25" s="66">
        <v>1.1044579999999999</v>
      </c>
      <c r="O25" s="67">
        <v>1.0911</v>
      </c>
      <c r="P25" s="57">
        <v>1.3358E-2</v>
      </c>
      <c r="Q25" s="59" t="s">
        <v>65</v>
      </c>
      <c r="R25" s="46"/>
      <c r="S25" s="46"/>
      <c r="T25" s="46"/>
    </row>
    <row r="26" spans="1:33" s="47" customFormat="1" ht="15.75" customHeight="1">
      <c r="A26" s="48">
        <f t="shared" si="1"/>
        <v>3.0039999999999996</v>
      </c>
      <c r="B26" s="49" t="s">
        <v>66</v>
      </c>
      <c r="C26" s="50">
        <v>1800</v>
      </c>
      <c r="D26" s="51" t="s">
        <v>29</v>
      </c>
      <c r="E26" s="60">
        <v>651.66800000000001</v>
      </c>
      <c r="F26" s="61">
        <v>620.72</v>
      </c>
      <c r="G26" s="53">
        <v>30.948</v>
      </c>
      <c r="H26" s="66">
        <v>9.4840371260100014</v>
      </c>
      <c r="I26" s="67">
        <v>9.1869615200000005</v>
      </c>
      <c r="J26" s="55">
        <v>0.29707560601000005</v>
      </c>
      <c r="K26" s="66">
        <v>7.6413719241100004</v>
      </c>
      <c r="L26" s="67">
        <v>7.34651342</v>
      </c>
      <c r="M26" s="55">
        <v>0.29485850411000003</v>
      </c>
      <c r="N26" s="54">
        <v>0.696828</v>
      </c>
      <c r="O26" s="55">
        <v>0.68347000000000002</v>
      </c>
      <c r="P26" s="57">
        <v>1.3358E-2</v>
      </c>
      <c r="Q26" s="59" t="s">
        <v>67</v>
      </c>
      <c r="R26" s="46"/>
      <c r="S26" s="46"/>
      <c r="T26" s="46"/>
    </row>
    <row r="27" spans="1:33" s="47" customFormat="1" ht="15.75" customHeight="1">
      <c r="A27" s="48">
        <f t="shared" si="1"/>
        <v>3.0049999999999994</v>
      </c>
      <c r="B27" s="49" t="s">
        <v>68</v>
      </c>
      <c r="C27" s="50">
        <v>2500</v>
      </c>
      <c r="D27" s="51" t="s">
        <v>29</v>
      </c>
      <c r="E27" s="60">
        <v>1050</v>
      </c>
      <c r="F27" s="61">
        <v>1040</v>
      </c>
      <c r="G27" s="53">
        <v>14.851000000000001</v>
      </c>
      <c r="H27" s="68">
        <v>15.091580187810001</v>
      </c>
      <c r="I27" s="69">
        <v>14.844118605</v>
      </c>
      <c r="J27" s="55">
        <v>0.24746158281</v>
      </c>
      <c r="K27" s="68">
        <v>14.61207186501</v>
      </c>
      <c r="L27" s="69">
        <v>14.366638425</v>
      </c>
      <c r="M27" s="55">
        <v>0.24543344000999998</v>
      </c>
      <c r="N27" s="66">
        <v>1.1039530000000002</v>
      </c>
      <c r="O27" s="67">
        <v>1.0939000000000001</v>
      </c>
      <c r="P27" s="57">
        <v>1.0052999999999999E-2</v>
      </c>
      <c r="Q27" s="59" t="s">
        <v>69</v>
      </c>
      <c r="R27" s="46"/>
      <c r="S27" s="46"/>
      <c r="T27" s="46"/>
    </row>
    <row r="28" spans="1:33" s="47" customFormat="1" ht="17.100000000000001" customHeight="1">
      <c r="A28" s="48">
        <f t="shared" si="1"/>
        <v>3.0059999999999993</v>
      </c>
      <c r="B28" s="49" t="s">
        <v>70</v>
      </c>
      <c r="C28" s="50">
        <v>2500</v>
      </c>
      <c r="D28" s="51" t="s">
        <v>29</v>
      </c>
      <c r="E28" s="60">
        <v>912.59100000000001</v>
      </c>
      <c r="F28" s="61">
        <v>897.74</v>
      </c>
      <c r="G28" s="53">
        <v>14.851000000000001</v>
      </c>
      <c r="H28" s="68">
        <v>12.991103789809998</v>
      </c>
      <c r="I28" s="69">
        <v>12.743642206999997</v>
      </c>
      <c r="J28" s="55">
        <v>0.24746158281</v>
      </c>
      <c r="K28" s="68">
        <v>12.647396087009998</v>
      </c>
      <c r="L28" s="69">
        <v>12.401962646999998</v>
      </c>
      <c r="M28" s="55">
        <v>0.24543344000999998</v>
      </c>
      <c r="N28" s="54">
        <v>0.98990299999999998</v>
      </c>
      <c r="O28" s="55">
        <v>0.97985</v>
      </c>
      <c r="P28" s="57">
        <v>1.0052999999999999E-2</v>
      </c>
      <c r="Q28" s="59" t="s">
        <v>71</v>
      </c>
      <c r="R28" s="46"/>
      <c r="S28" s="46"/>
      <c r="T28" s="46"/>
    </row>
    <row r="29" spans="1:33" s="47" customFormat="1" ht="17.100000000000001" customHeight="1">
      <c r="A29" s="48">
        <f t="shared" si="1"/>
        <v>3.0069999999999992</v>
      </c>
      <c r="B29" s="49" t="s">
        <v>72</v>
      </c>
      <c r="C29" s="50">
        <v>1200</v>
      </c>
      <c r="D29" s="51" t="s">
        <v>29</v>
      </c>
      <c r="E29" s="60">
        <v>381.52876663700005</v>
      </c>
      <c r="F29" s="61">
        <v>295.97000000000003</v>
      </c>
      <c r="G29" s="53">
        <v>85.558766637000005</v>
      </c>
      <c r="H29" s="66">
        <v>5.1642692563354755</v>
      </c>
      <c r="I29" s="67">
        <v>4.8718150252999983</v>
      </c>
      <c r="J29" s="55">
        <v>0.29245423103547685</v>
      </c>
      <c r="K29" s="66">
        <v>5.0163007459019218</v>
      </c>
      <c r="L29" s="67">
        <v>4.7266067052999992</v>
      </c>
      <c r="M29" s="55">
        <v>0.28969404060192289</v>
      </c>
      <c r="N29" s="54">
        <v>0.32032279710600003</v>
      </c>
      <c r="O29" s="55">
        <v>0.29298000000000002</v>
      </c>
      <c r="P29" s="57">
        <v>2.7342797106000002E-2</v>
      </c>
      <c r="Q29" s="59" t="s">
        <v>73</v>
      </c>
      <c r="R29" s="46"/>
      <c r="S29" s="46"/>
      <c r="T29" s="46"/>
    </row>
    <row r="30" spans="1:33" s="47" customFormat="1" ht="15.75" customHeight="1">
      <c r="A30" s="48">
        <f t="shared" si="1"/>
        <v>3.0079999999999991</v>
      </c>
      <c r="B30" s="49" t="s">
        <v>74</v>
      </c>
      <c r="C30" s="50">
        <v>850</v>
      </c>
      <c r="D30" s="51" t="s">
        <v>29</v>
      </c>
      <c r="E30" s="60">
        <v>392.22793417100002</v>
      </c>
      <c r="F30" s="61">
        <v>353.11</v>
      </c>
      <c r="G30" s="53">
        <v>39.117934171000009</v>
      </c>
      <c r="H30" s="66">
        <v>6.358667219492534</v>
      </c>
      <c r="I30" s="67">
        <v>6.0666403799999999</v>
      </c>
      <c r="J30" s="55">
        <v>0.29202683949253372</v>
      </c>
      <c r="K30" s="66">
        <v>6.0338618045129513</v>
      </c>
      <c r="L30" s="67">
        <v>5.7445253099999993</v>
      </c>
      <c r="M30" s="55">
        <v>0.28933649451295174</v>
      </c>
      <c r="N30" s="54">
        <v>0.367592755198</v>
      </c>
      <c r="O30" s="55">
        <v>0.3543</v>
      </c>
      <c r="P30" s="57">
        <v>1.3292755198000002E-2</v>
      </c>
      <c r="Q30" s="59" t="s">
        <v>75</v>
      </c>
      <c r="R30" s="46"/>
      <c r="S30" s="46"/>
      <c r="T30" s="46"/>
    </row>
    <row r="31" spans="1:33" s="81" customFormat="1" ht="15.75" customHeight="1">
      <c r="A31" s="48">
        <f t="shared" si="1"/>
        <v>3.008999999999999</v>
      </c>
      <c r="B31" s="70" t="s">
        <v>76</v>
      </c>
      <c r="C31" s="71">
        <v>2500</v>
      </c>
      <c r="D31" s="71" t="s">
        <v>29</v>
      </c>
      <c r="E31" s="72">
        <v>74.7</v>
      </c>
      <c r="F31" s="73">
        <v>51</v>
      </c>
      <c r="G31" s="74">
        <v>23.7</v>
      </c>
      <c r="H31" s="75">
        <v>1.2</v>
      </c>
      <c r="I31" s="71">
        <v>1.02</v>
      </c>
      <c r="J31" s="76">
        <v>0.18</v>
      </c>
      <c r="K31" s="77">
        <v>1.08</v>
      </c>
      <c r="L31" s="76">
        <v>0.91</v>
      </c>
      <c r="M31" s="71">
        <v>0.17399999999999999</v>
      </c>
      <c r="N31" s="77">
        <v>3.5499999999999997E-2</v>
      </c>
      <c r="O31" s="71">
        <v>2.6800000000000001E-2</v>
      </c>
      <c r="P31" s="71">
        <v>8.7299999999999999E-3</v>
      </c>
      <c r="Q31" s="78" t="s">
        <v>77</v>
      </c>
      <c r="R31" s="79"/>
      <c r="S31" s="79"/>
      <c r="T31" s="79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spans="1:33" s="47" customFormat="1" ht="15.75" customHeight="1">
      <c r="A32" s="48">
        <f t="shared" si="1"/>
        <v>3.0099999999999989</v>
      </c>
      <c r="B32" s="49" t="s">
        <v>78</v>
      </c>
      <c r="C32" s="50">
        <v>2600</v>
      </c>
      <c r="D32" s="51" t="s">
        <v>29</v>
      </c>
      <c r="E32" s="60">
        <v>2420</v>
      </c>
      <c r="F32" s="61">
        <v>2400</v>
      </c>
      <c r="G32" s="53">
        <v>24.246228799999994</v>
      </c>
      <c r="H32" s="68">
        <v>15.013401033713617</v>
      </c>
      <c r="I32" s="69">
        <v>14.824792569000001</v>
      </c>
      <c r="J32" s="55">
        <v>0.18860846471361595</v>
      </c>
      <c r="K32" s="68">
        <v>14.289597452081617</v>
      </c>
      <c r="L32" s="69">
        <v>14.106418359000001</v>
      </c>
      <c r="M32" s="55">
        <v>0.18317909308161595</v>
      </c>
      <c r="N32" s="54">
        <v>0.79112737440000003</v>
      </c>
      <c r="O32" s="55">
        <v>0.78205999999999998</v>
      </c>
      <c r="P32" s="58">
        <v>9.0673743999999997E-3</v>
      </c>
      <c r="Q32" s="59" t="s">
        <v>79</v>
      </c>
      <c r="R32" s="46"/>
      <c r="S32" s="46"/>
      <c r="T32" s="46"/>
    </row>
    <row r="33" spans="1:33" s="47" customFormat="1" ht="15.75" customHeight="1">
      <c r="A33" s="48">
        <f t="shared" si="1"/>
        <v>3.0109999999999988</v>
      </c>
      <c r="B33" s="49" t="s">
        <v>80</v>
      </c>
      <c r="C33" s="50">
        <v>2000</v>
      </c>
      <c r="D33" s="51" t="s">
        <v>29</v>
      </c>
      <c r="E33" s="52">
        <v>62.007792000000009</v>
      </c>
      <c r="F33" s="53">
        <v>38.188000000000002</v>
      </c>
      <c r="G33" s="53">
        <v>23.819792000000003</v>
      </c>
      <c r="H33" s="54">
        <v>0.31639657690743994</v>
      </c>
      <c r="I33" s="55">
        <v>0.13799008888</v>
      </c>
      <c r="J33" s="55">
        <v>0.17840648802743997</v>
      </c>
      <c r="K33" s="54">
        <v>0.29663629854743995</v>
      </c>
      <c r="L33" s="55">
        <v>0.12428691588</v>
      </c>
      <c r="M33" s="55">
        <v>0.17234938266743996</v>
      </c>
      <c r="N33" s="56">
        <v>1.3329496000000001E-2</v>
      </c>
      <c r="O33" s="58">
        <v>4.4010999999999998E-3</v>
      </c>
      <c r="P33" s="58">
        <v>8.9283960000000016E-3</v>
      </c>
      <c r="Q33" s="59" t="s">
        <v>81</v>
      </c>
      <c r="R33" s="46"/>
      <c r="S33" s="46"/>
      <c r="T33" s="46"/>
    </row>
    <row r="34" spans="1:33" s="47" customFormat="1" ht="15.75" customHeight="1">
      <c r="A34" s="48">
        <f t="shared" si="1"/>
        <v>3.0119999999999987</v>
      </c>
      <c r="B34" s="49" t="s">
        <v>82</v>
      </c>
      <c r="C34" s="50">
        <v>2000</v>
      </c>
      <c r="D34" s="51" t="s">
        <v>29</v>
      </c>
      <c r="E34" s="52">
        <v>57.861792000000008</v>
      </c>
      <c r="F34" s="53">
        <v>34.042000000000002</v>
      </c>
      <c r="G34" s="53">
        <v>23.819792000000003</v>
      </c>
      <c r="H34" s="54">
        <v>0.23632475332743996</v>
      </c>
      <c r="I34" s="57">
        <v>5.7918265300000008E-2</v>
      </c>
      <c r="J34" s="55">
        <v>0.17840648802743997</v>
      </c>
      <c r="K34" s="54">
        <v>0.22600284996743997</v>
      </c>
      <c r="L34" s="57">
        <v>5.3653467300000007E-2</v>
      </c>
      <c r="M34" s="55">
        <v>0.17234938266743996</v>
      </c>
      <c r="N34" s="56">
        <v>1.1335596000000002E-2</v>
      </c>
      <c r="O34" s="58">
        <v>2.4072E-3</v>
      </c>
      <c r="P34" s="58">
        <v>8.9283960000000016E-3</v>
      </c>
      <c r="Q34" s="59" t="s">
        <v>83</v>
      </c>
      <c r="R34" s="46"/>
      <c r="S34" s="46"/>
      <c r="T34" s="46"/>
    </row>
    <row r="35" spans="1:33" s="82" customFormat="1" ht="15.75" customHeight="1">
      <c r="A35" s="48">
        <f t="shared" si="1"/>
        <v>3.0129999999999986</v>
      </c>
      <c r="B35" s="49" t="s">
        <v>84</v>
      </c>
      <c r="C35" s="50">
        <v>2000</v>
      </c>
      <c r="D35" s="51" t="s">
        <v>29</v>
      </c>
      <c r="E35" s="52">
        <v>61.425440000000009</v>
      </c>
      <c r="F35" s="53">
        <v>34.042000000000002</v>
      </c>
      <c r="G35" s="53">
        <v>27.383440000000004</v>
      </c>
      <c r="H35" s="54">
        <v>0.2938581707108</v>
      </c>
      <c r="I35" s="57">
        <v>5.7918265300000008E-2</v>
      </c>
      <c r="J35" s="55">
        <v>0.23593990541080001</v>
      </c>
      <c r="K35" s="54">
        <v>0.28522468791080002</v>
      </c>
      <c r="L35" s="57">
        <v>5.3653467300000007E-2</v>
      </c>
      <c r="M35" s="55">
        <v>0.23157122061079999</v>
      </c>
      <c r="N35" s="56">
        <v>1.3623420000000001E-2</v>
      </c>
      <c r="O35" s="58">
        <v>2.4072E-3</v>
      </c>
      <c r="P35" s="57">
        <v>1.1216220000000001E-2</v>
      </c>
      <c r="Q35" s="59" t="s">
        <v>85</v>
      </c>
      <c r="R35" s="46"/>
      <c r="S35" s="46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33" s="47" customFormat="1" ht="15.75" customHeight="1">
      <c r="A36" s="48">
        <f t="shared" si="1"/>
        <v>3.0139999999999985</v>
      </c>
      <c r="B36" s="49" t="s">
        <v>86</v>
      </c>
      <c r="C36" s="50">
        <v>2000</v>
      </c>
      <c r="D36" s="51" t="s">
        <v>29</v>
      </c>
      <c r="E36" s="60">
        <v>2940</v>
      </c>
      <c r="F36" s="61">
        <v>2920</v>
      </c>
      <c r="G36" s="53">
        <v>24.246228799999994</v>
      </c>
      <c r="H36" s="68">
        <v>43.158666559713623</v>
      </c>
      <c r="I36" s="69">
        <v>42.970058095000006</v>
      </c>
      <c r="J36" s="55">
        <v>0.18860846471361595</v>
      </c>
      <c r="K36" s="68">
        <v>42.044016788081613</v>
      </c>
      <c r="L36" s="69">
        <v>41.860837695000001</v>
      </c>
      <c r="M36" s="55">
        <v>0.18317909308161595</v>
      </c>
      <c r="N36" s="66">
        <v>2.3498673744</v>
      </c>
      <c r="O36" s="67">
        <v>2.3408000000000002</v>
      </c>
      <c r="P36" s="58">
        <v>9.0673743999999997E-3</v>
      </c>
      <c r="Q36" s="59" t="s">
        <v>87</v>
      </c>
      <c r="R36" s="46"/>
      <c r="S36" s="46"/>
      <c r="T36" s="46"/>
    </row>
    <row r="37" spans="1:33" s="47" customFormat="1" ht="15.75" customHeight="1">
      <c r="A37" s="48">
        <f t="shared" si="1"/>
        <v>3.0149999999999983</v>
      </c>
      <c r="B37" s="49" t="s">
        <v>88</v>
      </c>
      <c r="C37" s="50">
        <v>1700</v>
      </c>
      <c r="D37" s="51" t="s">
        <v>29</v>
      </c>
      <c r="E37" s="60">
        <v>254.1062288</v>
      </c>
      <c r="F37" s="61">
        <v>229.86</v>
      </c>
      <c r="G37" s="53">
        <v>24.246228799999994</v>
      </c>
      <c r="H37" s="66">
        <v>4.0993433004136168</v>
      </c>
      <c r="I37" s="67">
        <v>3.9107348357000005</v>
      </c>
      <c r="J37" s="55">
        <v>0.18860846471361595</v>
      </c>
      <c r="K37" s="66">
        <v>4.0098272287816163</v>
      </c>
      <c r="L37" s="67">
        <v>3.8266481357000002</v>
      </c>
      <c r="M37" s="55">
        <v>0.18317909308161595</v>
      </c>
      <c r="N37" s="54">
        <v>0.36696737439999999</v>
      </c>
      <c r="O37" s="55">
        <v>0.3579</v>
      </c>
      <c r="P37" s="58">
        <v>9.0673743999999997E-3</v>
      </c>
      <c r="Q37" s="59" t="s">
        <v>89</v>
      </c>
      <c r="R37" s="46"/>
      <c r="S37" s="46"/>
      <c r="T37" s="46"/>
    </row>
    <row r="38" spans="1:33" s="47" customFormat="1" ht="15.75" customHeight="1">
      <c r="A38" s="48">
        <f t="shared" si="1"/>
        <v>3.0159999999999982</v>
      </c>
      <c r="B38" s="49" t="s">
        <v>90</v>
      </c>
      <c r="C38" s="50">
        <v>1000</v>
      </c>
      <c r="D38" s="51" t="s">
        <v>29</v>
      </c>
      <c r="E38" s="60">
        <v>326.31841115000003</v>
      </c>
      <c r="F38" s="61">
        <v>295.97000000000003</v>
      </c>
      <c r="G38" s="53">
        <v>30.348411150000004</v>
      </c>
      <c r="H38" s="66">
        <v>5.1591125060781167</v>
      </c>
      <c r="I38" s="67">
        <v>4.8718150252999983</v>
      </c>
      <c r="J38" s="55">
        <v>0.28729748077811801</v>
      </c>
      <c r="K38" s="66">
        <v>5.0113902844028173</v>
      </c>
      <c r="L38" s="67">
        <v>4.7266067052999992</v>
      </c>
      <c r="M38" s="55">
        <v>0.28478357910281799</v>
      </c>
      <c r="N38" s="54">
        <v>0.30595701870000003</v>
      </c>
      <c r="O38" s="55">
        <v>0.29298000000000002</v>
      </c>
      <c r="P38" s="57">
        <v>1.2977018700000001E-2</v>
      </c>
      <c r="Q38" s="59" t="s">
        <v>91</v>
      </c>
      <c r="R38" s="46"/>
      <c r="S38" s="46"/>
      <c r="T38" s="46"/>
    </row>
    <row r="39" spans="1:33" s="47" customFormat="1" ht="15.75" customHeight="1">
      <c r="A39" s="38">
        <v>4</v>
      </c>
      <c r="B39" s="39" t="s">
        <v>92</v>
      </c>
      <c r="C39" s="40" t="s">
        <v>31</v>
      </c>
      <c r="D39" s="62" t="s">
        <v>42</v>
      </c>
      <c r="E39" s="63"/>
      <c r="F39" s="63"/>
      <c r="G39" s="63"/>
      <c r="H39" s="64"/>
      <c r="I39" s="44"/>
      <c r="J39" s="65"/>
      <c r="K39" s="43"/>
      <c r="L39" s="44"/>
      <c r="M39" s="44"/>
      <c r="N39" s="43"/>
      <c r="O39" s="44"/>
      <c r="P39" s="44"/>
      <c r="Q39" s="45" t="s">
        <v>93</v>
      </c>
      <c r="R39" s="46"/>
      <c r="S39" s="46"/>
      <c r="T39" s="46"/>
    </row>
    <row r="40" spans="1:33" s="47" customFormat="1" ht="15.75" customHeight="1">
      <c r="A40" s="48">
        <f t="shared" ref="A40:A48" si="2">A39+0.001</f>
        <v>4.0010000000000003</v>
      </c>
      <c r="B40" s="49" t="s">
        <v>94</v>
      </c>
      <c r="C40" s="50">
        <v>1200</v>
      </c>
      <c r="D40" s="51" t="s">
        <v>29</v>
      </c>
      <c r="E40" s="60">
        <v>159.5326455</v>
      </c>
      <c r="F40" s="61">
        <v>140.72</v>
      </c>
      <c r="G40" s="53">
        <v>18.812645500000002</v>
      </c>
      <c r="H40" s="66">
        <v>1.85214768668331</v>
      </c>
      <c r="I40" s="67">
        <v>1.7344295670000001</v>
      </c>
      <c r="J40" s="55">
        <v>0.11771811968330999</v>
      </c>
      <c r="K40" s="66">
        <v>1.64954177885831</v>
      </c>
      <c r="L40" s="67">
        <v>1.5376473740000001</v>
      </c>
      <c r="M40" s="55">
        <v>0.11189440485831</v>
      </c>
      <c r="N40" s="56">
        <v>8.5435403999999993E-2</v>
      </c>
      <c r="O40" s="57">
        <v>8.0546999999999994E-2</v>
      </c>
      <c r="P40" s="58">
        <v>4.8884039999999998E-3</v>
      </c>
      <c r="Q40" s="59" t="s">
        <v>95</v>
      </c>
      <c r="R40" s="46"/>
      <c r="S40" s="46"/>
      <c r="T40" s="83"/>
    </row>
    <row r="41" spans="1:33" s="47" customFormat="1" ht="15.75" customHeight="1">
      <c r="A41" s="48">
        <f t="shared" si="2"/>
        <v>4.0020000000000007</v>
      </c>
      <c r="B41" s="49" t="s">
        <v>96</v>
      </c>
      <c r="C41" s="50">
        <v>1500</v>
      </c>
      <c r="D41" s="51" t="s">
        <v>29</v>
      </c>
      <c r="E41" s="60">
        <v>1400</v>
      </c>
      <c r="F41" s="61">
        <v>1380</v>
      </c>
      <c r="G41" s="53">
        <v>18.992150499999614</v>
      </c>
      <c r="H41" s="68">
        <v>24.586184341018161</v>
      </c>
      <c r="I41" s="69">
        <v>24.466301339000001</v>
      </c>
      <c r="J41" s="55">
        <v>0.11988300201816</v>
      </c>
      <c r="K41" s="68">
        <v>23.772591551586657</v>
      </c>
      <c r="L41" s="69">
        <v>23.658543218999998</v>
      </c>
      <c r="M41" s="55">
        <v>0.11404833258666</v>
      </c>
      <c r="N41" s="66">
        <v>1.109832269</v>
      </c>
      <c r="O41" s="67">
        <v>1.1048</v>
      </c>
      <c r="P41" s="58">
        <v>5.0322690000000015E-3</v>
      </c>
      <c r="Q41" s="59" t="s">
        <v>97</v>
      </c>
      <c r="R41" s="46"/>
      <c r="S41" s="46"/>
      <c r="T41" s="46"/>
    </row>
    <row r="42" spans="1:33" s="47" customFormat="1" ht="15.75" customHeight="1">
      <c r="A42" s="48">
        <f t="shared" si="2"/>
        <v>4.003000000000001</v>
      </c>
      <c r="B42" s="49" t="s">
        <v>98</v>
      </c>
      <c r="C42" s="50">
        <v>1500</v>
      </c>
      <c r="D42" s="51" t="s">
        <v>29</v>
      </c>
      <c r="E42" s="60">
        <v>225.70215049999962</v>
      </c>
      <c r="F42" s="61">
        <v>206.71</v>
      </c>
      <c r="G42" s="53">
        <v>18.992150499999614</v>
      </c>
      <c r="H42" s="66">
        <v>5.3238780565181596</v>
      </c>
      <c r="I42" s="67">
        <v>5.2039950545</v>
      </c>
      <c r="J42" s="55">
        <v>0.11988300201816</v>
      </c>
      <c r="K42" s="66">
        <v>5.1896313170866595</v>
      </c>
      <c r="L42" s="67">
        <v>5.0755829844999996</v>
      </c>
      <c r="M42" s="55">
        <v>0.11404833258666</v>
      </c>
      <c r="N42" s="54">
        <v>0.19631226900000001</v>
      </c>
      <c r="O42" s="55">
        <v>0.19128000000000001</v>
      </c>
      <c r="P42" s="58">
        <v>5.0322690000000015E-3</v>
      </c>
      <c r="Q42" s="59" t="s">
        <v>99</v>
      </c>
      <c r="R42" s="46"/>
      <c r="S42" s="46"/>
      <c r="T42" s="46"/>
    </row>
    <row r="43" spans="1:33" s="47" customFormat="1" ht="15.75" customHeight="1">
      <c r="A43" s="48">
        <f t="shared" si="2"/>
        <v>4.0040000000000013</v>
      </c>
      <c r="B43" s="49" t="s">
        <v>100</v>
      </c>
      <c r="C43" s="50">
        <v>1800</v>
      </c>
      <c r="D43" s="51" t="s">
        <v>29</v>
      </c>
      <c r="E43" s="52">
        <v>59.123645500000002</v>
      </c>
      <c r="F43" s="53">
        <v>40.311</v>
      </c>
      <c r="G43" s="53">
        <v>18.812645500000002</v>
      </c>
      <c r="H43" s="54">
        <v>0.64093262983331001</v>
      </c>
      <c r="I43" s="55">
        <v>0.52321451014999998</v>
      </c>
      <c r="J43" s="55">
        <v>0.11771811968330999</v>
      </c>
      <c r="K43" s="54">
        <v>0.59382515000830993</v>
      </c>
      <c r="L43" s="55">
        <v>0.48193074514999995</v>
      </c>
      <c r="M43" s="55">
        <v>0.11189440485831</v>
      </c>
      <c r="N43" s="54">
        <v>2.4036403999999997E-2</v>
      </c>
      <c r="O43" s="55">
        <v>1.9147999999999998E-2</v>
      </c>
      <c r="P43" s="58">
        <v>4.8884039999999998E-3</v>
      </c>
      <c r="Q43" s="59" t="s">
        <v>101</v>
      </c>
      <c r="R43" s="46"/>
      <c r="S43" s="46"/>
      <c r="T43" s="46"/>
    </row>
    <row r="44" spans="1:33" s="47" customFormat="1" ht="15.75" customHeight="1">
      <c r="A44" s="48">
        <f t="shared" si="2"/>
        <v>4.0050000000000017</v>
      </c>
      <c r="B44" s="49" t="s">
        <v>102</v>
      </c>
      <c r="C44" s="50">
        <v>2000</v>
      </c>
      <c r="D44" s="51" t="s">
        <v>29</v>
      </c>
      <c r="E44" s="60">
        <v>123.84141115</v>
      </c>
      <c r="F44" s="53">
        <v>93.492999999999995</v>
      </c>
      <c r="G44" s="53">
        <v>30.348411150000004</v>
      </c>
      <c r="H44" s="66">
        <v>1.5206407377781179</v>
      </c>
      <c r="I44" s="67">
        <v>1.233343257</v>
      </c>
      <c r="J44" s="55">
        <v>0.28729748077811801</v>
      </c>
      <c r="K44" s="66">
        <v>1.339919898102818</v>
      </c>
      <c r="L44" s="67">
        <v>1.055136319</v>
      </c>
      <c r="M44" s="55">
        <v>0.28478357910281799</v>
      </c>
      <c r="N44" s="56">
        <v>5.5574018700000005E-2</v>
      </c>
      <c r="O44" s="57">
        <v>4.2597000000000003E-2</v>
      </c>
      <c r="P44" s="57">
        <v>1.2977018700000001E-2</v>
      </c>
      <c r="Q44" s="59" t="s">
        <v>103</v>
      </c>
      <c r="R44" s="46"/>
      <c r="S44" s="46"/>
      <c r="T44" s="46"/>
    </row>
    <row r="45" spans="1:33" s="47" customFormat="1" ht="15.75" customHeight="1">
      <c r="A45" s="48">
        <f t="shared" si="2"/>
        <v>4.006000000000002</v>
      </c>
      <c r="B45" s="49" t="s">
        <v>104</v>
      </c>
      <c r="C45" s="50">
        <v>1850</v>
      </c>
      <c r="D45" s="51" t="s">
        <v>29</v>
      </c>
      <c r="E45" s="60">
        <v>161.1882162</v>
      </c>
      <c r="F45" s="61">
        <v>136.24</v>
      </c>
      <c r="G45" s="53">
        <v>24.948216199999997</v>
      </c>
      <c r="H45" s="66">
        <v>1.3494690650744838</v>
      </c>
      <c r="I45" s="67">
        <v>1.1524194479999998</v>
      </c>
      <c r="J45" s="55">
        <v>0.19704961707448404</v>
      </c>
      <c r="K45" s="66">
        <v>1.1758124031164841</v>
      </c>
      <c r="L45" s="55">
        <v>0.98421974300000004</v>
      </c>
      <c r="M45" s="55">
        <v>0.19159266011648404</v>
      </c>
      <c r="N45" s="54">
        <v>0.1800419456</v>
      </c>
      <c r="O45" s="55">
        <v>0.17041000000000001</v>
      </c>
      <c r="P45" s="58">
        <v>9.6319456000000005E-3</v>
      </c>
      <c r="Q45" s="59" t="s">
        <v>105</v>
      </c>
      <c r="R45" s="46"/>
      <c r="S45" s="46"/>
      <c r="T45" s="46"/>
    </row>
    <row r="46" spans="1:33" s="47" customFormat="1" ht="15.75" customHeight="1">
      <c r="A46" s="48">
        <f t="shared" si="2"/>
        <v>4.0070000000000023</v>
      </c>
      <c r="B46" s="49" t="s">
        <v>106</v>
      </c>
      <c r="C46" s="50">
        <v>250</v>
      </c>
      <c r="D46" s="51" t="s">
        <v>29</v>
      </c>
      <c r="E46" s="60">
        <v>523.56215049999958</v>
      </c>
      <c r="F46" s="61">
        <v>504.57</v>
      </c>
      <c r="G46" s="53">
        <v>18.992150499999614</v>
      </c>
      <c r="H46" s="66">
        <v>8.7241039890181575</v>
      </c>
      <c r="I46" s="67">
        <v>8.6042209869999979</v>
      </c>
      <c r="J46" s="55">
        <v>0.11988300201816</v>
      </c>
      <c r="K46" s="66">
        <v>8.3635677995866597</v>
      </c>
      <c r="L46" s="67">
        <v>8.2495194669999989</v>
      </c>
      <c r="M46" s="55">
        <v>0.11404833258666</v>
      </c>
      <c r="N46" s="54">
        <v>0.77500226900000002</v>
      </c>
      <c r="O46" s="55">
        <v>0.76997000000000004</v>
      </c>
      <c r="P46" s="58">
        <v>5.0322690000000015E-3</v>
      </c>
      <c r="Q46" s="59" t="s">
        <v>107</v>
      </c>
      <c r="R46" s="46"/>
      <c r="S46" s="46"/>
      <c r="T46" s="46"/>
    </row>
    <row r="47" spans="1:33" s="47" customFormat="1" ht="15.75" customHeight="1">
      <c r="A47" s="48">
        <f t="shared" si="2"/>
        <v>4.0080000000000027</v>
      </c>
      <c r="B47" s="49" t="s">
        <v>108</v>
      </c>
      <c r="C47" s="50">
        <v>1500</v>
      </c>
      <c r="D47" s="51" t="s">
        <v>29</v>
      </c>
      <c r="E47" s="60">
        <v>176.0982162</v>
      </c>
      <c r="F47" s="61">
        <v>151.15</v>
      </c>
      <c r="G47" s="53">
        <v>24.948216199999997</v>
      </c>
      <c r="H47" s="66">
        <v>1.726984327074484</v>
      </c>
      <c r="I47" s="67">
        <v>1.52993471</v>
      </c>
      <c r="J47" s="55">
        <v>0.19704961707448404</v>
      </c>
      <c r="K47" s="66">
        <v>1.5165991981164841</v>
      </c>
      <c r="L47" s="67">
        <v>1.325006538</v>
      </c>
      <c r="M47" s="55">
        <v>0.19159266011648404</v>
      </c>
      <c r="N47" s="54">
        <v>0.20031194559999999</v>
      </c>
      <c r="O47" s="55">
        <v>0.19067999999999999</v>
      </c>
      <c r="P47" s="58">
        <v>9.6319456000000005E-3</v>
      </c>
      <c r="Q47" s="59" t="s">
        <v>109</v>
      </c>
      <c r="R47" s="46"/>
      <c r="S47" s="46"/>
      <c r="T47" s="46"/>
    </row>
    <row r="48" spans="1:33" s="47" customFormat="1" ht="15.75" customHeight="1">
      <c r="A48" s="48">
        <f t="shared" si="2"/>
        <v>4.009000000000003</v>
      </c>
      <c r="B48" s="49" t="s">
        <v>110</v>
      </c>
      <c r="C48" s="50">
        <v>1500</v>
      </c>
      <c r="D48" s="51" t="s">
        <v>29</v>
      </c>
      <c r="E48" s="60">
        <v>180.23264549999999</v>
      </c>
      <c r="F48" s="61">
        <v>161.41999999999999</v>
      </c>
      <c r="G48" s="53">
        <v>18.812645500000002</v>
      </c>
      <c r="H48" s="66">
        <v>1.7922117576833096</v>
      </c>
      <c r="I48" s="67">
        <v>1.6744936379999997</v>
      </c>
      <c r="J48" s="55">
        <v>0.11771811968330999</v>
      </c>
      <c r="K48" s="66">
        <v>1.5715520138583097</v>
      </c>
      <c r="L48" s="67">
        <v>1.4596576089999997</v>
      </c>
      <c r="M48" s="55">
        <v>0.11189440485831</v>
      </c>
      <c r="N48" s="54">
        <v>0.21806840400000002</v>
      </c>
      <c r="O48" s="55">
        <v>0.21318000000000001</v>
      </c>
      <c r="P48" s="58">
        <v>4.8884039999999998E-3</v>
      </c>
      <c r="Q48" s="59" t="s">
        <v>111</v>
      </c>
      <c r="R48" s="46"/>
      <c r="S48" s="46"/>
      <c r="T48" s="46"/>
    </row>
    <row r="49" spans="1:20" s="47" customFormat="1" ht="15.75" customHeight="1">
      <c r="A49" s="38">
        <v>5</v>
      </c>
      <c r="B49" s="39" t="s">
        <v>112</v>
      </c>
      <c r="C49" s="40" t="s">
        <v>27</v>
      </c>
      <c r="D49" s="62" t="s">
        <v>42</v>
      </c>
      <c r="E49" s="63"/>
      <c r="F49" s="63"/>
      <c r="G49" s="63"/>
      <c r="H49" s="64"/>
      <c r="I49" s="84"/>
      <c r="J49" s="65"/>
      <c r="K49" s="43"/>
      <c r="L49" s="44"/>
      <c r="M49" s="44"/>
      <c r="N49" s="43"/>
      <c r="O49" s="44"/>
      <c r="P49" s="44"/>
      <c r="Q49" s="45" t="s">
        <v>113</v>
      </c>
      <c r="R49" s="46"/>
      <c r="S49" s="46"/>
      <c r="T49" s="46"/>
    </row>
    <row r="50" spans="1:20" s="47" customFormat="1" ht="15.75" customHeight="1">
      <c r="A50" s="48">
        <f t="shared" ref="A50:A57" si="3">A49+0.001</f>
        <v>5.0010000000000003</v>
      </c>
      <c r="B50" s="49" t="s">
        <v>114</v>
      </c>
      <c r="C50" s="50" t="s">
        <v>27</v>
      </c>
      <c r="D50" s="51" t="s">
        <v>115</v>
      </c>
      <c r="E50" s="60">
        <v>35400</v>
      </c>
      <c r="F50" s="61">
        <v>31800</v>
      </c>
      <c r="G50" s="61">
        <v>3590</v>
      </c>
      <c r="H50" s="85">
        <v>476.39750829729996</v>
      </c>
      <c r="I50" s="86">
        <v>470.21284689999999</v>
      </c>
      <c r="J50" s="67">
        <v>6.1846613973000002</v>
      </c>
      <c r="K50" s="85">
        <v>453.7890988863</v>
      </c>
      <c r="L50" s="86">
        <v>447.67715889999999</v>
      </c>
      <c r="M50" s="67">
        <v>6.1119399863000003</v>
      </c>
      <c r="N50" s="68">
        <v>32.818399999999997</v>
      </c>
      <c r="O50" s="69">
        <v>31.166</v>
      </c>
      <c r="P50" s="67">
        <v>1.6524000000000001</v>
      </c>
      <c r="Q50" s="59" t="s">
        <v>116</v>
      </c>
      <c r="R50" s="46"/>
      <c r="S50" s="46"/>
      <c r="T50" s="46"/>
    </row>
    <row r="51" spans="1:20" s="47" customFormat="1" ht="15.75" customHeight="1">
      <c r="A51" s="48">
        <f t="shared" si="3"/>
        <v>5.0020000000000007</v>
      </c>
      <c r="B51" s="49" t="s">
        <v>117</v>
      </c>
      <c r="C51" s="50" t="s">
        <v>27</v>
      </c>
      <c r="D51" s="51" t="s">
        <v>115</v>
      </c>
      <c r="E51" s="60">
        <v>49800</v>
      </c>
      <c r="F51" s="61">
        <v>43600</v>
      </c>
      <c r="G51" s="61">
        <v>6190</v>
      </c>
      <c r="H51" s="85">
        <v>725.90333302900001</v>
      </c>
      <c r="I51" s="86">
        <v>717.64405499999998</v>
      </c>
      <c r="J51" s="67">
        <v>8.2592780290000007</v>
      </c>
      <c r="K51" s="85">
        <v>692.03462477899996</v>
      </c>
      <c r="L51" s="86">
        <v>683.90154199999995</v>
      </c>
      <c r="M51" s="67">
        <v>8.1330827790000004</v>
      </c>
      <c r="N51" s="68">
        <v>48.706299999999999</v>
      </c>
      <c r="O51" s="69">
        <v>43.707000000000001</v>
      </c>
      <c r="P51" s="67">
        <v>4.9992999999999999</v>
      </c>
      <c r="Q51" s="59" t="s">
        <v>118</v>
      </c>
      <c r="R51" s="46"/>
      <c r="S51" s="46"/>
      <c r="T51" s="46"/>
    </row>
    <row r="52" spans="1:20" s="47" customFormat="1" ht="15.75" customHeight="1">
      <c r="A52" s="48">
        <f t="shared" si="3"/>
        <v>5.003000000000001</v>
      </c>
      <c r="B52" s="49" t="s">
        <v>119</v>
      </c>
      <c r="C52" s="50" t="s">
        <v>27</v>
      </c>
      <c r="D52" s="51" t="s">
        <v>115</v>
      </c>
      <c r="E52" s="60">
        <v>63600</v>
      </c>
      <c r="F52" s="61">
        <v>58200</v>
      </c>
      <c r="G52" s="61">
        <v>5400</v>
      </c>
      <c r="H52" s="85">
        <v>929.060201011</v>
      </c>
      <c r="I52" s="86">
        <v>919.76420329999996</v>
      </c>
      <c r="J52" s="67">
        <v>9.2959977110000001</v>
      </c>
      <c r="K52" s="85">
        <v>881.09839831099998</v>
      </c>
      <c r="L52" s="86">
        <v>871.91184329999999</v>
      </c>
      <c r="M52" s="67">
        <v>9.1865550110000012</v>
      </c>
      <c r="N52" s="68">
        <v>59.4011</v>
      </c>
      <c r="O52" s="69">
        <v>56.906999999999996</v>
      </c>
      <c r="P52" s="67">
        <v>2.4941</v>
      </c>
      <c r="Q52" s="59" t="s">
        <v>120</v>
      </c>
      <c r="R52" s="46"/>
      <c r="S52" s="46"/>
      <c r="T52" s="46"/>
    </row>
    <row r="53" spans="1:20" s="47" customFormat="1" ht="17.100000000000001" customHeight="1">
      <c r="A53" s="48">
        <f t="shared" si="3"/>
        <v>5.0040000000000013</v>
      </c>
      <c r="B53" s="49" t="s">
        <v>121</v>
      </c>
      <c r="C53" s="87" t="s">
        <v>27</v>
      </c>
      <c r="D53" s="51" t="s">
        <v>115</v>
      </c>
      <c r="E53" s="60">
        <v>495000</v>
      </c>
      <c r="F53" s="61">
        <v>495000</v>
      </c>
      <c r="G53" s="61">
        <v>0</v>
      </c>
      <c r="H53" s="85">
        <v>8280</v>
      </c>
      <c r="I53" s="86">
        <v>8280</v>
      </c>
      <c r="J53" s="86">
        <v>0</v>
      </c>
      <c r="K53" s="85">
        <v>7220</v>
      </c>
      <c r="L53" s="86">
        <v>7220</v>
      </c>
      <c r="M53" s="86">
        <v>0</v>
      </c>
      <c r="N53" s="85">
        <v>490.81</v>
      </c>
      <c r="O53" s="86">
        <v>490.81</v>
      </c>
      <c r="P53" s="86">
        <v>0</v>
      </c>
      <c r="Q53" s="59" t="s">
        <v>122</v>
      </c>
      <c r="R53" s="46"/>
      <c r="S53" s="46"/>
      <c r="T53" s="46"/>
    </row>
    <row r="54" spans="1:20" s="47" customFormat="1" ht="17.100000000000001" customHeight="1">
      <c r="A54" s="48">
        <f t="shared" si="3"/>
        <v>5.0050000000000017</v>
      </c>
      <c r="B54" s="49" t="s">
        <v>123</v>
      </c>
      <c r="C54" s="87" t="s">
        <v>27</v>
      </c>
      <c r="D54" s="51" t="s">
        <v>115</v>
      </c>
      <c r="E54" s="60">
        <v>258000</v>
      </c>
      <c r="F54" s="61">
        <v>195000</v>
      </c>
      <c r="G54" s="61">
        <v>63300</v>
      </c>
      <c r="H54" s="85">
        <v>4760</v>
      </c>
      <c r="I54" s="86">
        <v>4730</v>
      </c>
      <c r="J54" s="69">
        <v>28.442441088999999</v>
      </c>
      <c r="K54" s="85">
        <v>2350</v>
      </c>
      <c r="L54" s="86">
        <v>2320</v>
      </c>
      <c r="M54" s="69">
        <v>27.966350919</v>
      </c>
      <c r="N54" s="85">
        <v>151.08699999999999</v>
      </c>
      <c r="O54" s="86">
        <v>131.85</v>
      </c>
      <c r="P54" s="69">
        <v>19.236999999999998</v>
      </c>
      <c r="Q54" s="59" t="s">
        <v>124</v>
      </c>
      <c r="R54" s="46"/>
      <c r="S54" s="46"/>
      <c r="T54" s="46"/>
    </row>
    <row r="55" spans="1:20" s="47" customFormat="1" ht="17.100000000000001" customHeight="1">
      <c r="A55" s="48">
        <f t="shared" si="3"/>
        <v>5.006000000000002</v>
      </c>
      <c r="B55" s="49" t="s">
        <v>125</v>
      </c>
      <c r="C55" s="87" t="s">
        <v>27</v>
      </c>
      <c r="D55" s="51" t="s">
        <v>115</v>
      </c>
      <c r="E55" s="60">
        <v>375000</v>
      </c>
      <c r="F55" s="61">
        <v>314000</v>
      </c>
      <c r="G55" s="61">
        <v>61200</v>
      </c>
      <c r="H55" s="85">
        <v>6470</v>
      </c>
      <c r="I55" s="86">
        <v>6440</v>
      </c>
      <c r="J55" s="69">
        <v>27.837604216000003</v>
      </c>
      <c r="K55" s="85">
        <v>3980</v>
      </c>
      <c r="L55" s="86">
        <v>3950</v>
      </c>
      <c r="M55" s="69">
        <v>27.303848436000003</v>
      </c>
      <c r="N55" s="85">
        <v>272.70999999999998</v>
      </c>
      <c r="O55" s="86">
        <v>247.39</v>
      </c>
      <c r="P55" s="69">
        <v>25.32</v>
      </c>
      <c r="Q55" s="59" t="s">
        <v>126</v>
      </c>
      <c r="R55" s="46"/>
      <c r="S55" s="46"/>
      <c r="T55" s="46"/>
    </row>
    <row r="56" spans="1:20" s="47" customFormat="1" ht="17.100000000000001" customHeight="1">
      <c r="A56" s="48">
        <f t="shared" si="3"/>
        <v>5.0070000000000023</v>
      </c>
      <c r="B56" s="49" t="s">
        <v>127</v>
      </c>
      <c r="C56" s="87" t="s">
        <v>27</v>
      </c>
      <c r="D56" s="51" t="s">
        <v>115</v>
      </c>
      <c r="E56" s="60">
        <v>472000</v>
      </c>
      <c r="F56" s="61">
        <v>342000</v>
      </c>
      <c r="G56" s="61">
        <v>130000</v>
      </c>
      <c r="H56" s="85">
        <v>6560</v>
      </c>
      <c r="I56" s="86">
        <v>5850</v>
      </c>
      <c r="J56" s="86">
        <v>710.65023169999995</v>
      </c>
      <c r="K56" s="85">
        <v>6290</v>
      </c>
      <c r="L56" s="86">
        <v>5620</v>
      </c>
      <c r="M56" s="86">
        <v>667.95066870000005</v>
      </c>
      <c r="N56" s="85">
        <v>378.45</v>
      </c>
      <c r="O56" s="86">
        <v>246.44</v>
      </c>
      <c r="P56" s="86">
        <v>132.01</v>
      </c>
      <c r="Q56" s="59" t="s">
        <v>128</v>
      </c>
      <c r="R56" s="16"/>
      <c r="S56" s="16"/>
      <c r="T56" s="16"/>
    </row>
    <row r="57" spans="1:20" s="47" customFormat="1" ht="16.5" customHeight="1">
      <c r="A57" s="48">
        <f t="shared" si="3"/>
        <v>5.0080000000000027</v>
      </c>
      <c r="B57" s="49" t="s">
        <v>129</v>
      </c>
      <c r="C57" s="50" t="s">
        <v>27</v>
      </c>
      <c r="D57" s="51" t="s">
        <v>115</v>
      </c>
      <c r="E57" s="60">
        <v>201000</v>
      </c>
      <c r="F57" s="61">
        <v>201000</v>
      </c>
      <c r="G57" s="88">
        <v>0</v>
      </c>
      <c r="H57" s="85">
        <v>2650</v>
      </c>
      <c r="I57" s="86">
        <v>2650</v>
      </c>
      <c r="J57" s="86">
        <v>0</v>
      </c>
      <c r="K57" s="85">
        <v>2420</v>
      </c>
      <c r="L57" s="86">
        <v>2420</v>
      </c>
      <c r="M57" s="86">
        <v>0</v>
      </c>
      <c r="N57" s="85">
        <v>153.46</v>
      </c>
      <c r="O57" s="86">
        <v>153.46</v>
      </c>
      <c r="P57" s="86">
        <v>0</v>
      </c>
      <c r="Q57" s="59" t="s">
        <v>130</v>
      </c>
      <c r="R57" s="46"/>
      <c r="S57" s="46"/>
      <c r="T57" s="46"/>
    </row>
    <row r="58" spans="1:20" s="47" customFormat="1" ht="15.75" customHeight="1">
      <c r="A58" s="38">
        <v>6</v>
      </c>
      <c r="B58" s="39" t="s">
        <v>131</v>
      </c>
      <c r="C58" s="40" t="s">
        <v>31</v>
      </c>
      <c r="D58" s="39"/>
      <c r="E58" s="89"/>
      <c r="F58" s="89"/>
      <c r="G58" s="89"/>
      <c r="H58" s="90"/>
      <c r="I58" s="91"/>
      <c r="J58" s="90"/>
      <c r="K58" s="43"/>
      <c r="L58" s="44"/>
      <c r="M58" s="44"/>
      <c r="N58" s="41"/>
      <c r="O58" s="41"/>
      <c r="P58" s="41"/>
      <c r="Q58" s="45" t="s">
        <v>132</v>
      </c>
      <c r="R58" s="46"/>
      <c r="S58" s="46"/>
      <c r="T58" s="46"/>
    </row>
    <row r="59" spans="1:20" s="47" customFormat="1" ht="15.75" customHeight="1">
      <c r="A59" s="48">
        <f t="shared" ref="A59:A71" si="4">A58+0.001</f>
        <v>6.0010000000000003</v>
      </c>
      <c r="B59" s="49" t="s">
        <v>133</v>
      </c>
      <c r="C59" s="50">
        <v>2690</v>
      </c>
      <c r="D59" s="51" t="s">
        <v>29</v>
      </c>
      <c r="E59" s="60">
        <v>9610</v>
      </c>
      <c r="F59" s="61">
        <v>9610</v>
      </c>
      <c r="G59" s="88">
        <v>0</v>
      </c>
      <c r="H59" s="85">
        <v>147.85355900499999</v>
      </c>
      <c r="I59" s="86">
        <v>147.85355900499999</v>
      </c>
      <c r="J59" s="86">
        <v>0</v>
      </c>
      <c r="K59" s="85">
        <v>123.509452145</v>
      </c>
      <c r="L59" s="86">
        <v>123.509452145</v>
      </c>
      <c r="M59" s="92">
        <v>0</v>
      </c>
      <c r="N59" s="66">
        <v>9.2626000000000008</v>
      </c>
      <c r="O59" s="67">
        <v>9.2626000000000008</v>
      </c>
      <c r="P59" s="92">
        <v>0</v>
      </c>
      <c r="Q59" s="59" t="s">
        <v>134</v>
      </c>
      <c r="R59" s="46"/>
      <c r="S59" s="46"/>
      <c r="T59" s="46"/>
    </row>
    <row r="60" spans="1:20" s="47" customFormat="1" ht="15.75" customHeight="1">
      <c r="A60" s="48">
        <f t="shared" si="4"/>
        <v>6.0020000000000007</v>
      </c>
      <c r="B60" s="49" t="s">
        <v>135</v>
      </c>
      <c r="C60" s="50">
        <v>2690</v>
      </c>
      <c r="D60" s="51" t="s">
        <v>29</v>
      </c>
      <c r="E60" s="60">
        <v>10000</v>
      </c>
      <c r="F60" s="61">
        <v>10000</v>
      </c>
      <c r="G60" s="88">
        <v>0</v>
      </c>
      <c r="H60" s="85">
        <v>156.64168741099999</v>
      </c>
      <c r="I60" s="86">
        <v>156.64168741099999</v>
      </c>
      <c r="J60" s="86">
        <v>0</v>
      </c>
      <c r="K60" s="85">
        <v>131.31686731099998</v>
      </c>
      <c r="L60" s="86">
        <v>131.31686731099998</v>
      </c>
      <c r="M60" s="92">
        <v>0</v>
      </c>
      <c r="N60" s="66">
        <v>9.6881000000000004</v>
      </c>
      <c r="O60" s="67">
        <v>9.6881000000000004</v>
      </c>
      <c r="P60" s="92">
        <v>0</v>
      </c>
      <c r="Q60" s="59" t="s">
        <v>136</v>
      </c>
      <c r="R60" s="46"/>
      <c r="S60" s="46"/>
      <c r="T60" s="46"/>
    </row>
    <row r="61" spans="1:20" s="47" customFormat="1" ht="15.75" customHeight="1">
      <c r="A61" s="48">
        <f t="shared" si="4"/>
        <v>6.003000000000001</v>
      </c>
      <c r="B61" s="49" t="s">
        <v>137</v>
      </c>
      <c r="C61" s="50">
        <v>7850</v>
      </c>
      <c r="D61" s="51" t="s">
        <v>29</v>
      </c>
      <c r="E61" s="60">
        <v>2430</v>
      </c>
      <c r="F61" s="61">
        <v>2430</v>
      </c>
      <c r="G61" s="88">
        <v>0</v>
      </c>
      <c r="H61" s="68">
        <v>14.0341362079</v>
      </c>
      <c r="I61" s="69">
        <v>14.0341362079</v>
      </c>
      <c r="J61" s="86">
        <v>0</v>
      </c>
      <c r="K61" s="68">
        <v>13.483941867899999</v>
      </c>
      <c r="L61" s="69">
        <v>13.483941867899999</v>
      </c>
      <c r="M61" s="92">
        <v>0</v>
      </c>
      <c r="N61" s="54">
        <v>0.70537000000000005</v>
      </c>
      <c r="O61" s="55">
        <v>0.70537000000000005</v>
      </c>
      <c r="P61" s="92">
        <v>0</v>
      </c>
      <c r="Q61" s="59" t="s">
        <v>138</v>
      </c>
      <c r="R61" s="46"/>
      <c r="S61" s="46"/>
      <c r="T61" s="46"/>
    </row>
    <row r="62" spans="1:20" s="47" customFormat="1" ht="15.75" customHeight="1">
      <c r="A62" s="48">
        <f t="shared" si="4"/>
        <v>6.0040000000000013</v>
      </c>
      <c r="B62" s="49" t="s">
        <v>139</v>
      </c>
      <c r="C62" s="50">
        <v>7900</v>
      </c>
      <c r="D62" s="51" t="s">
        <v>29</v>
      </c>
      <c r="E62" s="60">
        <v>7310</v>
      </c>
      <c r="F62" s="61">
        <v>7310</v>
      </c>
      <c r="G62" s="88">
        <v>0</v>
      </c>
      <c r="H62" s="68">
        <v>65.385043949763343</v>
      </c>
      <c r="I62" s="69">
        <v>65.385043949763343</v>
      </c>
      <c r="J62" s="86">
        <v>0</v>
      </c>
      <c r="K62" s="68">
        <v>57.478678325159628</v>
      </c>
      <c r="L62" s="69">
        <v>57.478678325159628</v>
      </c>
      <c r="M62" s="92">
        <v>0</v>
      </c>
      <c r="N62" s="66">
        <v>3.8164378786566999</v>
      </c>
      <c r="O62" s="67">
        <v>3.8164378786566999</v>
      </c>
      <c r="P62" s="92">
        <v>0</v>
      </c>
      <c r="Q62" s="59" t="s">
        <v>140</v>
      </c>
      <c r="R62" s="46"/>
      <c r="S62" s="46"/>
      <c r="T62" s="46"/>
    </row>
    <row r="63" spans="1:20" s="47" customFormat="1" ht="15.75" customHeight="1">
      <c r="A63" s="48">
        <f t="shared" si="4"/>
        <v>6.0050000000000017</v>
      </c>
      <c r="B63" s="49" t="s">
        <v>141</v>
      </c>
      <c r="C63" s="50">
        <v>7900</v>
      </c>
      <c r="D63" s="51" t="s">
        <v>29</v>
      </c>
      <c r="E63" s="60">
        <v>9480</v>
      </c>
      <c r="F63" s="61">
        <v>9480</v>
      </c>
      <c r="G63" s="88">
        <v>0</v>
      </c>
      <c r="H63" s="68">
        <v>94.775984540846139</v>
      </c>
      <c r="I63" s="69">
        <v>94.775984540846139</v>
      </c>
      <c r="J63" s="86">
        <v>0</v>
      </c>
      <c r="K63" s="68">
        <v>86.160503655095923</v>
      </c>
      <c r="L63" s="69">
        <v>86.160503655095923</v>
      </c>
      <c r="M63" s="92">
        <v>0</v>
      </c>
      <c r="N63" s="66">
        <v>5.5186544391662542</v>
      </c>
      <c r="O63" s="67">
        <v>5.5186544391662542</v>
      </c>
      <c r="P63" s="92">
        <v>0</v>
      </c>
      <c r="Q63" s="59" t="s">
        <v>142</v>
      </c>
      <c r="R63" s="46"/>
      <c r="S63" s="46"/>
      <c r="T63" s="46"/>
    </row>
    <row r="64" spans="1:20" s="47" customFormat="1" ht="15.75" customHeight="1">
      <c r="A64" s="48">
        <f t="shared" si="4"/>
        <v>6.006000000000002</v>
      </c>
      <c r="B64" s="49" t="s">
        <v>143</v>
      </c>
      <c r="C64" s="50">
        <v>7700</v>
      </c>
      <c r="D64" s="51" t="s">
        <v>29</v>
      </c>
      <c r="E64" s="60">
        <v>4780</v>
      </c>
      <c r="F64" s="61">
        <v>4780</v>
      </c>
      <c r="G64" s="88">
        <v>0</v>
      </c>
      <c r="H64" s="68">
        <v>38.593830600246221</v>
      </c>
      <c r="I64" s="69">
        <v>38.593830600246221</v>
      </c>
      <c r="J64" s="86">
        <v>0</v>
      </c>
      <c r="K64" s="68">
        <v>35.692412442938505</v>
      </c>
      <c r="L64" s="69">
        <v>35.692412442938505</v>
      </c>
      <c r="M64" s="92">
        <v>0</v>
      </c>
      <c r="N64" s="66">
        <v>2.2681095586566995</v>
      </c>
      <c r="O64" s="67">
        <v>2.2681095586566995</v>
      </c>
      <c r="P64" s="92">
        <v>0</v>
      </c>
      <c r="Q64" s="59" t="s">
        <v>144</v>
      </c>
      <c r="R64" s="46"/>
      <c r="S64" s="46"/>
      <c r="T64" s="46"/>
    </row>
    <row r="65" spans="1:20" s="47" customFormat="1" ht="15.75" customHeight="1">
      <c r="A65" s="48">
        <f t="shared" si="4"/>
        <v>6.0070000000000023</v>
      </c>
      <c r="B65" s="49" t="s">
        <v>145</v>
      </c>
      <c r="C65" s="50">
        <v>7700</v>
      </c>
      <c r="D65" s="51" t="s">
        <v>29</v>
      </c>
      <c r="E65" s="60">
        <v>6950</v>
      </c>
      <c r="F65" s="61">
        <v>6950</v>
      </c>
      <c r="G65" s="88">
        <v>0</v>
      </c>
      <c r="H65" s="68">
        <v>67.984771191329031</v>
      </c>
      <c r="I65" s="69">
        <v>67.984771191329031</v>
      </c>
      <c r="J65" s="86">
        <v>0</v>
      </c>
      <c r="K65" s="68">
        <v>64.374237772874807</v>
      </c>
      <c r="L65" s="69">
        <v>64.374237772874807</v>
      </c>
      <c r="M65" s="92">
        <v>0</v>
      </c>
      <c r="N65" s="66">
        <v>3.9703261191662538</v>
      </c>
      <c r="O65" s="67">
        <v>3.9703261191662538</v>
      </c>
      <c r="P65" s="92">
        <v>0</v>
      </c>
      <c r="Q65" s="59" t="s">
        <v>146</v>
      </c>
      <c r="R65" s="46"/>
      <c r="S65" s="46"/>
      <c r="T65" s="46"/>
    </row>
    <row r="66" spans="1:20" s="47" customFormat="1" ht="15.75" customHeight="1">
      <c r="A66" s="48">
        <f t="shared" si="4"/>
        <v>6.0080000000000027</v>
      </c>
      <c r="B66" s="49" t="s">
        <v>147</v>
      </c>
      <c r="C66" s="50">
        <v>8900</v>
      </c>
      <c r="D66" s="51" t="s">
        <v>29</v>
      </c>
      <c r="E66" s="60">
        <v>53500</v>
      </c>
      <c r="F66" s="61">
        <v>53500</v>
      </c>
      <c r="G66" s="88">
        <v>0</v>
      </c>
      <c r="H66" s="68">
        <v>40.471025757700005</v>
      </c>
      <c r="I66" s="69">
        <v>40.471025757700005</v>
      </c>
      <c r="J66" s="86">
        <v>0</v>
      </c>
      <c r="K66" s="68">
        <v>34.970722057700002</v>
      </c>
      <c r="L66" s="69">
        <v>34.970722057700002</v>
      </c>
      <c r="M66" s="92">
        <v>0</v>
      </c>
      <c r="N66" s="66">
        <v>2.2484100000000002</v>
      </c>
      <c r="O66" s="67">
        <v>2.2484100000000002</v>
      </c>
      <c r="P66" s="92">
        <v>0</v>
      </c>
      <c r="Q66" s="59" t="s">
        <v>148</v>
      </c>
      <c r="R66" s="46"/>
      <c r="S66" s="46"/>
      <c r="T66" s="46"/>
    </row>
    <row r="67" spans="1:20" s="47" customFormat="1" ht="15.75" customHeight="1">
      <c r="A67" s="48">
        <f t="shared" si="4"/>
        <v>6.009000000000003</v>
      </c>
      <c r="B67" s="49" t="s">
        <v>149</v>
      </c>
      <c r="C67" s="50">
        <v>8300</v>
      </c>
      <c r="D67" s="51" t="s">
        <v>29</v>
      </c>
      <c r="E67" s="60">
        <v>47300</v>
      </c>
      <c r="F67" s="61">
        <v>47300</v>
      </c>
      <c r="G67" s="88">
        <v>0</v>
      </c>
      <c r="H67" s="68">
        <v>49.203660263700002</v>
      </c>
      <c r="I67" s="69">
        <v>49.203660263700002</v>
      </c>
      <c r="J67" s="86">
        <v>0</v>
      </c>
      <c r="K67" s="68">
        <v>42.870903963700002</v>
      </c>
      <c r="L67" s="69">
        <v>42.870903963700002</v>
      </c>
      <c r="M67" s="92">
        <v>0</v>
      </c>
      <c r="N67" s="66">
        <v>2.8155099999999997</v>
      </c>
      <c r="O67" s="67">
        <v>2.8155099999999997</v>
      </c>
      <c r="P67" s="92">
        <v>0</v>
      </c>
      <c r="Q67" s="59" t="s">
        <v>150</v>
      </c>
      <c r="R67" s="46"/>
      <c r="S67" s="46"/>
      <c r="T67" s="46"/>
    </row>
    <row r="68" spans="1:20" s="47" customFormat="1" ht="15.75" customHeight="1">
      <c r="A68" s="48">
        <f t="shared" si="4"/>
        <v>6.0100000000000033</v>
      </c>
      <c r="B68" s="49" t="s">
        <v>151</v>
      </c>
      <c r="C68" s="50">
        <v>7850</v>
      </c>
      <c r="D68" s="51" t="s">
        <v>29</v>
      </c>
      <c r="E68" s="60">
        <v>3170</v>
      </c>
      <c r="F68" s="61">
        <v>3170</v>
      </c>
      <c r="G68" s="88">
        <v>0</v>
      </c>
      <c r="H68" s="68">
        <v>29.561136947499996</v>
      </c>
      <c r="I68" s="69">
        <v>29.561136947499996</v>
      </c>
      <c r="J68" s="86">
        <v>0</v>
      </c>
      <c r="K68" s="68">
        <v>28.748415637499996</v>
      </c>
      <c r="L68" s="69">
        <v>28.748415637499996</v>
      </c>
      <c r="M68" s="92">
        <v>0</v>
      </c>
      <c r="N68" s="66">
        <v>1.84283</v>
      </c>
      <c r="O68" s="67">
        <v>1.84283</v>
      </c>
      <c r="P68" s="92">
        <v>0</v>
      </c>
      <c r="Q68" s="59" t="s">
        <v>152</v>
      </c>
      <c r="R68" s="46"/>
      <c r="S68" s="46"/>
      <c r="T68" s="46"/>
    </row>
    <row r="69" spans="1:20" s="94" customFormat="1" ht="15.75" customHeight="1">
      <c r="A69" s="48">
        <f t="shared" si="4"/>
        <v>6.0110000000000037</v>
      </c>
      <c r="B69" s="49" t="s">
        <v>153</v>
      </c>
      <c r="C69" s="50">
        <v>7850</v>
      </c>
      <c r="D69" s="51" t="s">
        <v>29</v>
      </c>
      <c r="E69" s="60">
        <v>14200</v>
      </c>
      <c r="F69" s="61">
        <v>14200</v>
      </c>
      <c r="G69" s="88">
        <v>0</v>
      </c>
      <c r="H69" s="68">
        <v>61.515011777877262</v>
      </c>
      <c r="I69" s="69">
        <v>61.515011777877262</v>
      </c>
      <c r="J69" s="86">
        <v>0</v>
      </c>
      <c r="K69" s="68">
        <v>58.280628772629839</v>
      </c>
      <c r="L69" s="69">
        <v>58.280628772629839</v>
      </c>
      <c r="M69" s="92">
        <v>0</v>
      </c>
      <c r="N69" s="66">
        <v>3.5867986428221461</v>
      </c>
      <c r="O69" s="67">
        <v>3.5867986428221461</v>
      </c>
      <c r="P69" s="92">
        <v>0</v>
      </c>
      <c r="Q69" s="59" t="s">
        <v>154</v>
      </c>
      <c r="R69" s="93"/>
      <c r="S69" s="93"/>
      <c r="T69" s="93"/>
    </row>
    <row r="70" spans="1:20" s="94" customFormat="1" ht="15.75" customHeight="1">
      <c r="A70" s="48">
        <f t="shared" si="4"/>
        <v>6.012000000000004</v>
      </c>
      <c r="B70" s="49" t="s">
        <v>155</v>
      </c>
      <c r="C70" s="50">
        <v>7850</v>
      </c>
      <c r="D70" s="51" t="s">
        <v>29</v>
      </c>
      <c r="E70" s="60">
        <v>2710</v>
      </c>
      <c r="F70" s="61">
        <v>2710</v>
      </c>
      <c r="G70" s="88">
        <v>0</v>
      </c>
      <c r="H70" s="68">
        <v>16.348516784040001</v>
      </c>
      <c r="I70" s="69">
        <v>16.348516784040001</v>
      </c>
      <c r="J70" s="86">
        <v>0</v>
      </c>
      <c r="K70" s="68">
        <v>15.66608097644</v>
      </c>
      <c r="L70" s="69">
        <v>15.66608097644</v>
      </c>
      <c r="M70" s="92">
        <v>0</v>
      </c>
      <c r="N70" s="66">
        <v>0.92858039999999997</v>
      </c>
      <c r="O70" s="67">
        <v>0.92858039999999997</v>
      </c>
      <c r="P70" s="92">
        <v>0</v>
      </c>
      <c r="Q70" s="59" t="s">
        <v>156</v>
      </c>
      <c r="R70" s="93"/>
      <c r="S70" s="93"/>
      <c r="T70" s="93"/>
    </row>
    <row r="71" spans="1:20" s="94" customFormat="1" ht="15.75" customHeight="1">
      <c r="A71" s="48">
        <f t="shared" si="4"/>
        <v>6.0130000000000043</v>
      </c>
      <c r="B71" s="49" t="s">
        <v>157</v>
      </c>
      <c r="C71" s="50">
        <v>7200</v>
      </c>
      <c r="D71" s="51" t="s">
        <v>29</v>
      </c>
      <c r="E71" s="60">
        <v>30400</v>
      </c>
      <c r="F71" s="61">
        <v>30400</v>
      </c>
      <c r="G71" s="88">
        <v>0</v>
      </c>
      <c r="H71" s="68">
        <v>73.046799407999998</v>
      </c>
      <c r="I71" s="69">
        <v>73.046799407999998</v>
      </c>
      <c r="J71" s="86">
        <v>0</v>
      </c>
      <c r="K71" s="68">
        <v>64.442055507999996</v>
      </c>
      <c r="L71" s="69">
        <v>64.442055507999996</v>
      </c>
      <c r="M71" s="92">
        <v>0</v>
      </c>
      <c r="N71" s="66">
        <v>4.2790999999999997</v>
      </c>
      <c r="O71" s="67">
        <v>4.2790999999999997</v>
      </c>
      <c r="P71" s="92">
        <v>0</v>
      </c>
      <c r="Q71" s="59" t="s">
        <v>158</v>
      </c>
      <c r="R71" s="93"/>
      <c r="S71" s="93"/>
      <c r="T71" s="93"/>
    </row>
    <row r="72" spans="1:20" s="47" customFormat="1" ht="15.75" customHeight="1">
      <c r="A72" s="38">
        <v>7</v>
      </c>
      <c r="B72" s="39" t="s">
        <v>159</v>
      </c>
      <c r="C72" s="40" t="s">
        <v>31</v>
      </c>
      <c r="D72" s="62" t="s">
        <v>42</v>
      </c>
      <c r="E72" s="63"/>
      <c r="F72" s="63"/>
      <c r="G72" s="63"/>
      <c r="H72" s="64"/>
      <c r="I72" s="44"/>
      <c r="J72" s="65"/>
      <c r="K72" s="43"/>
      <c r="L72" s="44"/>
      <c r="M72" s="44"/>
      <c r="N72" s="43"/>
      <c r="O72" s="44"/>
      <c r="P72" s="44"/>
      <c r="Q72" s="95" t="s">
        <v>160</v>
      </c>
      <c r="R72" s="46"/>
      <c r="S72" s="46"/>
      <c r="T72" s="46"/>
    </row>
    <row r="73" spans="1:20" s="94" customFormat="1" ht="15.75" customHeight="1">
      <c r="A73" s="48">
        <f t="shared" ref="A73:A90" si="5">A72+0.001</f>
        <v>7.0010000000000003</v>
      </c>
      <c r="B73" s="49" t="s">
        <v>161</v>
      </c>
      <c r="C73" s="50">
        <v>470</v>
      </c>
      <c r="D73" s="51" t="s">
        <v>29</v>
      </c>
      <c r="E73" s="60">
        <v>1300</v>
      </c>
      <c r="F73" s="61">
        <v>898.68518518518522</v>
      </c>
      <c r="G73" s="61">
        <v>397.5</v>
      </c>
      <c r="H73" s="68">
        <v>30.931506897634264</v>
      </c>
      <c r="I73" s="69">
        <v>30.788694309259263</v>
      </c>
      <c r="J73" s="55">
        <v>0.14281258837499999</v>
      </c>
      <c r="K73" s="68">
        <v>10.066369420028703</v>
      </c>
      <c r="L73" s="67">
        <v>9.9266882537037038</v>
      </c>
      <c r="M73" s="55">
        <v>0.13968116632499999</v>
      </c>
      <c r="N73" s="54">
        <v>0.61663407407407411</v>
      </c>
      <c r="O73" s="55">
        <v>0.51757407407407408</v>
      </c>
      <c r="P73" s="57">
        <v>9.9059999999999995E-2</v>
      </c>
      <c r="Q73" s="59" t="s">
        <v>162</v>
      </c>
      <c r="R73" s="93"/>
      <c r="S73" s="93"/>
      <c r="T73" s="93"/>
    </row>
    <row r="74" spans="1:20" s="94" customFormat="1" ht="15.75" customHeight="1">
      <c r="A74" s="48">
        <f t="shared" si="5"/>
        <v>7.0020000000000007</v>
      </c>
      <c r="B74" s="49" t="s">
        <v>163</v>
      </c>
      <c r="C74" s="50">
        <v>470</v>
      </c>
      <c r="D74" s="51" t="s">
        <v>29</v>
      </c>
      <c r="E74" s="60">
        <v>1170</v>
      </c>
      <c r="F74" s="61">
        <v>735.17171717171709</v>
      </c>
      <c r="G74" s="61">
        <v>433.63636363636363</v>
      </c>
      <c r="H74" s="68">
        <v>32.944259403075755</v>
      </c>
      <c r="I74" s="69">
        <v>32.788463852121211</v>
      </c>
      <c r="J74" s="55">
        <v>0.15579555095454545</v>
      </c>
      <c r="K74" s="66">
        <v>8.1066772052838374</v>
      </c>
      <c r="L74" s="67">
        <v>7.9542977511111097</v>
      </c>
      <c r="M74" s="55">
        <v>0.15237945417272727</v>
      </c>
      <c r="N74" s="54">
        <v>0.52598464646464638</v>
      </c>
      <c r="O74" s="55">
        <v>0.41791919191919186</v>
      </c>
      <c r="P74" s="55">
        <v>0.10806545454545453</v>
      </c>
      <c r="Q74" s="59" t="s">
        <v>164</v>
      </c>
      <c r="R74" s="93"/>
      <c r="S74" s="93"/>
      <c r="T74" s="93"/>
    </row>
    <row r="75" spans="1:20" s="94" customFormat="1" ht="15.75" customHeight="1">
      <c r="A75" s="48">
        <f t="shared" si="5"/>
        <v>7.003000000000001</v>
      </c>
      <c r="B75" s="49" t="s">
        <v>165</v>
      </c>
      <c r="C75" s="50">
        <v>470</v>
      </c>
      <c r="D75" s="51" t="s">
        <v>29</v>
      </c>
      <c r="E75" s="60">
        <v>1200</v>
      </c>
      <c r="F75" s="61">
        <v>770.5454545454545</v>
      </c>
      <c r="G75" s="61">
        <v>433.63636363636363</v>
      </c>
      <c r="H75" s="68">
        <v>33.631367874388886</v>
      </c>
      <c r="I75" s="69">
        <v>33.475572323434342</v>
      </c>
      <c r="J75" s="55">
        <v>0.15579555095454545</v>
      </c>
      <c r="K75" s="66">
        <v>8.8314860402333331</v>
      </c>
      <c r="L75" s="67">
        <v>8.6791065860606054</v>
      </c>
      <c r="M75" s="55">
        <v>0.15237945417272727</v>
      </c>
      <c r="N75" s="54">
        <v>0.56374222222222214</v>
      </c>
      <c r="O75" s="55">
        <v>0.45567676767676762</v>
      </c>
      <c r="P75" s="55">
        <v>0.10806545454545453</v>
      </c>
      <c r="Q75" s="59" t="s">
        <v>166</v>
      </c>
      <c r="R75" s="93"/>
      <c r="S75" s="93"/>
      <c r="T75" s="93"/>
    </row>
    <row r="76" spans="1:20" s="94" customFormat="1" ht="15.75" customHeight="1">
      <c r="A76" s="48">
        <f t="shared" si="5"/>
        <v>7.0040000000000013</v>
      </c>
      <c r="B76" s="49" t="s">
        <v>167</v>
      </c>
      <c r="C76" s="50">
        <v>950</v>
      </c>
      <c r="D76" s="51" t="s">
        <v>29</v>
      </c>
      <c r="E76" s="60">
        <v>1110</v>
      </c>
      <c r="F76" s="61">
        <v>655.85555555555561</v>
      </c>
      <c r="G76" s="61">
        <v>454.28571428571428</v>
      </c>
      <c r="H76" s="68">
        <v>39.992262050269844</v>
      </c>
      <c r="I76" s="69">
        <v>39.829047663555556</v>
      </c>
      <c r="J76" s="55">
        <v>0.16321438671428568</v>
      </c>
      <c r="K76" s="68">
        <v>12.88264319332381</v>
      </c>
      <c r="L76" s="69">
        <v>12.723007574666667</v>
      </c>
      <c r="M76" s="55">
        <v>0.15963561865714282</v>
      </c>
      <c r="N76" s="54">
        <v>0.76370031746031741</v>
      </c>
      <c r="O76" s="55">
        <v>0.65048888888888889</v>
      </c>
      <c r="P76" s="55">
        <v>0.11321142857142856</v>
      </c>
      <c r="Q76" s="59" t="s">
        <v>168</v>
      </c>
      <c r="R76" s="93"/>
      <c r="S76" s="93"/>
      <c r="T76" s="93"/>
    </row>
    <row r="77" spans="1:20" s="94" customFormat="1" ht="15.75" customHeight="1">
      <c r="A77" s="48">
        <f t="shared" si="5"/>
        <v>7.0050000000000017</v>
      </c>
      <c r="B77" s="49" t="s">
        <v>169</v>
      </c>
      <c r="C77" s="50">
        <v>400</v>
      </c>
      <c r="D77" s="51" t="s">
        <v>29</v>
      </c>
      <c r="E77" s="60">
        <v>876.72</v>
      </c>
      <c r="F77" s="61">
        <v>302.8</v>
      </c>
      <c r="G77" s="61">
        <v>573.91999999999996</v>
      </c>
      <c r="H77" s="68">
        <v>10.308887033973331</v>
      </c>
      <c r="I77" s="69">
        <v>9.9668743633333321</v>
      </c>
      <c r="J77" s="55">
        <v>0.34201267063999996</v>
      </c>
      <c r="K77" s="66">
        <v>3.9524650948622226</v>
      </c>
      <c r="L77" s="67">
        <v>3.6143605722222225</v>
      </c>
      <c r="M77" s="55">
        <v>0.33810452263999996</v>
      </c>
      <c r="N77" s="54">
        <v>0.47060866666666673</v>
      </c>
      <c r="O77" s="55">
        <v>0.45066666666666672</v>
      </c>
      <c r="P77" s="57">
        <v>1.9942000000000001E-2</v>
      </c>
      <c r="Q77" s="59" t="s">
        <v>170</v>
      </c>
      <c r="R77" s="93"/>
      <c r="S77" s="93"/>
      <c r="T77" s="93"/>
    </row>
    <row r="78" spans="1:20" s="94" customFormat="1" ht="15.75" customHeight="1">
      <c r="A78" s="48">
        <f t="shared" si="5"/>
        <v>7.006000000000002</v>
      </c>
      <c r="B78" s="49" t="s">
        <v>171</v>
      </c>
      <c r="C78" s="50">
        <v>700</v>
      </c>
      <c r="D78" s="51" t="s">
        <v>29</v>
      </c>
      <c r="E78" s="60">
        <v>615.80461538461532</v>
      </c>
      <c r="F78" s="61">
        <v>258.88461538461536</v>
      </c>
      <c r="G78" s="61">
        <v>356.92</v>
      </c>
      <c r="H78" s="68">
        <v>18.116687496223971</v>
      </c>
      <c r="I78" s="69">
        <v>18.017454794358972</v>
      </c>
      <c r="J78" s="57">
        <v>9.9232701864999981E-2</v>
      </c>
      <c r="K78" s="66">
        <v>1.4140293908726924</v>
      </c>
      <c r="L78" s="67">
        <v>1.3163392623076924</v>
      </c>
      <c r="M78" s="55">
        <v>9.7690128564999992E-2</v>
      </c>
      <c r="N78" s="56">
        <v>8.113398717948718E-2</v>
      </c>
      <c r="O78" s="57">
        <v>7.427948717948718E-2</v>
      </c>
      <c r="P78" s="58">
        <v>6.8545000000000003E-3</v>
      </c>
      <c r="Q78" s="59" t="s">
        <v>172</v>
      </c>
      <c r="R78" s="93"/>
      <c r="S78" s="93"/>
      <c r="T78" s="93"/>
    </row>
    <row r="79" spans="1:20" s="94" customFormat="1" ht="15.75" customHeight="1">
      <c r="A79" s="48">
        <f t="shared" si="5"/>
        <v>7.0070000000000023</v>
      </c>
      <c r="B79" s="49" t="s">
        <v>173</v>
      </c>
      <c r="C79" s="50">
        <v>700</v>
      </c>
      <c r="D79" s="51" t="s">
        <v>29</v>
      </c>
      <c r="E79" s="60">
        <v>747.8427972027971</v>
      </c>
      <c r="F79" s="61">
        <v>358.47552447552442</v>
      </c>
      <c r="G79" s="61">
        <v>389.36727272727273</v>
      </c>
      <c r="H79" s="68">
        <v>22.458283303433145</v>
      </c>
      <c r="I79" s="69">
        <v>22.350029446853146</v>
      </c>
      <c r="J79" s="55">
        <v>0.10825385657999999</v>
      </c>
      <c r="K79" s="66">
        <v>2.1663120150779021</v>
      </c>
      <c r="L79" s="67">
        <v>2.0597409657342656</v>
      </c>
      <c r="M79" s="55">
        <v>0.10657104934363636</v>
      </c>
      <c r="N79" s="54">
        <v>0.11926225174825174</v>
      </c>
      <c r="O79" s="55">
        <v>0.11178461538461537</v>
      </c>
      <c r="P79" s="58">
        <v>7.4776363636363634E-3</v>
      </c>
      <c r="Q79" s="59" t="s">
        <v>174</v>
      </c>
      <c r="R79" s="93"/>
      <c r="S79" s="93"/>
      <c r="T79" s="93"/>
    </row>
    <row r="80" spans="1:20" s="94" customFormat="1" ht="15.75" customHeight="1">
      <c r="A80" s="48">
        <f t="shared" si="5"/>
        <v>7.0080000000000027</v>
      </c>
      <c r="B80" s="49" t="s">
        <v>175</v>
      </c>
      <c r="C80" s="50">
        <v>700</v>
      </c>
      <c r="D80" s="51" t="s">
        <v>29</v>
      </c>
      <c r="E80" s="60">
        <v>828.65398601398601</v>
      </c>
      <c r="F80" s="61">
        <v>439.28671328671322</v>
      </c>
      <c r="G80" s="61">
        <v>389.36727272727273</v>
      </c>
      <c r="H80" s="68">
        <v>23.692194284272304</v>
      </c>
      <c r="I80" s="69">
        <v>23.583940427692305</v>
      </c>
      <c r="J80" s="55">
        <v>0.10825385657999999</v>
      </c>
      <c r="K80" s="66">
        <v>2.9969985120009786</v>
      </c>
      <c r="L80" s="67">
        <v>2.8904274626573421</v>
      </c>
      <c r="M80" s="55">
        <v>0.10657104934363636</v>
      </c>
      <c r="N80" s="54">
        <v>0.16360351048951044</v>
      </c>
      <c r="O80" s="55">
        <v>0.15612587412587409</v>
      </c>
      <c r="P80" s="58">
        <v>7.4776363636363634E-3</v>
      </c>
      <c r="Q80" s="59" t="s">
        <v>176</v>
      </c>
      <c r="R80" s="93"/>
      <c r="S80" s="93"/>
      <c r="T80" s="93"/>
    </row>
    <row r="81" spans="1:20" s="94" customFormat="1" ht="15.75" customHeight="1">
      <c r="A81" s="48">
        <f t="shared" si="5"/>
        <v>7.009000000000003</v>
      </c>
      <c r="B81" s="49" t="s">
        <v>177</v>
      </c>
      <c r="C81" s="50">
        <v>450</v>
      </c>
      <c r="D81" s="51" t="s">
        <v>29</v>
      </c>
      <c r="E81" s="60">
        <v>587.9289031703704</v>
      </c>
      <c r="F81" s="61">
        <v>231.00890317037042</v>
      </c>
      <c r="G81" s="61">
        <v>356.92</v>
      </c>
      <c r="H81" s="68">
        <v>18.946392920801259</v>
      </c>
      <c r="I81" s="69">
        <v>18.84716021893626</v>
      </c>
      <c r="J81" s="57">
        <v>9.9232701864999981E-2</v>
      </c>
      <c r="K81" s="66">
        <v>1.8038952326182955</v>
      </c>
      <c r="L81" s="67">
        <v>1.7062051040532955</v>
      </c>
      <c r="M81" s="57">
        <v>9.7690128564999992E-2</v>
      </c>
      <c r="N81" s="56">
        <v>8.6646676711111106E-2</v>
      </c>
      <c r="O81" s="57">
        <v>7.9792176711111107E-2</v>
      </c>
      <c r="P81" s="58">
        <v>6.8545000000000003E-3</v>
      </c>
      <c r="Q81" s="59" t="s">
        <v>178</v>
      </c>
      <c r="R81" s="93"/>
      <c r="S81" s="93"/>
      <c r="T81" s="93"/>
    </row>
    <row r="82" spans="1:20" s="94" customFormat="1" ht="15.75" customHeight="1">
      <c r="A82" s="48">
        <f t="shared" si="5"/>
        <v>7.0100000000000033</v>
      </c>
      <c r="B82" s="49" t="s">
        <v>179</v>
      </c>
      <c r="C82" s="50">
        <v>450</v>
      </c>
      <c r="D82" s="51" t="s">
        <v>29</v>
      </c>
      <c r="E82" s="60">
        <v>651.5989573520593</v>
      </c>
      <c r="F82" s="61">
        <v>294.67895735205929</v>
      </c>
      <c r="G82" s="61">
        <v>356.92</v>
      </c>
      <c r="H82" s="68">
        <v>19.890179297965549</v>
      </c>
      <c r="I82" s="69">
        <v>19.79094659610055</v>
      </c>
      <c r="J82" s="57">
        <v>9.9232701864999981E-2</v>
      </c>
      <c r="K82" s="66">
        <v>2.6214496513981485</v>
      </c>
      <c r="L82" s="67">
        <v>2.5237595228331484</v>
      </c>
      <c r="M82" s="57">
        <v>9.7690128564999992E-2</v>
      </c>
      <c r="N82" s="54">
        <v>0.11048147425967406</v>
      </c>
      <c r="O82" s="55">
        <v>0.10362697425967406</v>
      </c>
      <c r="P82" s="58">
        <v>6.8545000000000003E-3</v>
      </c>
      <c r="Q82" s="59" t="s">
        <v>180</v>
      </c>
      <c r="R82" s="93"/>
      <c r="S82" s="93"/>
      <c r="T82" s="93"/>
    </row>
    <row r="83" spans="1:20" s="94" customFormat="1" ht="15.75" customHeight="1">
      <c r="A83" s="48">
        <f t="shared" si="5"/>
        <v>7.0110000000000037</v>
      </c>
      <c r="B83" s="49" t="s">
        <v>181</v>
      </c>
      <c r="C83" s="50">
        <v>450</v>
      </c>
      <c r="D83" s="51" t="s">
        <v>29</v>
      </c>
      <c r="E83" s="60">
        <v>790.18975322244842</v>
      </c>
      <c r="F83" s="61">
        <v>400.82248049517574</v>
      </c>
      <c r="G83" s="61">
        <v>389.36727272727273</v>
      </c>
      <c r="H83" s="68">
        <v>24.823644499141942</v>
      </c>
      <c r="I83" s="69">
        <v>24.715390642561943</v>
      </c>
      <c r="J83" s="55">
        <v>0.10825385657999999</v>
      </c>
      <c r="K83" s="66">
        <v>3.4872503311567975</v>
      </c>
      <c r="L83" s="67">
        <v>3.380679281813161</v>
      </c>
      <c r="M83" s="55">
        <v>0.10657104934363636</v>
      </c>
      <c r="N83" s="54">
        <v>0.13275412191964442</v>
      </c>
      <c r="O83" s="55">
        <v>0.12527648555600807</v>
      </c>
      <c r="P83" s="58">
        <v>7.4776363636363634E-3</v>
      </c>
      <c r="Q83" s="59" t="s">
        <v>182</v>
      </c>
      <c r="R83" s="93"/>
      <c r="S83" s="93"/>
      <c r="T83" s="93"/>
    </row>
    <row r="84" spans="1:20" s="94" customFormat="1" ht="15.75" customHeight="1">
      <c r="A84" s="48">
        <f t="shared" si="5"/>
        <v>7.012000000000004</v>
      </c>
      <c r="B84" s="49" t="s">
        <v>183</v>
      </c>
      <c r="C84" s="50">
        <v>750</v>
      </c>
      <c r="D84" s="51" t="s">
        <v>29</v>
      </c>
      <c r="E84" s="60">
        <v>1130</v>
      </c>
      <c r="F84" s="61">
        <v>674.15384615384619</v>
      </c>
      <c r="G84" s="61">
        <v>454.28571428571428</v>
      </c>
      <c r="H84" s="68">
        <v>39.320469709534798</v>
      </c>
      <c r="I84" s="69">
        <v>39.157255322820511</v>
      </c>
      <c r="J84" s="55">
        <v>0.16321438671428568</v>
      </c>
      <c r="K84" s="68">
        <v>14.345285274810989</v>
      </c>
      <c r="L84" s="69">
        <v>14.185649656153846</v>
      </c>
      <c r="M84" s="55">
        <v>0.15963561865714282</v>
      </c>
      <c r="N84" s="54">
        <v>0.75560886446886444</v>
      </c>
      <c r="O84" s="55">
        <v>0.64239743589743592</v>
      </c>
      <c r="P84" s="55">
        <v>0.11321142857142856</v>
      </c>
      <c r="Q84" s="59" t="s">
        <v>184</v>
      </c>
      <c r="R84" s="93"/>
      <c r="S84" s="93"/>
      <c r="T84" s="93"/>
    </row>
    <row r="85" spans="1:20" s="94" customFormat="1" ht="15.75" customHeight="1">
      <c r="A85" s="48">
        <f t="shared" si="5"/>
        <v>7.0130000000000043</v>
      </c>
      <c r="B85" s="49" t="s">
        <v>185</v>
      </c>
      <c r="C85" s="50">
        <v>600</v>
      </c>
      <c r="D85" s="51" t="s">
        <v>29</v>
      </c>
      <c r="E85" s="60">
        <v>1590</v>
      </c>
      <c r="F85" s="61">
        <v>1130</v>
      </c>
      <c r="G85" s="61">
        <v>456.02294455066914</v>
      </c>
      <c r="H85" s="68">
        <v>36.443162804215675</v>
      </c>
      <c r="I85" s="69">
        <v>36.279324270707072</v>
      </c>
      <c r="J85" s="55">
        <v>0.16383853350860417</v>
      </c>
      <c r="K85" s="68">
        <v>13.844930838836516</v>
      </c>
      <c r="L85" s="69">
        <v>13.684684758922559</v>
      </c>
      <c r="M85" s="55">
        <v>0.1602460799139579</v>
      </c>
      <c r="N85" s="54">
        <v>0.6405298813501491</v>
      </c>
      <c r="O85" s="55">
        <v>0.52688552188552196</v>
      </c>
      <c r="P85" s="55">
        <v>0.11364435946462713</v>
      </c>
      <c r="Q85" s="59" t="s">
        <v>186</v>
      </c>
      <c r="R85" s="93"/>
      <c r="S85" s="93"/>
      <c r="T85" s="93"/>
    </row>
    <row r="86" spans="1:20" s="94" customFormat="1" ht="15.75" customHeight="1">
      <c r="A86" s="48">
        <f t="shared" si="5"/>
        <v>7.0140000000000047</v>
      </c>
      <c r="B86" s="49" t="s">
        <v>187</v>
      </c>
      <c r="C86" s="50">
        <v>650</v>
      </c>
      <c r="D86" s="51" t="s">
        <v>29</v>
      </c>
      <c r="E86" s="60">
        <v>893.25823866831615</v>
      </c>
      <c r="F86" s="61">
        <v>437.23529411764707</v>
      </c>
      <c r="G86" s="61">
        <v>456.02294455066914</v>
      </c>
      <c r="H86" s="68">
        <v>30.296792309390959</v>
      </c>
      <c r="I86" s="69">
        <v>30.132953775882356</v>
      </c>
      <c r="J86" s="55">
        <v>0.16383853350860417</v>
      </c>
      <c r="K86" s="66">
        <v>9.0161204734433689</v>
      </c>
      <c r="L86" s="67">
        <v>8.8558743935294117</v>
      </c>
      <c r="M86" s="55">
        <v>0.1602460799139579</v>
      </c>
      <c r="N86" s="54">
        <v>0.50183553593521535</v>
      </c>
      <c r="O86" s="55">
        <v>0.38819117647058826</v>
      </c>
      <c r="P86" s="55">
        <v>0.11364435946462713</v>
      </c>
      <c r="Q86" s="59" t="s">
        <v>188</v>
      </c>
      <c r="R86" s="93"/>
      <c r="S86" s="93"/>
      <c r="T86" s="93"/>
    </row>
    <row r="87" spans="1:20" s="94" customFormat="1" ht="15.75" customHeight="1">
      <c r="A87" s="48">
        <f t="shared" si="5"/>
        <v>7.015000000000005</v>
      </c>
      <c r="B87" s="49" t="s">
        <v>189</v>
      </c>
      <c r="C87" s="50">
        <v>650</v>
      </c>
      <c r="D87" s="51" t="s">
        <v>29</v>
      </c>
      <c r="E87" s="60">
        <v>1460</v>
      </c>
      <c r="F87" s="61">
        <v>1000</v>
      </c>
      <c r="G87" s="61">
        <v>456.02294455066914</v>
      </c>
      <c r="H87" s="68">
        <v>34.600568274243898</v>
      </c>
      <c r="I87" s="69">
        <v>34.436729740735295</v>
      </c>
      <c r="J87" s="55">
        <v>0.16383853350860417</v>
      </c>
      <c r="K87" s="68">
        <v>13.253779805943369</v>
      </c>
      <c r="L87" s="69">
        <v>13.093533726029412</v>
      </c>
      <c r="M87" s="55">
        <v>0.1602460799139579</v>
      </c>
      <c r="N87" s="54">
        <v>0.5986590653469801</v>
      </c>
      <c r="O87" s="55">
        <v>0.48501470588235296</v>
      </c>
      <c r="P87" s="55">
        <v>0.11364435946462713</v>
      </c>
      <c r="Q87" s="59" t="s">
        <v>190</v>
      </c>
      <c r="R87" s="93"/>
      <c r="S87" s="93"/>
      <c r="T87" s="93"/>
    </row>
    <row r="88" spans="1:20" s="94" customFormat="1" ht="15.75" customHeight="1">
      <c r="A88" s="48">
        <f t="shared" si="5"/>
        <v>7.0160000000000053</v>
      </c>
      <c r="B88" s="49" t="s">
        <v>191</v>
      </c>
      <c r="C88" s="50">
        <v>650</v>
      </c>
      <c r="D88" s="51" t="s">
        <v>29</v>
      </c>
      <c r="E88" s="60">
        <v>967.72000337419854</v>
      </c>
      <c r="F88" s="61">
        <v>511.6970588235294</v>
      </c>
      <c r="G88" s="61">
        <v>456.02294455066914</v>
      </c>
      <c r="H88" s="68">
        <v>31.658088314773305</v>
      </c>
      <c r="I88" s="69">
        <v>31.494249781264703</v>
      </c>
      <c r="J88" s="55">
        <v>0.16383853350860417</v>
      </c>
      <c r="K88" s="68">
        <v>10.337730081766898</v>
      </c>
      <c r="L88" s="69">
        <v>10.177484001852941</v>
      </c>
      <c r="M88" s="55">
        <v>0.1602460799139579</v>
      </c>
      <c r="N88" s="54">
        <v>0.55700612417050954</v>
      </c>
      <c r="O88" s="55">
        <v>0.4433617647058824</v>
      </c>
      <c r="P88" s="55">
        <v>0.11364435946462713</v>
      </c>
      <c r="Q88" s="59" t="s">
        <v>192</v>
      </c>
      <c r="R88" s="93"/>
      <c r="S88" s="93"/>
      <c r="T88" s="93"/>
    </row>
    <row r="89" spans="1:20" s="94" customFormat="1" ht="15.75" customHeight="1">
      <c r="A89" s="48">
        <f t="shared" si="5"/>
        <v>7.0170000000000057</v>
      </c>
      <c r="B89" s="49" t="s">
        <v>193</v>
      </c>
      <c r="C89" s="50">
        <v>500</v>
      </c>
      <c r="D89" s="51" t="s">
        <v>29</v>
      </c>
      <c r="E89" s="60">
        <v>1540</v>
      </c>
      <c r="F89" s="61">
        <v>1140</v>
      </c>
      <c r="G89" s="61">
        <v>397.5</v>
      </c>
      <c r="H89" s="68">
        <v>42.255930896580132</v>
      </c>
      <c r="I89" s="69">
        <v>42.113118308205131</v>
      </c>
      <c r="J89" s="55">
        <v>0.14281258837499999</v>
      </c>
      <c r="K89" s="68">
        <v>13.570589320683975</v>
      </c>
      <c r="L89" s="69">
        <v>13.430908154358976</v>
      </c>
      <c r="M89" s="55">
        <v>0.13968116632499999</v>
      </c>
      <c r="N89" s="54">
        <v>0.74116256410256409</v>
      </c>
      <c r="O89" s="55">
        <v>0.64210256410256406</v>
      </c>
      <c r="P89" s="57">
        <v>9.9059999999999995E-2</v>
      </c>
      <c r="Q89" s="59" t="s">
        <v>194</v>
      </c>
      <c r="R89" s="93"/>
      <c r="S89" s="93"/>
      <c r="T89" s="93"/>
    </row>
    <row r="90" spans="1:20" s="94" customFormat="1" ht="15.75" customHeight="1">
      <c r="A90" s="48">
        <f t="shared" si="5"/>
        <v>7.018000000000006</v>
      </c>
      <c r="B90" s="49" t="s">
        <v>195</v>
      </c>
      <c r="C90" s="50">
        <v>500</v>
      </c>
      <c r="D90" s="51" t="s">
        <v>29</v>
      </c>
      <c r="E90" s="60">
        <v>1710</v>
      </c>
      <c r="F90" s="61">
        <v>1310</v>
      </c>
      <c r="G90" s="61">
        <v>397.5</v>
      </c>
      <c r="H90" s="68">
        <v>45.533739139657051</v>
      </c>
      <c r="I90" s="69">
        <v>45.39092655128205</v>
      </c>
      <c r="J90" s="55">
        <v>0.14281258837499999</v>
      </c>
      <c r="K90" s="68">
        <v>16.779054191966026</v>
      </c>
      <c r="L90" s="69">
        <v>16.639373025641024</v>
      </c>
      <c r="M90" s="55">
        <v>0.13968116632499999</v>
      </c>
      <c r="N90" s="54">
        <v>0.92904717948717952</v>
      </c>
      <c r="O90" s="55">
        <v>0.82998717948717948</v>
      </c>
      <c r="P90" s="57">
        <v>9.9059999999999995E-2</v>
      </c>
      <c r="Q90" s="59" t="s">
        <v>196</v>
      </c>
      <c r="R90" s="93"/>
      <c r="S90" s="93"/>
      <c r="T90" s="93"/>
    </row>
    <row r="91" spans="1:20" s="94" customFormat="1" ht="26.25" customHeight="1">
      <c r="A91" s="48"/>
      <c r="B91" s="96" t="s">
        <v>197</v>
      </c>
      <c r="C91" s="50"/>
      <c r="D91" s="51"/>
      <c r="E91" s="97"/>
      <c r="F91" s="88"/>
      <c r="G91" s="88"/>
      <c r="H91" s="54"/>
      <c r="I91" s="69"/>
      <c r="J91" s="55"/>
      <c r="K91" s="68"/>
      <c r="L91" s="92"/>
      <c r="M91" s="92"/>
      <c r="N91" s="98"/>
      <c r="O91" s="55"/>
      <c r="P91" s="92"/>
      <c r="Q91" s="99" t="s">
        <v>198</v>
      </c>
      <c r="R91" s="93"/>
      <c r="S91" s="93"/>
      <c r="T91" s="93"/>
    </row>
    <row r="92" spans="1:20" s="47" customFormat="1" ht="15.75" customHeight="1">
      <c r="A92" s="38">
        <v>8</v>
      </c>
      <c r="B92" s="39" t="s">
        <v>199</v>
      </c>
      <c r="C92" s="40" t="s">
        <v>31</v>
      </c>
      <c r="D92" s="41"/>
      <c r="E92" s="42"/>
      <c r="F92" s="42"/>
      <c r="G92" s="42"/>
      <c r="H92" s="90"/>
      <c r="I92" s="41"/>
      <c r="J92" s="90"/>
      <c r="K92" s="43"/>
      <c r="L92" s="44"/>
      <c r="M92" s="44"/>
      <c r="N92" s="41"/>
      <c r="O92" s="41"/>
      <c r="P92" s="41"/>
      <c r="Q92" s="45" t="s">
        <v>200</v>
      </c>
      <c r="R92" s="46"/>
      <c r="S92" s="46"/>
      <c r="T92" s="46"/>
    </row>
    <row r="93" spans="1:20" s="47" customFormat="1" ht="15.75" customHeight="1">
      <c r="A93" s="48">
        <f>A92+0.001</f>
        <v>8.0009999999999994</v>
      </c>
      <c r="B93" s="49" t="s">
        <v>201</v>
      </c>
      <c r="C93" s="50">
        <v>1500</v>
      </c>
      <c r="D93" s="51" t="s">
        <v>29</v>
      </c>
      <c r="E93" s="60">
        <v>7050</v>
      </c>
      <c r="F93" s="61">
        <v>5410</v>
      </c>
      <c r="G93" s="61">
        <v>1640</v>
      </c>
      <c r="H93" s="68">
        <v>89.432028160190001</v>
      </c>
      <c r="I93" s="69">
        <v>88.719898732999994</v>
      </c>
      <c r="J93" s="55">
        <v>0.71212942719000005</v>
      </c>
      <c r="K93" s="68">
        <v>88.168295914189997</v>
      </c>
      <c r="L93" s="69">
        <v>87.489115272999996</v>
      </c>
      <c r="M93" s="55">
        <v>0.67918064118999999</v>
      </c>
      <c r="N93" s="66">
        <v>6.8697999999999997</v>
      </c>
      <c r="O93" s="67">
        <v>4.5214999999999996</v>
      </c>
      <c r="P93" s="67">
        <v>2.3483000000000001</v>
      </c>
      <c r="Q93" s="59" t="s">
        <v>202</v>
      </c>
      <c r="R93" s="46"/>
      <c r="S93" s="46"/>
      <c r="T93" s="46"/>
    </row>
    <row r="94" spans="1:20" s="47" customFormat="1" ht="15.75" customHeight="1">
      <c r="A94" s="48">
        <f>A93+0.001</f>
        <v>8.0019999999999989</v>
      </c>
      <c r="B94" s="49" t="s">
        <v>203</v>
      </c>
      <c r="C94" s="50">
        <v>1000</v>
      </c>
      <c r="D94" s="51" t="s">
        <v>29</v>
      </c>
      <c r="E94" s="60">
        <v>2540</v>
      </c>
      <c r="F94" s="61">
        <v>900.64</v>
      </c>
      <c r="G94" s="61">
        <v>1640</v>
      </c>
      <c r="H94" s="68">
        <v>55.256599703189998</v>
      </c>
      <c r="I94" s="69">
        <v>54.544470275999998</v>
      </c>
      <c r="J94" s="55">
        <v>0.71212942719000005</v>
      </c>
      <c r="K94" s="68">
        <v>55.087284127190003</v>
      </c>
      <c r="L94" s="69">
        <v>54.408103486000002</v>
      </c>
      <c r="M94" s="55">
        <v>0.67918064118999999</v>
      </c>
      <c r="N94" s="66">
        <v>2.9191600000000002</v>
      </c>
      <c r="O94" s="55">
        <v>0.57086000000000003</v>
      </c>
      <c r="P94" s="67">
        <v>2.3483000000000001</v>
      </c>
      <c r="Q94" s="59" t="s">
        <v>204</v>
      </c>
      <c r="R94" s="46"/>
      <c r="S94" s="46"/>
      <c r="T94" s="46"/>
    </row>
    <row r="95" spans="1:20" s="47" customFormat="1" ht="15.75" customHeight="1">
      <c r="A95" s="48">
        <f>A94+0.001</f>
        <v>8.0029999999999983</v>
      </c>
      <c r="B95" s="49" t="s">
        <v>205</v>
      </c>
      <c r="C95" s="50">
        <v>1500</v>
      </c>
      <c r="D95" s="51" t="s">
        <v>29</v>
      </c>
      <c r="E95" s="60">
        <v>8280</v>
      </c>
      <c r="F95" s="61">
        <v>6640</v>
      </c>
      <c r="G95" s="61">
        <v>1640</v>
      </c>
      <c r="H95" s="68">
        <v>88.134868748190001</v>
      </c>
      <c r="I95" s="69">
        <v>87.422739320999995</v>
      </c>
      <c r="J95" s="55">
        <v>0.71212942719000005</v>
      </c>
      <c r="K95" s="68">
        <v>87.284633322190004</v>
      </c>
      <c r="L95" s="69">
        <v>86.605452681000003</v>
      </c>
      <c r="M95" s="55">
        <v>0.67918064118999999</v>
      </c>
      <c r="N95" s="66">
        <v>4.3006000000000002</v>
      </c>
      <c r="O95" s="67">
        <v>1.9522999999999999</v>
      </c>
      <c r="P95" s="67">
        <v>2.3483000000000001</v>
      </c>
      <c r="Q95" s="59" t="s">
        <v>206</v>
      </c>
      <c r="R95" s="46"/>
      <c r="S95" s="46"/>
      <c r="T95" s="46"/>
    </row>
    <row r="96" spans="1:20" s="47" customFormat="1" ht="15.75" customHeight="1">
      <c r="A96" s="48">
        <f>A95+0.001</f>
        <v>8.0039999999999978</v>
      </c>
      <c r="B96" s="49" t="s">
        <v>207</v>
      </c>
      <c r="C96" s="50">
        <v>1600</v>
      </c>
      <c r="D96" s="51" t="s">
        <v>29</v>
      </c>
      <c r="E96" s="60">
        <v>3480</v>
      </c>
      <c r="F96" s="61">
        <v>1840</v>
      </c>
      <c r="G96" s="61">
        <v>1640</v>
      </c>
      <c r="H96" s="68">
        <v>30.088532767189999</v>
      </c>
      <c r="I96" s="69">
        <v>29.37640334</v>
      </c>
      <c r="J96" s="55">
        <v>0.71212942719000005</v>
      </c>
      <c r="K96" s="68">
        <v>28.755920041190002</v>
      </c>
      <c r="L96" s="69">
        <v>28.076739400000001</v>
      </c>
      <c r="M96" s="55">
        <v>0.67918064118999999</v>
      </c>
      <c r="N96" s="66">
        <v>3.8801000000000001</v>
      </c>
      <c r="O96" s="67">
        <v>1.5318000000000001</v>
      </c>
      <c r="P96" s="67">
        <v>2.3483000000000001</v>
      </c>
      <c r="Q96" s="59" t="s">
        <v>208</v>
      </c>
      <c r="R96" s="46"/>
      <c r="S96" s="46"/>
      <c r="T96" s="46"/>
    </row>
    <row r="97" spans="1:20" s="47" customFormat="1" ht="15.75" customHeight="1">
      <c r="A97" s="48">
        <f>A96+0.001</f>
        <v>8.0049999999999972</v>
      </c>
      <c r="B97" s="49" t="s">
        <v>209</v>
      </c>
      <c r="C97" s="50">
        <v>1000</v>
      </c>
      <c r="D97" s="51" t="s">
        <v>29</v>
      </c>
      <c r="E97" s="60">
        <v>4410</v>
      </c>
      <c r="F97" s="61">
        <v>2770</v>
      </c>
      <c r="G97" s="61">
        <v>1640</v>
      </c>
      <c r="H97" s="68">
        <v>63.386893797189998</v>
      </c>
      <c r="I97" s="69">
        <v>62.674764369999998</v>
      </c>
      <c r="J97" s="55">
        <v>0.71212942719000005</v>
      </c>
      <c r="K97" s="68">
        <v>55.988036661190002</v>
      </c>
      <c r="L97" s="69">
        <v>55.30885602</v>
      </c>
      <c r="M97" s="55">
        <v>0.67918064118999999</v>
      </c>
      <c r="N97" s="66">
        <v>5.0590000000000002</v>
      </c>
      <c r="O97" s="67">
        <v>2.7107000000000001</v>
      </c>
      <c r="P97" s="67">
        <v>2.3483000000000001</v>
      </c>
      <c r="Q97" s="59" t="s">
        <v>210</v>
      </c>
      <c r="R97" s="46"/>
      <c r="S97" s="46"/>
      <c r="T97" s="46"/>
    </row>
    <row r="98" spans="1:20" s="47" customFormat="1" ht="15.75" customHeight="1">
      <c r="A98" s="38">
        <v>9</v>
      </c>
      <c r="B98" s="39" t="s">
        <v>211</v>
      </c>
      <c r="C98" s="40" t="s">
        <v>31</v>
      </c>
      <c r="D98" s="62" t="s">
        <v>42</v>
      </c>
      <c r="E98" s="63"/>
      <c r="F98" s="63"/>
      <c r="G98" s="63"/>
      <c r="H98" s="64"/>
      <c r="I98" s="44"/>
      <c r="J98" s="65"/>
      <c r="K98" s="43"/>
      <c r="L98" s="44"/>
      <c r="M98" s="44"/>
      <c r="N98" s="43"/>
      <c r="O98" s="44"/>
      <c r="P98" s="44"/>
      <c r="Q98" s="45" t="s">
        <v>212</v>
      </c>
      <c r="R98" s="46"/>
      <c r="S98" s="46"/>
      <c r="T98" s="46"/>
    </row>
    <row r="99" spans="1:20" s="47" customFormat="1" ht="15.75" customHeight="1">
      <c r="A99" s="48">
        <f t="shared" ref="A99:A106" si="6">A98+0.001</f>
        <v>9.0009999999999994</v>
      </c>
      <c r="B99" s="49" t="s">
        <v>213</v>
      </c>
      <c r="C99" s="50">
        <v>1100</v>
      </c>
      <c r="D99" s="51" t="s">
        <v>29</v>
      </c>
      <c r="E99" s="60">
        <v>3380</v>
      </c>
      <c r="F99" s="61">
        <v>1770</v>
      </c>
      <c r="G99" s="61">
        <v>1610</v>
      </c>
      <c r="H99" s="68">
        <v>54.689690070489995</v>
      </c>
      <c r="I99" s="69">
        <v>54.087569156999997</v>
      </c>
      <c r="J99" s="55">
        <v>0.60212091349000008</v>
      </c>
      <c r="K99" s="68">
        <v>52.053293579490003</v>
      </c>
      <c r="L99" s="69">
        <v>51.471382927000001</v>
      </c>
      <c r="M99" s="55">
        <v>0.58191065249000007</v>
      </c>
      <c r="N99" s="66">
        <v>3.7656000000000001</v>
      </c>
      <c r="O99" s="67">
        <v>1.4238</v>
      </c>
      <c r="P99" s="67">
        <v>2.3418000000000001</v>
      </c>
      <c r="Q99" s="59" t="s">
        <v>214</v>
      </c>
      <c r="R99" s="46"/>
      <c r="S99" s="46"/>
      <c r="T99" s="46"/>
    </row>
    <row r="100" spans="1:20" s="47" customFormat="1" ht="15.75" customHeight="1">
      <c r="A100" s="48">
        <f t="shared" si="6"/>
        <v>9.0019999999999989</v>
      </c>
      <c r="B100" s="49" t="s">
        <v>215</v>
      </c>
      <c r="C100" s="50">
        <v>920</v>
      </c>
      <c r="D100" s="51" t="s">
        <v>29</v>
      </c>
      <c r="E100" s="60">
        <v>3890</v>
      </c>
      <c r="F100" s="61">
        <v>2060</v>
      </c>
      <c r="G100" s="61">
        <v>1830</v>
      </c>
      <c r="H100" s="68">
        <v>93.030544324440015</v>
      </c>
      <c r="I100" s="69">
        <v>92.638315870000014</v>
      </c>
      <c r="J100" s="55">
        <v>0.39222845444000004</v>
      </c>
      <c r="K100" s="68">
        <v>89.936847061840012</v>
      </c>
      <c r="L100" s="69">
        <v>89.555194590000013</v>
      </c>
      <c r="M100" s="55">
        <v>0.38165247184000001</v>
      </c>
      <c r="N100" s="66">
        <v>5.5183999999999997</v>
      </c>
      <c r="O100" s="67">
        <v>2.7004000000000001</v>
      </c>
      <c r="P100" s="67">
        <v>2.8180000000000001</v>
      </c>
      <c r="Q100" s="59" t="s">
        <v>216</v>
      </c>
      <c r="R100" s="46"/>
      <c r="S100" s="46"/>
      <c r="T100" s="46"/>
    </row>
    <row r="101" spans="1:20" s="47" customFormat="1" ht="15.75" customHeight="1">
      <c r="A101" s="48">
        <f t="shared" si="6"/>
        <v>9.0029999999999983</v>
      </c>
      <c r="B101" s="49" t="s">
        <v>217</v>
      </c>
      <c r="C101" s="50">
        <v>1100</v>
      </c>
      <c r="D101" s="51" t="s">
        <v>29</v>
      </c>
      <c r="E101" s="60">
        <v>2680</v>
      </c>
      <c r="F101" s="61">
        <v>1070</v>
      </c>
      <c r="G101" s="61">
        <v>1610</v>
      </c>
      <c r="H101" s="68">
        <v>45.599435071489999</v>
      </c>
      <c r="I101" s="69">
        <v>44.997314158000002</v>
      </c>
      <c r="J101" s="55">
        <v>0.60212091349000008</v>
      </c>
      <c r="K101" s="68">
        <v>44.880068730490002</v>
      </c>
      <c r="L101" s="69">
        <v>44.298158078</v>
      </c>
      <c r="M101" s="55">
        <v>0.58191065249000007</v>
      </c>
      <c r="N101" s="66">
        <v>3.1680100000000002</v>
      </c>
      <c r="O101" s="55">
        <v>0.82621</v>
      </c>
      <c r="P101" s="67">
        <v>2.3418000000000001</v>
      </c>
      <c r="Q101" s="59" t="s">
        <v>218</v>
      </c>
      <c r="R101" s="46"/>
      <c r="S101" s="46"/>
      <c r="T101" s="46"/>
    </row>
    <row r="102" spans="1:20" s="47" customFormat="1" ht="15.75" customHeight="1">
      <c r="A102" s="48">
        <f t="shared" si="6"/>
        <v>9.0039999999999978</v>
      </c>
      <c r="B102" s="49" t="s">
        <v>219</v>
      </c>
      <c r="C102" s="50">
        <v>1100</v>
      </c>
      <c r="D102" s="51" t="s">
        <v>29</v>
      </c>
      <c r="E102" s="60">
        <v>4420</v>
      </c>
      <c r="F102" s="61">
        <v>2420</v>
      </c>
      <c r="G102" s="61">
        <v>2000</v>
      </c>
      <c r="H102" s="68">
        <v>92.055760912750003</v>
      </c>
      <c r="I102" s="69">
        <v>91.273977084000009</v>
      </c>
      <c r="J102" s="55">
        <v>0.78178382874999985</v>
      </c>
      <c r="K102" s="68">
        <v>89.977251109750014</v>
      </c>
      <c r="L102" s="69">
        <v>89.23574038400001</v>
      </c>
      <c r="M102" s="55">
        <v>0.74151072574999988</v>
      </c>
      <c r="N102" s="66">
        <v>5.7946999999999997</v>
      </c>
      <c r="O102" s="67">
        <v>2.6558999999999999</v>
      </c>
      <c r="P102" s="67">
        <v>3.1387999999999998</v>
      </c>
      <c r="Q102" s="59" t="s">
        <v>220</v>
      </c>
      <c r="R102" s="46"/>
      <c r="S102" s="46"/>
      <c r="T102" s="46"/>
    </row>
    <row r="103" spans="1:20" s="47" customFormat="1" ht="15.75" customHeight="1">
      <c r="A103" s="48">
        <f t="shared" si="6"/>
        <v>9.0049999999999972</v>
      </c>
      <c r="B103" s="49" t="s">
        <v>221</v>
      </c>
      <c r="C103" s="50">
        <v>1000</v>
      </c>
      <c r="D103" s="51" t="s">
        <v>29</v>
      </c>
      <c r="E103" s="60">
        <v>3930</v>
      </c>
      <c r="F103" s="61">
        <v>2020</v>
      </c>
      <c r="G103" s="61">
        <v>1910</v>
      </c>
      <c r="H103" s="68">
        <v>83.583469047425879</v>
      </c>
      <c r="I103" s="69">
        <v>83.326008831745881</v>
      </c>
      <c r="J103" s="55">
        <v>0.25746021567999999</v>
      </c>
      <c r="K103" s="68">
        <v>81.305018891187999</v>
      </c>
      <c r="L103" s="69">
        <v>81.053201581308002</v>
      </c>
      <c r="M103" s="55">
        <v>0.25181730988000001</v>
      </c>
      <c r="N103" s="66">
        <v>5.4465313653515839</v>
      </c>
      <c r="O103" s="67">
        <v>2.4483313653515837</v>
      </c>
      <c r="P103" s="67">
        <v>2.9982000000000002</v>
      </c>
      <c r="Q103" s="59" t="s">
        <v>222</v>
      </c>
      <c r="R103" s="46"/>
      <c r="S103" s="46"/>
      <c r="T103" s="46"/>
    </row>
    <row r="104" spans="1:20" s="47" customFormat="1" ht="15.75" customHeight="1">
      <c r="A104" s="48">
        <f t="shared" si="6"/>
        <v>9.0059999999999967</v>
      </c>
      <c r="B104" s="49" t="s">
        <v>223</v>
      </c>
      <c r="C104" s="50">
        <v>650</v>
      </c>
      <c r="D104" s="51" t="s">
        <v>29</v>
      </c>
      <c r="E104" s="60">
        <v>3290</v>
      </c>
      <c r="F104" s="61">
        <v>2550</v>
      </c>
      <c r="G104" s="61">
        <v>735.57</v>
      </c>
      <c r="H104" s="68">
        <v>82.316932445399999</v>
      </c>
      <c r="I104" s="69">
        <v>82.024722483999994</v>
      </c>
      <c r="J104" s="55">
        <v>0.2922099614</v>
      </c>
      <c r="K104" s="68">
        <v>30.548630298000003</v>
      </c>
      <c r="L104" s="69">
        <v>30.263632984000001</v>
      </c>
      <c r="M104" s="55">
        <v>0.284997314</v>
      </c>
      <c r="N104" s="66">
        <v>1.7182309999999998</v>
      </c>
      <c r="O104" s="67">
        <v>1.6941999999999999</v>
      </c>
      <c r="P104" s="57">
        <v>2.4031E-2</v>
      </c>
      <c r="Q104" s="59" t="s">
        <v>224</v>
      </c>
      <c r="R104" s="46"/>
      <c r="S104" s="46"/>
      <c r="T104" s="46"/>
    </row>
    <row r="105" spans="1:20" s="47" customFormat="1" ht="15.75" customHeight="1">
      <c r="A105" s="48">
        <f t="shared" si="6"/>
        <v>9.0069999999999961</v>
      </c>
      <c r="B105" s="49" t="s">
        <v>225</v>
      </c>
      <c r="C105" s="50">
        <v>920</v>
      </c>
      <c r="D105" s="51" t="s">
        <v>29</v>
      </c>
      <c r="E105" s="60">
        <v>3970</v>
      </c>
      <c r="F105" s="61">
        <v>2060</v>
      </c>
      <c r="G105" s="61">
        <v>1910</v>
      </c>
      <c r="H105" s="68">
        <v>92.895776085680012</v>
      </c>
      <c r="I105" s="69">
        <v>92.638315870000014</v>
      </c>
      <c r="J105" s="55">
        <v>0.25746021567999999</v>
      </c>
      <c r="K105" s="68">
        <v>89.80701189988001</v>
      </c>
      <c r="L105" s="69">
        <v>89.555194590000013</v>
      </c>
      <c r="M105" s="55">
        <v>0.25181730988000001</v>
      </c>
      <c r="N105" s="66">
        <v>5.6986000000000008</v>
      </c>
      <c r="O105" s="67">
        <v>2.7004000000000001</v>
      </c>
      <c r="P105" s="67">
        <v>2.9982000000000002</v>
      </c>
      <c r="Q105" s="59" t="s">
        <v>226</v>
      </c>
      <c r="R105" s="46"/>
      <c r="S105" s="46"/>
      <c r="T105" s="46"/>
    </row>
    <row r="106" spans="1:20" s="47" customFormat="1" ht="15.75" customHeight="1">
      <c r="A106" s="48">
        <f t="shared" si="6"/>
        <v>9.0079999999999956</v>
      </c>
      <c r="B106" s="49" t="s">
        <v>227</v>
      </c>
      <c r="C106" s="50">
        <v>920</v>
      </c>
      <c r="D106" s="51" t="s">
        <v>29</v>
      </c>
      <c r="E106" s="60">
        <v>3990</v>
      </c>
      <c r="F106" s="61">
        <v>2080</v>
      </c>
      <c r="G106" s="61">
        <v>1910</v>
      </c>
      <c r="H106" s="68">
        <v>95.313950285679994</v>
      </c>
      <c r="I106" s="69">
        <v>95.056490069999995</v>
      </c>
      <c r="J106" s="55">
        <v>0.25746021567999999</v>
      </c>
      <c r="K106" s="68">
        <v>93.415535589879994</v>
      </c>
      <c r="L106" s="69">
        <v>93.163718279999998</v>
      </c>
      <c r="M106" s="55">
        <v>0.25181730988000001</v>
      </c>
      <c r="N106" s="66">
        <v>5.8823000000000008</v>
      </c>
      <c r="O106" s="67">
        <v>2.8841000000000001</v>
      </c>
      <c r="P106" s="67">
        <v>2.9982000000000002</v>
      </c>
      <c r="Q106" s="59" t="s">
        <v>228</v>
      </c>
      <c r="R106" s="46"/>
      <c r="S106" s="46"/>
      <c r="T106" s="46"/>
    </row>
    <row r="107" spans="1:20" s="47" customFormat="1" ht="15.75" customHeight="1">
      <c r="A107" s="38">
        <v>10</v>
      </c>
      <c r="B107" s="39" t="s">
        <v>229</v>
      </c>
      <c r="C107" s="40" t="s">
        <v>31</v>
      </c>
      <c r="D107" s="62" t="s">
        <v>42</v>
      </c>
      <c r="E107" s="63"/>
      <c r="F107" s="63"/>
      <c r="G107" s="63"/>
      <c r="H107" s="64"/>
      <c r="I107" s="44"/>
      <c r="J107" s="65"/>
      <c r="K107" s="43"/>
      <c r="L107" s="44"/>
      <c r="M107" s="44"/>
      <c r="N107" s="43"/>
      <c r="O107" s="44"/>
      <c r="P107" s="44"/>
      <c r="Q107" s="45" t="s">
        <v>230</v>
      </c>
      <c r="R107" s="46"/>
      <c r="S107" s="46"/>
      <c r="T107" s="46"/>
    </row>
    <row r="108" spans="1:20" s="47" customFormat="1" ht="15.75" customHeight="1">
      <c r="A108" s="48">
        <f t="shared" ref="A108:A117" si="7">A107+0.001</f>
        <v>10.000999999999999</v>
      </c>
      <c r="B108" s="49" t="s">
        <v>231</v>
      </c>
      <c r="C108" s="50" t="s">
        <v>232</v>
      </c>
      <c r="D108" s="51" t="s">
        <v>29</v>
      </c>
      <c r="E108" s="60">
        <v>2240</v>
      </c>
      <c r="F108" s="61">
        <v>2210</v>
      </c>
      <c r="G108" s="53">
        <v>26.850999999999999</v>
      </c>
      <c r="H108" s="68">
        <v>49.658186482810002</v>
      </c>
      <c r="I108" s="69">
        <v>49.410724900000005</v>
      </c>
      <c r="J108" s="55">
        <v>0.24746158281</v>
      </c>
      <c r="K108" s="68">
        <v>45.77960344001</v>
      </c>
      <c r="L108" s="69">
        <v>45.534170000000003</v>
      </c>
      <c r="M108" s="55">
        <v>0.24543344000999998</v>
      </c>
      <c r="N108" s="66">
        <v>1.5061530000000001</v>
      </c>
      <c r="O108" s="67">
        <v>1.4961</v>
      </c>
      <c r="P108" s="57">
        <v>1.0052999999999999E-2</v>
      </c>
      <c r="Q108" s="59" t="s">
        <v>233</v>
      </c>
      <c r="R108" s="46"/>
      <c r="S108" s="46"/>
      <c r="T108" s="46"/>
    </row>
    <row r="109" spans="1:20" s="47" customFormat="1" ht="15.75" customHeight="1">
      <c r="A109" s="48">
        <f t="shared" si="7"/>
        <v>10.001999999999999</v>
      </c>
      <c r="B109" s="49" t="s">
        <v>234</v>
      </c>
      <c r="C109" s="50">
        <v>120</v>
      </c>
      <c r="D109" s="51" t="s">
        <v>29</v>
      </c>
      <c r="E109" s="60">
        <v>2020</v>
      </c>
      <c r="F109" s="61">
        <v>1560</v>
      </c>
      <c r="G109" s="61">
        <v>456.02294455066914</v>
      </c>
      <c r="H109" s="68">
        <v>52.278676416508603</v>
      </c>
      <c r="I109" s="69">
        <v>52.114837883</v>
      </c>
      <c r="J109" s="55">
        <v>0.16383853350860417</v>
      </c>
      <c r="K109" s="68">
        <v>24.997160862913958</v>
      </c>
      <c r="L109" s="69">
        <v>24.836914783000001</v>
      </c>
      <c r="M109" s="55">
        <v>0.1602460799139579</v>
      </c>
      <c r="N109" s="66">
        <v>1.2722443594646271</v>
      </c>
      <c r="O109" s="67">
        <v>1.1586000000000001</v>
      </c>
      <c r="P109" s="55">
        <v>0.11364435946462713</v>
      </c>
      <c r="Q109" s="59" t="s">
        <v>235</v>
      </c>
      <c r="R109" s="46"/>
      <c r="S109" s="46"/>
      <c r="T109" s="46"/>
    </row>
    <row r="110" spans="1:20" s="47" customFormat="1" ht="15.75" customHeight="1">
      <c r="A110" s="48">
        <f t="shared" si="7"/>
        <v>10.002999999999998</v>
      </c>
      <c r="B110" s="49" t="s">
        <v>236</v>
      </c>
      <c r="C110" s="50">
        <v>40</v>
      </c>
      <c r="D110" s="51" t="s">
        <v>29</v>
      </c>
      <c r="E110" s="60">
        <v>11600</v>
      </c>
      <c r="F110" s="61">
        <v>10000</v>
      </c>
      <c r="G110" s="61">
        <v>1640</v>
      </c>
      <c r="H110" s="85">
        <v>125.17022772719</v>
      </c>
      <c r="I110" s="86">
        <v>124.45809829999999</v>
      </c>
      <c r="J110" s="55">
        <v>0.71212942719000005</v>
      </c>
      <c r="K110" s="85">
        <v>123.41060044119</v>
      </c>
      <c r="L110" s="86">
        <v>122.7314198</v>
      </c>
      <c r="M110" s="55">
        <v>0.67918064118999999</v>
      </c>
      <c r="N110" s="66">
        <v>6.5069999999999997</v>
      </c>
      <c r="O110" s="67">
        <v>4.1586999999999996</v>
      </c>
      <c r="P110" s="67">
        <v>2.3483000000000001</v>
      </c>
      <c r="Q110" s="59" t="s">
        <v>237</v>
      </c>
      <c r="R110" s="46"/>
      <c r="S110" s="46"/>
      <c r="T110" s="46"/>
    </row>
    <row r="111" spans="1:20" s="47" customFormat="1" ht="15.75" customHeight="1">
      <c r="A111" s="48">
        <f t="shared" si="7"/>
        <v>10.003999999999998</v>
      </c>
      <c r="B111" s="49" t="s">
        <v>238</v>
      </c>
      <c r="C111" s="50" t="s">
        <v>239</v>
      </c>
      <c r="D111" s="51" t="s">
        <v>29</v>
      </c>
      <c r="E111" s="60">
        <v>5220</v>
      </c>
      <c r="F111" s="61">
        <v>3220</v>
      </c>
      <c r="G111" s="61">
        <v>2000</v>
      </c>
      <c r="H111" s="85">
        <v>106.35015175581999</v>
      </c>
      <c r="I111" s="86">
        <v>106.0815509997</v>
      </c>
      <c r="J111" s="55">
        <v>0.26860075612000001</v>
      </c>
      <c r="K111" s="85">
        <v>105.33596195392001</v>
      </c>
      <c r="L111" s="86">
        <v>105.0732056297</v>
      </c>
      <c r="M111" s="55">
        <v>0.26275632422</v>
      </c>
      <c r="N111" s="66">
        <v>7.3631000000000002</v>
      </c>
      <c r="O111" s="67">
        <v>4.2121000000000004</v>
      </c>
      <c r="P111" s="67">
        <v>3.1509999999999998</v>
      </c>
      <c r="Q111" s="59" t="s">
        <v>240</v>
      </c>
      <c r="R111" s="46"/>
      <c r="S111" s="46"/>
      <c r="T111" s="46"/>
    </row>
    <row r="112" spans="1:20" s="47" customFormat="1" ht="15.75" customHeight="1">
      <c r="A112" s="48">
        <f t="shared" si="7"/>
        <v>10.004999999999997</v>
      </c>
      <c r="B112" s="49" t="s">
        <v>241</v>
      </c>
      <c r="C112" s="50" t="s">
        <v>242</v>
      </c>
      <c r="D112" s="51" t="s">
        <v>29</v>
      </c>
      <c r="E112" s="60">
        <v>8490</v>
      </c>
      <c r="F112" s="61">
        <v>6490</v>
      </c>
      <c r="G112" s="61">
        <v>2000</v>
      </c>
      <c r="H112" s="85">
        <v>100.89968035611999</v>
      </c>
      <c r="I112" s="86">
        <v>100.63107959999999</v>
      </c>
      <c r="J112" s="55">
        <v>0.26860075612000001</v>
      </c>
      <c r="K112" s="85">
        <v>99.547514524220006</v>
      </c>
      <c r="L112" s="69">
        <v>99.284758199999999</v>
      </c>
      <c r="M112" s="55">
        <v>0.26275632422</v>
      </c>
      <c r="N112" s="68">
        <v>14.269</v>
      </c>
      <c r="O112" s="69">
        <v>11.118</v>
      </c>
      <c r="P112" s="67">
        <v>3.1509999999999998</v>
      </c>
      <c r="Q112" s="59" t="s">
        <v>243</v>
      </c>
      <c r="R112" s="46"/>
      <c r="S112" s="46"/>
      <c r="T112" s="46"/>
    </row>
    <row r="113" spans="1:33" s="47" customFormat="1" ht="15.75" customHeight="1">
      <c r="A113" s="48">
        <f t="shared" si="7"/>
        <v>10.005999999999997</v>
      </c>
      <c r="B113" s="49" t="s">
        <v>244</v>
      </c>
      <c r="C113" s="100">
        <v>30</v>
      </c>
      <c r="D113" s="51" t="s">
        <v>29</v>
      </c>
      <c r="E113" s="60">
        <v>6100</v>
      </c>
      <c r="F113" s="61">
        <v>4300</v>
      </c>
      <c r="G113" s="61">
        <v>1800</v>
      </c>
      <c r="H113" s="85">
        <v>103.94696811210001</v>
      </c>
      <c r="I113" s="86">
        <v>102.58643281900001</v>
      </c>
      <c r="J113" s="67">
        <v>1.3605352930999999</v>
      </c>
      <c r="K113" s="85">
        <v>101.3390856731</v>
      </c>
      <c r="L113" s="86">
        <v>100.024004409</v>
      </c>
      <c r="M113" s="67">
        <v>1.3150812641</v>
      </c>
      <c r="N113" s="66">
        <v>6.7877999999999998</v>
      </c>
      <c r="O113" s="67">
        <v>4.3151999999999999</v>
      </c>
      <c r="P113" s="67">
        <v>2.4725999999999999</v>
      </c>
      <c r="Q113" s="59" t="s">
        <v>245</v>
      </c>
      <c r="R113" s="46"/>
      <c r="S113" s="46"/>
      <c r="T113" s="46"/>
    </row>
    <row r="114" spans="1:33" s="47" customFormat="1" ht="15.75" customHeight="1">
      <c r="A114" s="48">
        <f>A113+0.001</f>
        <v>10.006999999999996</v>
      </c>
      <c r="B114" s="49" t="s">
        <v>246</v>
      </c>
      <c r="C114" s="50" t="s">
        <v>247</v>
      </c>
      <c r="D114" s="51" t="s">
        <v>29</v>
      </c>
      <c r="E114" s="60">
        <v>902.56100000000004</v>
      </c>
      <c r="F114" s="61">
        <v>887.71</v>
      </c>
      <c r="G114" s="53">
        <v>14.851000000000001</v>
      </c>
      <c r="H114" s="68">
        <v>26.464846566810003</v>
      </c>
      <c r="I114" s="69">
        <v>26.217384984000002</v>
      </c>
      <c r="J114" s="55">
        <v>0.24746158281</v>
      </c>
      <c r="K114" s="68">
        <v>19.676484514010003</v>
      </c>
      <c r="L114" s="69">
        <v>19.431051074000003</v>
      </c>
      <c r="M114" s="55">
        <v>0.24543344000999998</v>
      </c>
      <c r="N114" s="66">
        <v>1.168053</v>
      </c>
      <c r="O114" s="67">
        <v>1.1579999999999999</v>
      </c>
      <c r="P114" s="57">
        <v>1.0052999999999999E-2</v>
      </c>
      <c r="Q114" s="59" t="s">
        <v>248</v>
      </c>
      <c r="R114" s="46"/>
      <c r="S114" s="46"/>
      <c r="T114" s="46"/>
    </row>
    <row r="115" spans="1:33" s="94" customFormat="1" ht="15.75" customHeight="1">
      <c r="A115" s="48">
        <f t="shared" si="7"/>
        <v>10.007999999999996</v>
      </c>
      <c r="B115" s="101" t="s">
        <v>249</v>
      </c>
      <c r="C115" s="50" t="s">
        <v>250</v>
      </c>
      <c r="D115" s="50" t="s">
        <v>29</v>
      </c>
      <c r="E115" s="72">
        <v>1080</v>
      </c>
      <c r="F115" s="74">
        <v>1050</v>
      </c>
      <c r="G115" s="74">
        <v>26.6</v>
      </c>
      <c r="H115" s="77">
        <v>16.899999999999999</v>
      </c>
      <c r="I115" s="71">
        <v>16.7</v>
      </c>
      <c r="J115" s="71">
        <v>0.245</v>
      </c>
      <c r="K115" s="77">
        <v>15.2</v>
      </c>
      <c r="L115" s="102">
        <v>15</v>
      </c>
      <c r="M115" s="71">
        <v>0.24299999999999999</v>
      </c>
      <c r="N115" s="77">
        <v>1.04</v>
      </c>
      <c r="O115" s="71">
        <v>1.03</v>
      </c>
      <c r="P115" s="71">
        <v>9.9500000000000005E-3</v>
      </c>
      <c r="Q115" s="103" t="s">
        <v>251</v>
      </c>
      <c r="R115" s="93"/>
      <c r="S115" s="93"/>
      <c r="T115" s="93"/>
    </row>
    <row r="116" spans="1:33" s="94" customFormat="1" ht="15.75" customHeight="1">
      <c r="A116" s="104">
        <f t="shared" si="7"/>
        <v>10.008999999999995</v>
      </c>
      <c r="B116" s="101" t="s">
        <v>252</v>
      </c>
      <c r="C116" s="50" t="s">
        <v>253</v>
      </c>
      <c r="D116" s="50" t="s">
        <v>29</v>
      </c>
      <c r="E116" s="105">
        <f>F116+G116</f>
        <v>883.6507712462344</v>
      </c>
      <c r="F116" s="100">
        <v>470.97398805337718</v>
      </c>
      <c r="G116" s="100">
        <v>412.67678319285727</v>
      </c>
      <c r="H116" s="106">
        <f>I116+J116</f>
        <v>23.403794533525538</v>
      </c>
      <c r="I116" s="102">
        <v>23.274180491988041</v>
      </c>
      <c r="J116" s="76">
        <v>0.12961404153749864</v>
      </c>
      <c r="K116" s="106">
        <f>L116+M116</f>
        <v>10.964840620290673</v>
      </c>
      <c r="L116" s="102">
        <v>10.837185387528274</v>
      </c>
      <c r="M116" s="76">
        <v>0.12765523276239937</v>
      </c>
      <c r="N116" s="107">
        <f>O116+P116</f>
        <v>0.43156239343349867</v>
      </c>
      <c r="O116" s="76">
        <v>0.39312439000478439</v>
      </c>
      <c r="P116" s="108">
        <v>3.8438003428714292E-2</v>
      </c>
      <c r="Q116" s="103" t="s">
        <v>254</v>
      </c>
      <c r="R116" s="93"/>
      <c r="S116" s="93"/>
      <c r="T116" s="93"/>
    </row>
    <row r="117" spans="1:33" s="47" customFormat="1" ht="15.75" customHeight="1">
      <c r="A117" s="48">
        <f t="shared" si="7"/>
        <v>10.009999999999994</v>
      </c>
      <c r="B117" s="49" t="s">
        <v>255</v>
      </c>
      <c r="C117" s="50" t="s">
        <v>256</v>
      </c>
      <c r="D117" s="51" t="s">
        <v>29</v>
      </c>
      <c r="E117" s="60">
        <v>1270</v>
      </c>
      <c r="F117" s="61">
        <v>535.70000000000005</v>
      </c>
      <c r="G117" s="61">
        <v>735.57</v>
      </c>
      <c r="H117" s="68">
        <v>9.9864511313999991</v>
      </c>
      <c r="I117" s="67">
        <v>9.6942411699999997</v>
      </c>
      <c r="J117" s="55">
        <v>0.2922099614</v>
      </c>
      <c r="K117" s="66">
        <v>7.4290547240000002</v>
      </c>
      <c r="L117" s="67">
        <v>7.1440574100000003</v>
      </c>
      <c r="M117" s="55">
        <v>0.284997314</v>
      </c>
      <c r="N117" s="54">
        <v>0.39188100000000003</v>
      </c>
      <c r="O117" s="55">
        <v>0.36785000000000001</v>
      </c>
      <c r="P117" s="57">
        <v>2.4031E-2</v>
      </c>
      <c r="Q117" s="59" t="s">
        <v>257</v>
      </c>
      <c r="R117" s="46"/>
      <c r="S117" s="46"/>
      <c r="T117" s="46"/>
    </row>
    <row r="118" spans="1:33" s="47" customFormat="1" ht="15.75" customHeight="1">
      <c r="A118" s="38">
        <v>11</v>
      </c>
      <c r="B118" s="39" t="s">
        <v>258</v>
      </c>
      <c r="C118" s="40" t="s">
        <v>259</v>
      </c>
      <c r="D118" s="62" t="s">
        <v>42</v>
      </c>
      <c r="E118" s="63"/>
      <c r="F118" s="63"/>
      <c r="G118" s="63"/>
      <c r="H118" s="64"/>
      <c r="I118" s="44"/>
      <c r="J118" s="65"/>
      <c r="K118" s="43"/>
      <c r="L118" s="44"/>
      <c r="M118" s="44"/>
      <c r="N118" s="43"/>
      <c r="O118" s="44"/>
      <c r="P118" s="44"/>
      <c r="Q118" s="45" t="s">
        <v>260</v>
      </c>
      <c r="R118" s="46"/>
      <c r="S118" s="46"/>
      <c r="T118" s="46"/>
    </row>
    <row r="119" spans="1:33" s="47" customFormat="1" ht="15.75" customHeight="1">
      <c r="A119" s="48">
        <f t="shared" ref="A119:A145" si="8">A118+0.001</f>
        <v>11.000999999999999</v>
      </c>
      <c r="B119" s="101" t="s">
        <v>261</v>
      </c>
      <c r="C119" s="50">
        <v>4.55</v>
      </c>
      <c r="D119" s="50" t="s">
        <v>262</v>
      </c>
      <c r="E119" s="72">
        <v>21700</v>
      </c>
      <c r="F119" s="74">
        <v>17100</v>
      </c>
      <c r="G119" s="74">
        <v>4660</v>
      </c>
      <c r="H119" s="77">
        <v>232</v>
      </c>
      <c r="I119" s="71">
        <v>228</v>
      </c>
      <c r="J119" s="71">
        <v>3.84</v>
      </c>
      <c r="K119" s="77">
        <v>225</v>
      </c>
      <c r="L119" s="71">
        <v>224</v>
      </c>
      <c r="M119" s="71">
        <v>0.374</v>
      </c>
      <c r="N119" s="77">
        <v>15.4</v>
      </c>
      <c r="O119" s="71">
        <v>10.6</v>
      </c>
      <c r="P119" s="71">
        <v>4.7300000000000004</v>
      </c>
      <c r="Q119" s="109" t="s">
        <v>263</v>
      </c>
      <c r="R119" s="20"/>
      <c r="S119" s="20"/>
      <c r="T119" s="20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</row>
    <row r="120" spans="1:33" s="47" customFormat="1" ht="15.75" customHeight="1">
      <c r="A120" s="48">
        <f t="shared" si="8"/>
        <v>11.001999999999999</v>
      </c>
      <c r="B120" s="101" t="s">
        <v>264</v>
      </c>
      <c r="C120" s="110">
        <v>3.6</v>
      </c>
      <c r="D120" s="50" t="s">
        <v>262</v>
      </c>
      <c r="E120" s="72">
        <v>19200</v>
      </c>
      <c r="F120" s="74">
        <v>14500</v>
      </c>
      <c r="G120" s="74">
        <v>4650</v>
      </c>
      <c r="H120" s="77">
        <v>225</v>
      </c>
      <c r="I120" s="71">
        <v>222</v>
      </c>
      <c r="J120" s="71">
        <v>3.64</v>
      </c>
      <c r="K120" s="77">
        <v>219</v>
      </c>
      <c r="L120" s="71">
        <v>215</v>
      </c>
      <c r="M120" s="71">
        <v>3.53</v>
      </c>
      <c r="N120" s="106">
        <v>15</v>
      </c>
      <c r="O120" s="71">
        <v>9.48</v>
      </c>
      <c r="P120" s="71">
        <v>5.54</v>
      </c>
      <c r="Q120" s="109" t="s">
        <v>265</v>
      </c>
      <c r="R120" s="20"/>
      <c r="S120" s="20"/>
      <c r="T120" s="20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</row>
    <row r="121" spans="1:33" s="82" customFormat="1" ht="15.75" customHeight="1">
      <c r="A121" s="48">
        <f>A120+0.001</f>
        <v>11.002999999999998</v>
      </c>
      <c r="B121" s="101" t="s">
        <v>266</v>
      </c>
      <c r="C121" s="50">
        <v>8.25</v>
      </c>
      <c r="D121" s="50" t="s">
        <v>262</v>
      </c>
      <c r="E121" s="72">
        <v>25500</v>
      </c>
      <c r="F121" s="74">
        <v>15000</v>
      </c>
      <c r="G121" s="74">
        <v>10500</v>
      </c>
      <c r="H121" s="77">
        <v>409</v>
      </c>
      <c r="I121" s="71">
        <v>402</v>
      </c>
      <c r="J121" s="71">
        <v>6.89</v>
      </c>
      <c r="K121" s="77">
        <v>401</v>
      </c>
      <c r="L121" s="71">
        <v>395</v>
      </c>
      <c r="M121" s="71">
        <v>6.68</v>
      </c>
      <c r="N121" s="77">
        <v>26.5</v>
      </c>
      <c r="O121" s="71">
        <v>14.4</v>
      </c>
      <c r="P121" s="71">
        <v>12.1</v>
      </c>
      <c r="Q121" s="103" t="s">
        <v>267</v>
      </c>
      <c r="R121" s="20"/>
      <c r="S121" s="20"/>
      <c r="T121" s="20"/>
    </row>
    <row r="122" spans="1:33" s="82" customFormat="1" ht="15.75" customHeight="1">
      <c r="A122" s="48">
        <f t="shared" si="8"/>
        <v>11.003999999999998</v>
      </c>
      <c r="B122" s="49" t="s">
        <v>268</v>
      </c>
      <c r="C122" s="50">
        <v>63.3</v>
      </c>
      <c r="D122" s="50" t="s">
        <v>262</v>
      </c>
      <c r="E122" s="72">
        <v>58300</v>
      </c>
      <c r="F122" s="74">
        <v>12300</v>
      </c>
      <c r="G122" s="74">
        <v>45900</v>
      </c>
      <c r="H122" s="77">
        <v>466</v>
      </c>
      <c r="I122" s="71">
        <v>446</v>
      </c>
      <c r="J122" s="71">
        <v>20.5</v>
      </c>
      <c r="K122" s="77">
        <v>457</v>
      </c>
      <c r="L122" s="71">
        <v>437</v>
      </c>
      <c r="M122" s="71">
        <v>20.2</v>
      </c>
      <c r="N122" s="77">
        <v>14.4</v>
      </c>
      <c r="O122" s="71">
        <v>13.3</v>
      </c>
      <c r="P122" s="71">
        <v>1.1200000000000001</v>
      </c>
      <c r="Q122" s="59" t="s">
        <v>269</v>
      </c>
      <c r="R122" s="46"/>
      <c r="S122" s="46"/>
      <c r="T122" s="46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</row>
    <row r="123" spans="1:33" s="82" customFormat="1" ht="15.75" customHeight="1">
      <c r="A123" s="48">
        <f t="shared" si="8"/>
        <v>11.004999999999997</v>
      </c>
      <c r="B123" s="101" t="s">
        <v>270</v>
      </c>
      <c r="C123" s="50">
        <v>57.8</v>
      </c>
      <c r="D123" s="50" t="s">
        <v>262</v>
      </c>
      <c r="E123" s="72">
        <v>15900</v>
      </c>
      <c r="F123" s="74">
        <v>15800</v>
      </c>
      <c r="G123" s="74">
        <v>184</v>
      </c>
      <c r="H123" s="77">
        <v>185</v>
      </c>
      <c r="I123" s="71">
        <v>183</v>
      </c>
      <c r="J123" s="71">
        <v>1.78</v>
      </c>
      <c r="K123" s="77">
        <v>180</v>
      </c>
      <c r="L123" s="71">
        <v>178</v>
      </c>
      <c r="M123" s="71">
        <v>1.76</v>
      </c>
      <c r="N123" s="106">
        <v>17</v>
      </c>
      <c r="O123" s="71">
        <v>16.899999999999999</v>
      </c>
      <c r="P123" s="71">
        <v>0.08</v>
      </c>
      <c r="Q123" s="103" t="s">
        <v>271</v>
      </c>
      <c r="R123" s="20"/>
      <c r="S123" s="20"/>
      <c r="T123" s="20"/>
    </row>
    <row r="124" spans="1:33" s="82" customFormat="1" ht="15.75" customHeight="1">
      <c r="A124" s="48">
        <f t="shared" si="8"/>
        <v>11.005999999999997</v>
      </c>
      <c r="B124" s="101" t="s">
        <v>272</v>
      </c>
      <c r="C124" s="50">
        <v>73.5</v>
      </c>
      <c r="D124" s="50" t="s">
        <v>262</v>
      </c>
      <c r="E124" s="72">
        <v>16400</v>
      </c>
      <c r="F124" s="74">
        <v>16200</v>
      </c>
      <c r="G124" s="74">
        <v>234</v>
      </c>
      <c r="H124" s="77">
        <v>169</v>
      </c>
      <c r="I124" s="71">
        <v>167</v>
      </c>
      <c r="J124" s="71">
        <v>2.2599999999999998</v>
      </c>
      <c r="K124" s="77">
        <v>165</v>
      </c>
      <c r="L124" s="71">
        <v>162</v>
      </c>
      <c r="M124" s="71">
        <v>2.25</v>
      </c>
      <c r="N124" s="77">
        <v>17.100000000000001</v>
      </c>
      <c r="O124" s="102">
        <v>17</v>
      </c>
      <c r="P124" s="76">
        <v>0.1</v>
      </c>
      <c r="Q124" s="103" t="s">
        <v>273</v>
      </c>
      <c r="R124" s="20"/>
      <c r="S124" s="20"/>
      <c r="T124" s="20"/>
    </row>
    <row r="125" spans="1:33" s="82" customFormat="1" ht="15.75" customHeight="1">
      <c r="A125" s="48">
        <f t="shared" si="8"/>
        <v>11.006999999999996</v>
      </c>
      <c r="B125" s="101" t="s">
        <v>274</v>
      </c>
      <c r="C125" s="50">
        <v>3.36</v>
      </c>
      <c r="D125" s="50" t="s">
        <v>262</v>
      </c>
      <c r="E125" s="72">
        <v>15300</v>
      </c>
      <c r="F125" s="74">
        <v>9840</v>
      </c>
      <c r="G125" s="74">
        <v>5410</v>
      </c>
      <c r="H125" s="77">
        <v>211</v>
      </c>
      <c r="I125" s="71">
        <v>209</v>
      </c>
      <c r="J125" s="71">
        <v>2.11</v>
      </c>
      <c r="K125" s="77">
        <v>177</v>
      </c>
      <c r="L125" s="71">
        <v>175</v>
      </c>
      <c r="M125" s="71">
        <v>2.0299999999999998</v>
      </c>
      <c r="N125" s="106">
        <v>13</v>
      </c>
      <c r="O125" s="110">
        <v>8.4</v>
      </c>
      <c r="P125" s="71">
        <v>4.58</v>
      </c>
      <c r="Q125" s="103" t="s">
        <v>275</v>
      </c>
      <c r="R125" s="20"/>
      <c r="S125" s="20"/>
      <c r="T125" s="20"/>
    </row>
    <row r="126" spans="1:33" s="82" customFormat="1" ht="15.75" customHeight="1">
      <c r="A126" s="48">
        <f t="shared" si="8"/>
        <v>11.007999999999996</v>
      </c>
      <c r="B126" s="49" t="s">
        <v>276</v>
      </c>
      <c r="C126" s="102">
        <v>18</v>
      </c>
      <c r="D126" s="50" t="s">
        <v>262</v>
      </c>
      <c r="E126" s="111">
        <v>43600</v>
      </c>
      <c r="F126" s="112">
        <v>43200</v>
      </c>
      <c r="G126" s="112">
        <v>436</v>
      </c>
      <c r="H126" s="105">
        <v>270</v>
      </c>
      <c r="I126" s="100">
        <v>267</v>
      </c>
      <c r="J126" s="110">
        <v>3.39</v>
      </c>
      <c r="K126" s="105">
        <v>257</v>
      </c>
      <c r="L126" s="100">
        <v>254</v>
      </c>
      <c r="M126" s="110">
        <v>3.3</v>
      </c>
      <c r="N126" s="106">
        <v>14.2</v>
      </c>
      <c r="O126" s="102">
        <v>14.1</v>
      </c>
      <c r="P126" s="110">
        <v>0.16300000000000001</v>
      </c>
      <c r="Q126" s="59" t="s">
        <v>277</v>
      </c>
      <c r="R126" s="46"/>
      <c r="S126" s="46"/>
      <c r="T126" s="46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</row>
    <row r="127" spans="1:33" s="82" customFormat="1" ht="15.75" customHeight="1">
      <c r="A127" s="48">
        <f t="shared" si="8"/>
        <v>11.008999999999995</v>
      </c>
      <c r="B127" s="101" t="s">
        <v>278</v>
      </c>
      <c r="C127" s="110">
        <v>7.8</v>
      </c>
      <c r="D127" s="50" t="s">
        <v>262</v>
      </c>
      <c r="E127" s="72">
        <v>15400</v>
      </c>
      <c r="F127" s="74">
        <v>7720</v>
      </c>
      <c r="G127" s="74">
        <v>7640</v>
      </c>
      <c r="H127" s="77">
        <v>338</v>
      </c>
      <c r="I127" s="71">
        <v>336</v>
      </c>
      <c r="J127" s="71">
        <v>2.06</v>
      </c>
      <c r="K127" s="77">
        <v>165</v>
      </c>
      <c r="L127" s="71">
        <v>163</v>
      </c>
      <c r="M127" s="71">
        <v>2.0099999999999998</v>
      </c>
      <c r="N127" s="77">
        <v>8.85</v>
      </c>
      <c r="O127" s="71">
        <v>7.25</v>
      </c>
      <c r="P127" s="110">
        <v>1.6</v>
      </c>
      <c r="Q127" s="103" t="s">
        <v>279</v>
      </c>
      <c r="R127" s="20"/>
      <c r="S127" s="20"/>
      <c r="T127" s="20"/>
    </row>
    <row r="128" spans="1:33" s="82" customFormat="1" ht="15.75" customHeight="1">
      <c r="A128" s="48">
        <f t="shared" si="8"/>
        <v>11.009999999999994</v>
      </c>
      <c r="B128" s="101" t="s">
        <v>280</v>
      </c>
      <c r="C128" s="110">
        <v>2.7</v>
      </c>
      <c r="D128" s="50" t="s">
        <v>262</v>
      </c>
      <c r="E128" s="72">
        <v>8080</v>
      </c>
      <c r="F128" s="74">
        <v>4430</v>
      </c>
      <c r="G128" s="74">
        <v>3650</v>
      </c>
      <c r="H128" s="77">
        <v>152</v>
      </c>
      <c r="I128" s="71">
        <v>150</v>
      </c>
      <c r="J128" s="71">
        <v>1.32</v>
      </c>
      <c r="K128" s="77">
        <v>123</v>
      </c>
      <c r="L128" s="71">
        <v>122</v>
      </c>
      <c r="M128" s="71">
        <v>1.28</v>
      </c>
      <c r="N128" s="75">
        <v>7.5</v>
      </c>
      <c r="O128" s="71">
        <v>4.7300000000000004</v>
      </c>
      <c r="P128" s="71">
        <v>2.77</v>
      </c>
      <c r="Q128" s="103" t="s">
        <v>281</v>
      </c>
      <c r="R128" s="20"/>
      <c r="S128" s="20"/>
      <c r="T128" s="20"/>
    </row>
    <row r="129" spans="1:33" s="82" customFormat="1" ht="15.75" customHeight="1">
      <c r="A129" s="48">
        <f t="shared" si="8"/>
        <v>11.010999999999994</v>
      </c>
      <c r="B129" s="101" t="s">
        <v>282</v>
      </c>
      <c r="C129" s="110">
        <v>2.7</v>
      </c>
      <c r="D129" s="50" t="s">
        <v>262</v>
      </c>
      <c r="E129" s="72">
        <v>4690</v>
      </c>
      <c r="F129" s="74">
        <v>2480</v>
      </c>
      <c r="G129" s="74">
        <v>2210</v>
      </c>
      <c r="H129" s="77">
        <v>82.6</v>
      </c>
      <c r="I129" s="71">
        <v>82</v>
      </c>
      <c r="J129" s="76">
        <v>0.62</v>
      </c>
      <c r="K129" s="77">
        <v>40.4</v>
      </c>
      <c r="L129" s="71">
        <v>39.799999999999997</v>
      </c>
      <c r="M129" s="71">
        <v>0.61</v>
      </c>
      <c r="N129" s="77">
        <v>2.54</v>
      </c>
      <c r="O129" s="71">
        <v>1.98</v>
      </c>
      <c r="P129" s="71">
        <v>0.56000000000000005</v>
      </c>
      <c r="Q129" s="103" t="s">
        <v>283</v>
      </c>
      <c r="R129" s="20"/>
      <c r="S129" s="20"/>
      <c r="T129" s="20"/>
    </row>
    <row r="130" spans="1:33" s="82" customFormat="1" ht="15.75" customHeight="1">
      <c r="A130" s="48">
        <f t="shared" si="8"/>
        <v>11.011999999999993</v>
      </c>
      <c r="B130" s="49" t="s">
        <v>284</v>
      </c>
      <c r="C130" s="50">
        <v>21.5</v>
      </c>
      <c r="D130" s="50" t="s">
        <v>262</v>
      </c>
      <c r="E130" s="72">
        <v>4110</v>
      </c>
      <c r="F130" s="74">
        <v>3580</v>
      </c>
      <c r="G130" s="74">
        <v>521</v>
      </c>
      <c r="H130" s="77">
        <v>33.299999999999997</v>
      </c>
      <c r="I130" s="71">
        <v>29.3</v>
      </c>
      <c r="J130" s="71">
        <v>4.0599999999999996</v>
      </c>
      <c r="K130" s="77">
        <v>31</v>
      </c>
      <c r="L130" s="71">
        <v>27.1</v>
      </c>
      <c r="M130" s="71">
        <v>3.94</v>
      </c>
      <c r="N130" s="77">
        <v>5.07</v>
      </c>
      <c r="O130" s="71">
        <v>4.87</v>
      </c>
      <c r="P130" s="71">
        <v>0.19500000000000001</v>
      </c>
      <c r="Q130" s="59" t="s">
        <v>285</v>
      </c>
      <c r="R130" s="46"/>
      <c r="S130" s="46"/>
      <c r="T130" s="46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</row>
    <row r="131" spans="1:33" s="82" customFormat="1" ht="15.75" customHeight="1">
      <c r="A131" s="48">
        <f t="shared" si="8"/>
        <v>11.012999999999993</v>
      </c>
      <c r="B131" s="101" t="s">
        <v>286</v>
      </c>
      <c r="C131" s="110">
        <v>8.5</v>
      </c>
      <c r="D131" s="50" t="s">
        <v>262</v>
      </c>
      <c r="E131" s="72">
        <v>11000</v>
      </c>
      <c r="F131" s="74">
        <v>7210</v>
      </c>
      <c r="G131" s="74">
        <v>3780</v>
      </c>
      <c r="H131" s="77">
        <v>332</v>
      </c>
      <c r="I131" s="71">
        <v>331</v>
      </c>
      <c r="J131" s="71">
        <v>0.88</v>
      </c>
      <c r="K131" s="77">
        <v>150</v>
      </c>
      <c r="L131" s="71">
        <v>149</v>
      </c>
      <c r="M131" s="76">
        <v>0.87</v>
      </c>
      <c r="N131" s="77">
        <v>7.08</v>
      </c>
      <c r="O131" s="71">
        <v>7.02</v>
      </c>
      <c r="P131" s="108">
        <v>0.06</v>
      </c>
      <c r="Q131" s="103" t="s">
        <v>287</v>
      </c>
      <c r="R131" s="20"/>
      <c r="S131" s="20"/>
      <c r="T131" s="20"/>
    </row>
    <row r="132" spans="1:33" s="82" customFormat="1" ht="15.75" customHeight="1">
      <c r="A132" s="48">
        <f t="shared" si="8"/>
        <v>11.013999999999992</v>
      </c>
      <c r="B132" s="101" t="s">
        <v>288</v>
      </c>
      <c r="C132" s="110">
        <v>2.9</v>
      </c>
      <c r="D132" s="50" t="s">
        <v>262</v>
      </c>
      <c r="E132" s="72">
        <v>11800</v>
      </c>
      <c r="F132" s="74">
        <v>8920</v>
      </c>
      <c r="G132" s="74">
        <v>2870</v>
      </c>
      <c r="H132" s="77">
        <v>173</v>
      </c>
      <c r="I132" s="71">
        <v>172</v>
      </c>
      <c r="J132" s="71">
        <v>0.82199999999999995</v>
      </c>
      <c r="K132" s="77">
        <v>109</v>
      </c>
      <c r="L132" s="71">
        <v>109</v>
      </c>
      <c r="M132" s="76">
        <v>0.8</v>
      </c>
      <c r="N132" s="77">
        <v>6.68</v>
      </c>
      <c r="O132" s="71">
        <v>6.22</v>
      </c>
      <c r="P132" s="71">
        <v>0.45600000000000002</v>
      </c>
      <c r="Q132" s="103" t="s">
        <v>289</v>
      </c>
      <c r="R132" s="20"/>
      <c r="S132" s="20"/>
      <c r="T132" s="20"/>
    </row>
    <row r="133" spans="1:33" s="82" customFormat="1" ht="15.75" customHeight="1">
      <c r="A133" s="48">
        <f t="shared" si="8"/>
        <v>11.014999999999992</v>
      </c>
      <c r="B133" s="49" t="s">
        <v>290</v>
      </c>
      <c r="C133" s="50">
        <v>40.5</v>
      </c>
      <c r="D133" s="50" t="s">
        <v>262</v>
      </c>
      <c r="E133" s="72">
        <v>25700</v>
      </c>
      <c r="F133" s="74">
        <v>24700</v>
      </c>
      <c r="G133" s="74">
        <v>982</v>
      </c>
      <c r="H133" s="77">
        <v>474</v>
      </c>
      <c r="I133" s="71">
        <v>466</v>
      </c>
      <c r="J133" s="71">
        <v>7.64</v>
      </c>
      <c r="K133" s="77">
        <v>426</v>
      </c>
      <c r="L133" s="71">
        <v>419</v>
      </c>
      <c r="M133" s="71">
        <v>7.42</v>
      </c>
      <c r="N133" s="77">
        <v>13.1</v>
      </c>
      <c r="O133" s="71">
        <v>12.7</v>
      </c>
      <c r="P133" s="71">
        <v>0.36699999999999999</v>
      </c>
      <c r="Q133" s="59" t="s">
        <v>291</v>
      </c>
      <c r="R133" s="46"/>
      <c r="S133" s="46"/>
      <c r="T133" s="46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</row>
    <row r="134" spans="1:33" s="82" customFormat="1" ht="15.75" customHeight="1">
      <c r="A134" s="48">
        <f t="shared" si="8"/>
        <v>11.015999999999991</v>
      </c>
      <c r="B134" s="49" t="s">
        <v>292</v>
      </c>
      <c r="C134" s="50">
        <v>40.5</v>
      </c>
      <c r="D134" s="50" t="s">
        <v>262</v>
      </c>
      <c r="E134" s="72">
        <v>18100</v>
      </c>
      <c r="F134" s="74">
        <v>17100</v>
      </c>
      <c r="G134" s="74">
        <v>982</v>
      </c>
      <c r="H134" s="77">
        <v>332</v>
      </c>
      <c r="I134" s="71">
        <v>324</v>
      </c>
      <c r="J134" s="71">
        <v>7.64</v>
      </c>
      <c r="K134" s="77">
        <v>300</v>
      </c>
      <c r="L134" s="71">
        <v>293</v>
      </c>
      <c r="M134" s="71">
        <v>7.42</v>
      </c>
      <c r="N134" s="75">
        <v>9.6999999999999993</v>
      </c>
      <c r="O134" s="71">
        <v>9.33</v>
      </c>
      <c r="P134" s="71">
        <v>0.36699999999999999</v>
      </c>
      <c r="Q134" s="59" t="s">
        <v>293</v>
      </c>
      <c r="R134" s="46"/>
      <c r="S134" s="46"/>
      <c r="T134" s="46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</row>
    <row r="135" spans="1:33" s="82" customFormat="1" ht="15.75" customHeight="1">
      <c r="A135" s="48">
        <f t="shared" si="8"/>
        <v>11.016999999999991</v>
      </c>
      <c r="B135" s="49" t="s">
        <v>294</v>
      </c>
      <c r="C135" s="50">
        <v>40.5</v>
      </c>
      <c r="D135" s="50" t="s">
        <v>262</v>
      </c>
      <c r="E135" s="72">
        <v>50400</v>
      </c>
      <c r="F135" s="74">
        <v>49400</v>
      </c>
      <c r="G135" s="74">
        <v>982</v>
      </c>
      <c r="H135" s="77">
        <v>593</v>
      </c>
      <c r="I135" s="71">
        <v>586</v>
      </c>
      <c r="J135" s="71">
        <v>7.64</v>
      </c>
      <c r="K135" s="77">
        <v>533</v>
      </c>
      <c r="L135" s="71">
        <v>525</v>
      </c>
      <c r="M135" s="71">
        <v>7.42</v>
      </c>
      <c r="N135" s="77">
        <v>15.8</v>
      </c>
      <c r="O135" s="71">
        <v>15.4</v>
      </c>
      <c r="P135" s="71">
        <v>0.36699999999999999</v>
      </c>
      <c r="Q135" s="59" t="s">
        <v>295</v>
      </c>
      <c r="R135" s="46"/>
      <c r="S135" s="46"/>
      <c r="T135" s="46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</row>
    <row r="136" spans="1:33" s="82" customFormat="1" ht="15.75" customHeight="1">
      <c r="A136" s="48">
        <f t="shared" si="8"/>
        <v>11.01799999999999</v>
      </c>
      <c r="B136" s="101" t="s">
        <v>296</v>
      </c>
      <c r="C136" s="110">
        <v>6.1</v>
      </c>
      <c r="D136" s="50" t="s">
        <v>262</v>
      </c>
      <c r="E136" s="72">
        <v>14100</v>
      </c>
      <c r="F136" s="74">
        <v>11600</v>
      </c>
      <c r="G136" s="74">
        <v>2420</v>
      </c>
      <c r="H136" s="77">
        <v>452</v>
      </c>
      <c r="I136" s="71">
        <v>452</v>
      </c>
      <c r="J136" s="76">
        <v>0.56000000000000005</v>
      </c>
      <c r="K136" s="77">
        <v>168</v>
      </c>
      <c r="L136" s="71">
        <v>168</v>
      </c>
      <c r="M136" s="76">
        <v>0.56000000000000005</v>
      </c>
      <c r="N136" s="77">
        <v>8.0299999999999994</v>
      </c>
      <c r="O136" s="71">
        <v>7.99</v>
      </c>
      <c r="P136" s="108">
        <v>0.04</v>
      </c>
      <c r="Q136" s="103" t="s">
        <v>297</v>
      </c>
      <c r="R136" s="20"/>
      <c r="S136" s="20"/>
      <c r="T136" s="20"/>
    </row>
    <row r="137" spans="1:33" s="82" customFormat="1" ht="15.75" customHeight="1">
      <c r="A137" s="48">
        <f t="shared" si="8"/>
        <v>11.018999999999989</v>
      </c>
      <c r="B137" s="101" t="s">
        <v>298</v>
      </c>
      <c r="C137" s="110">
        <v>7.9</v>
      </c>
      <c r="D137" s="50" t="s">
        <v>262</v>
      </c>
      <c r="E137" s="72">
        <v>18900</v>
      </c>
      <c r="F137" s="74">
        <v>15600</v>
      </c>
      <c r="G137" s="74">
        <v>3300</v>
      </c>
      <c r="H137" s="77">
        <v>683</v>
      </c>
      <c r="I137" s="71">
        <v>682</v>
      </c>
      <c r="J137" s="76">
        <v>0.77</v>
      </c>
      <c r="K137" s="77">
        <v>189</v>
      </c>
      <c r="L137" s="71">
        <v>188</v>
      </c>
      <c r="M137" s="76">
        <v>0.76</v>
      </c>
      <c r="N137" s="77">
        <v>9.61</v>
      </c>
      <c r="O137" s="71">
        <v>9.56</v>
      </c>
      <c r="P137" s="108">
        <v>0.05</v>
      </c>
      <c r="Q137" s="103" t="s">
        <v>299</v>
      </c>
      <c r="R137" s="20"/>
      <c r="S137" s="20"/>
      <c r="T137" s="20"/>
    </row>
    <row r="138" spans="1:33" s="82" customFormat="1" ht="15.75" customHeight="1">
      <c r="A138" s="48">
        <f t="shared" si="8"/>
        <v>11.019999999999989</v>
      </c>
      <c r="B138" s="101" t="s">
        <v>300</v>
      </c>
      <c r="C138" s="110">
        <v>5.6</v>
      </c>
      <c r="D138" s="50" t="s">
        <v>262</v>
      </c>
      <c r="E138" s="72">
        <v>10000</v>
      </c>
      <c r="F138" s="74">
        <v>7990</v>
      </c>
      <c r="G138" s="74">
        <v>2050</v>
      </c>
      <c r="H138" s="77">
        <v>362</v>
      </c>
      <c r="I138" s="71">
        <v>361</v>
      </c>
      <c r="J138" s="76">
        <v>0.48</v>
      </c>
      <c r="K138" s="77">
        <v>96.8</v>
      </c>
      <c r="L138" s="71">
        <v>96.3</v>
      </c>
      <c r="M138" s="76">
        <v>0.47</v>
      </c>
      <c r="N138" s="77">
        <v>4.58</v>
      </c>
      <c r="O138" s="71">
        <v>4.55</v>
      </c>
      <c r="P138" s="108">
        <v>0.03</v>
      </c>
      <c r="Q138" s="103" t="s">
        <v>301</v>
      </c>
      <c r="R138" s="20"/>
      <c r="S138" s="20"/>
      <c r="T138" s="20"/>
    </row>
    <row r="139" spans="1:33" s="82" customFormat="1" ht="15.75" customHeight="1">
      <c r="A139" s="48">
        <f>A138+0.001</f>
        <v>11.020999999999988</v>
      </c>
      <c r="B139" s="101" t="s">
        <v>302</v>
      </c>
      <c r="C139" s="110">
        <v>3.1</v>
      </c>
      <c r="D139" s="50" t="s">
        <v>262</v>
      </c>
      <c r="E139" s="72">
        <v>13600</v>
      </c>
      <c r="F139" s="74">
        <v>7790</v>
      </c>
      <c r="G139" s="74">
        <v>5850</v>
      </c>
      <c r="H139" s="77">
        <v>236</v>
      </c>
      <c r="I139" s="71">
        <v>210</v>
      </c>
      <c r="J139" s="71">
        <v>25.6</v>
      </c>
      <c r="K139" s="77">
        <v>229</v>
      </c>
      <c r="L139" s="71">
        <v>205</v>
      </c>
      <c r="M139" s="102">
        <v>24</v>
      </c>
      <c r="N139" s="77">
        <v>13.9</v>
      </c>
      <c r="O139" s="71">
        <v>8.31</v>
      </c>
      <c r="P139" s="71">
        <v>5.62</v>
      </c>
      <c r="Q139" s="113" t="s">
        <v>303</v>
      </c>
      <c r="R139" s="20"/>
      <c r="S139" s="20"/>
      <c r="T139" s="20"/>
    </row>
    <row r="140" spans="1:33" s="47" customFormat="1" ht="15.75" customHeight="1">
      <c r="A140" s="48">
        <f>A139+0.001</f>
        <v>11.021999999999988</v>
      </c>
      <c r="B140" s="101" t="s">
        <v>304</v>
      </c>
      <c r="C140" s="110">
        <v>22</v>
      </c>
      <c r="D140" s="50" t="s">
        <v>262</v>
      </c>
      <c r="E140" s="72">
        <v>4560</v>
      </c>
      <c r="F140" s="74">
        <v>4290</v>
      </c>
      <c r="G140" s="74">
        <v>269</v>
      </c>
      <c r="H140" s="77">
        <v>97.1</v>
      </c>
      <c r="I140" s="71">
        <v>92.5</v>
      </c>
      <c r="J140" s="110">
        <v>4.5999999999999996</v>
      </c>
      <c r="K140" s="77">
        <v>94.6</v>
      </c>
      <c r="L140" s="71">
        <v>90</v>
      </c>
      <c r="M140" s="71">
        <v>4.5599999999999996</v>
      </c>
      <c r="N140" s="77">
        <v>12.7</v>
      </c>
      <c r="O140" s="71">
        <v>12.6</v>
      </c>
      <c r="P140" s="76">
        <v>0.17</v>
      </c>
      <c r="Q140" s="103" t="s">
        <v>305</v>
      </c>
      <c r="R140" s="20"/>
      <c r="S140" s="20"/>
      <c r="T140" s="20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</row>
    <row r="141" spans="1:33" s="82" customFormat="1" ht="15.75" customHeight="1">
      <c r="A141" s="48">
        <f>A140+0.001</f>
        <v>11.022999999999987</v>
      </c>
      <c r="B141" s="101" t="s">
        <v>306</v>
      </c>
      <c r="C141" s="110">
        <v>3.4</v>
      </c>
      <c r="D141" s="50" t="s">
        <v>262</v>
      </c>
      <c r="E141" s="72">
        <v>11300</v>
      </c>
      <c r="F141" s="74">
        <v>5390</v>
      </c>
      <c r="G141" s="74">
        <v>5920</v>
      </c>
      <c r="H141" s="77">
        <v>170</v>
      </c>
      <c r="I141" s="71">
        <v>167</v>
      </c>
      <c r="J141" s="110">
        <v>2.5</v>
      </c>
      <c r="K141" s="77">
        <v>159</v>
      </c>
      <c r="L141" s="71">
        <v>157</v>
      </c>
      <c r="M141" s="71">
        <v>2.41</v>
      </c>
      <c r="N141" s="77">
        <v>11.1</v>
      </c>
      <c r="O141" s="71">
        <v>5.83</v>
      </c>
      <c r="P141" s="71">
        <v>5.28</v>
      </c>
      <c r="Q141" s="103" t="s">
        <v>307</v>
      </c>
      <c r="R141" s="20"/>
      <c r="S141" s="20"/>
      <c r="T141" s="20"/>
    </row>
    <row r="142" spans="1:33" s="47" customFormat="1" ht="15.75" customHeight="1">
      <c r="A142" s="48">
        <f>A141+0.001</f>
        <v>11.023999999999987</v>
      </c>
      <c r="B142" s="101" t="s">
        <v>308</v>
      </c>
      <c r="C142" s="110">
        <v>2.1</v>
      </c>
      <c r="D142" s="50" t="s">
        <v>262</v>
      </c>
      <c r="E142" s="72">
        <v>10800</v>
      </c>
      <c r="F142" s="74">
        <v>7530</v>
      </c>
      <c r="G142" s="74">
        <v>3300</v>
      </c>
      <c r="H142" s="77">
        <v>182</v>
      </c>
      <c r="I142" s="71">
        <v>181</v>
      </c>
      <c r="J142" s="71">
        <v>1.59</v>
      </c>
      <c r="K142" s="77">
        <v>181</v>
      </c>
      <c r="L142" s="71">
        <v>179</v>
      </c>
      <c r="M142" s="71">
        <v>1.53</v>
      </c>
      <c r="N142" s="77">
        <v>14.8</v>
      </c>
      <c r="O142" s="71">
        <v>10.4</v>
      </c>
      <c r="P142" s="71">
        <v>4.3499999999999996</v>
      </c>
      <c r="Q142" s="103" t="s">
        <v>309</v>
      </c>
      <c r="R142" s="20"/>
      <c r="S142" s="20"/>
      <c r="T142" s="20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</row>
    <row r="143" spans="1:33" s="47" customFormat="1" ht="15.75" customHeight="1">
      <c r="A143" s="48">
        <f t="shared" si="8"/>
        <v>11.024999999999986</v>
      </c>
      <c r="B143" s="101" t="s">
        <v>310</v>
      </c>
      <c r="C143" s="110">
        <v>1.3</v>
      </c>
      <c r="D143" s="50" t="s">
        <v>262</v>
      </c>
      <c r="E143" s="72">
        <v>7060</v>
      </c>
      <c r="F143" s="74">
        <v>4520</v>
      </c>
      <c r="G143" s="74">
        <v>2540</v>
      </c>
      <c r="H143" s="77">
        <v>127</v>
      </c>
      <c r="I143" s="71">
        <v>126</v>
      </c>
      <c r="J143" s="110">
        <v>1.1000000000000001</v>
      </c>
      <c r="K143" s="77">
        <v>125</v>
      </c>
      <c r="L143" s="71">
        <v>124</v>
      </c>
      <c r="M143" s="71">
        <v>1.05</v>
      </c>
      <c r="N143" s="77">
        <v>9.59</v>
      </c>
      <c r="O143" s="71">
        <v>5.96</v>
      </c>
      <c r="P143" s="71">
        <v>3.63</v>
      </c>
      <c r="Q143" s="103" t="s">
        <v>311</v>
      </c>
      <c r="R143" s="20"/>
      <c r="S143" s="20"/>
      <c r="T143" s="20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</row>
    <row r="144" spans="1:33" s="47" customFormat="1" ht="15.75" customHeight="1">
      <c r="A144" s="48">
        <f t="shared" si="8"/>
        <v>11.025999999999986</v>
      </c>
      <c r="B144" s="101" t="s">
        <v>312</v>
      </c>
      <c r="C144" s="110">
        <v>2.7</v>
      </c>
      <c r="D144" s="50" t="s">
        <v>262</v>
      </c>
      <c r="E144" s="72">
        <v>9350</v>
      </c>
      <c r="F144" s="74">
        <v>6420</v>
      </c>
      <c r="G144" s="74">
        <v>2930</v>
      </c>
      <c r="H144" s="77">
        <v>95.9</v>
      </c>
      <c r="I144" s="102">
        <v>95</v>
      </c>
      <c r="J144" s="76">
        <v>0.85</v>
      </c>
      <c r="K144" s="77">
        <v>57.4</v>
      </c>
      <c r="L144" s="71">
        <v>56.6</v>
      </c>
      <c r="M144" s="76">
        <v>0.83</v>
      </c>
      <c r="N144" s="77">
        <v>4.43</v>
      </c>
      <c r="O144" s="110">
        <v>3.3</v>
      </c>
      <c r="P144" s="71">
        <v>1.1299999999999999</v>
      </c>
      <c r="Q144" s="103" t="s">
        <v>313</v>
      </c>
      <c r="R144" s="20"/>
      <c r="S144" s="20"/>
      <c r="T144" s="20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</row>
    <row r="145" spans="1:33" s="47" customFormat="1" ht="15.75" customHeight="1">
      <c r="A145" s="48">
        <f t="shared" si="8"/>
        <v>11.026999999999985</v>
      </c>
      <c r="B145" s="101" t="s">
        <v>314</v>
      </c>
      <c r="C145" s="110">
        <v>95</v>
      </c>
      <c r="D145" s="50" t="s">
        <v>262</v>
      </c>
      <c r="E145" s="72">
        <v>15400</v>
      </c>
      <c r="F145" s="74">
        <v>15100</v>
      </c>
      <c r="G145" s="74">
        <v>304</v>
      </c>
      <c r="H145" s="77">
        <v>177</v>
      </c>
      <c r="I145" s="71">
        <v>174</v>
      </c>
      <c r="J145" s="71">
        <v>2.94</v>
      </c>
      <c r="K145" s="77">
        <v>168</v>
      </c>
      <c r="L145" s="71">
        <v>165</v>
      </c>
      <c r="M145" s="71">
        <v>2.92</v>
      </c>
      <c r="N145" s="77">
        <v>18.399999999999999</v>
      </c>
      <c r="O145" s="71">
        <v>18.2</v>
      </c>
      <c r="P145" s="76">
        <v>0.13</v>
      </c>
      <c r="Q145" s="103" t="s">
        <v>315</v>
      </c>
      <c r="R145" s="20"/>
      <c r="S145" s="20"/>
      <c r="T145" s="20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</row>
    <row r="146" spans="1:33" s="47" customFormat="1" ht="15.75" customHeight="1">
      <c r="A146" s="38">
        <v>12</v>
      </c>
      <c r="B146" s="39" t="s">
        <v>316</v>
      </c>
      <c r="C146" s="40" t="s">
        <v>27</v>
      </c>
      <c r="D146" s="62" t="s">
        <v>42</v>
      </c>
      <c r="E146" s="63"/>
      <c r="F146" s="63"/>
      <c r="G146" s="63"/>
      <c r="H146" s="64"/>
      <c r="I146" s="44"/>
      <c r="J146" s="65"/>
      <c r="K146" s="43"/>
      <c r="L146" s="44"/>
      <c r="M146" s="44"/>
      <c r="N146" s="43"/>
      <c r="O146" s="44"/>
      <c r="P146" s="84"/>
      <c r="Q146" s="45" t="s">
        <v>317</v>
      </c>
      <c r="R146" s="46"/>
      <c r="S146" s="46"/>
      <c r="T146" s="46"/>
    </row>
    <row r="147" spans="1:33" s="47" customFormat="1" ht="15.75" customHeight="1">
      <c r="A147" s="48">
        <f>A146+0.001</f>
        <v>12.000999999999999</v>
      </c>
      <c r="B147" s="49" t="s">
        <v>318</v>
      </c>
      <c r="C147" s="50" t="s">
        <v>27</v>
      </c>
      <c r="D147" s="51" t="s">
        <v>115</v>
      </c>
      <c r="E147" s="60">
        <v>168200</v>
      </c>
      <c r="F147" s="61">
        <v>146000</v>
      </c>
      <c r="G147" s="61">
        <v>22200</v>
      </c>
      <c r="H147" s="85">
        <v>1920</v>
      </c>
      <c r="I147" s="86">
        <v>1890</v>
      </c>
      <c r="J147" s="69">
        <v>32.458477653999999</v>
      </c>
      <c r="K147" s="85">
        <v>1320</v>
      </c>
      <c r="L147" s="86">
        <v>1290</v>
      </c>
      <c r="M147" s="69">
        <v>32.064165293999999</v>
      </c>
      <c r="N147" s="68">
        <v>90.881</v>
      </c>
      <c r="O147" s="69">
        <v>87.680999999999997</v>
      </c>
      <c r="P147" s="67">
        <v>3.2</v>
      </c>
      <c r="Q147" s="59" t="s">
        <v>319</v>
      </c>
      <c r="R147" s="46"/>
      <c r="S147" s="46"/>
      <c r="T147" s="46"/>
    </row>
    <row r="148" spans="1:33" s="47" customFormat="1" ht="15.75" customHeight="1">
      <c r="A148" s="48">
        <f>A147+0.001</f>
        <v>12.001999999999999</v>
      </c>
      <c r="B148" s="49" t="s">
        <v>320</v>
      </c>
      <c r="C148" s="50" t="s">
        <v>27</v>
      </c>
      <c r="D148" s="51" t="s">
        <v>115</v>
      </c>
      <c r="E148" s="60">
        <v>164300</v>
      </c>
      <c r="F148" s="61">
        <v>147000</v>
      </c>
      <c r="G148" s="61">
        <v>17300</v>
      </c>
      <c r="H148" s="85">
        <v>1780</v>
      </c>
      <c r="I148" s="86">
        <v>1750</v>
      </c>
      <c r="J148" s="69">
        <v>31.662883765999997</v>
      </c>
      <c r="K148" s="85">
        <v>1370</v>
      </c>
      <c r="L148" s="86">
        <v>1340</v>
      </c>
      <c r="M148" s="69">
        <v>31.274062855999997</v>
      </c>
      <c r="N148" s="68">
        <v>95.044499999999999</v>
      </c>
      <c r="O148" s="69">
        <v>90.284999999999997</v>
      </c>
      <c r="P148" s="67">
        <v>4.7595000000000001</v>
      </c>
      <c r="Q148" s="59" t="s">
        <v>321</v>
      </c>
      <c r="R148" s="46"/>
      <c r="S148" s="46"/>
      <c r="T148" s="46"/>
    </row>
    <row r="149" spans="1:33" s="47" customFormat="1" ht="15.75" customHeight="1">
      <c r="A149" s="48">
        <f>A148+0.001</f>
        <v>12.002999999999998</v>
      </c>
      <c r="B149" s="49" t="s">
        <v>322</v>
      </c>
      <c r="C149" s="50" t="s">
        <v>27</v>
      </c>
      <c r="D149" s="51" t="s">
        <v>115</v>
      </c>
      <c r="E149" s="60">
        <v>72200</v>
      </c>
      <c r="F149" s="61">
        <v>49600</v>
      </c>
      <c r="G149" s="61">
        <v>22600</v>
      </c>
      <c r="H149" s="85">
        <v>1810</v>
      </c>
      <c r="I149" s="86">
        <v>1800</v>
      </c>
      <c r="J149" s="69">
        <v>14.662925182999999</v>
      </c>
      <c r="K149" s="85">
        <v>734.28392317299995</v>
      </c>
      <c r="L149" s="86">
        <v>720</v>
      </c>
      <c r="M149" s="69">
        <v>14.283923173</v>
      </c>
      <c r="N149" s="68">
        <v>44.155500000000004</v>
      </c>
      <c r="O149" s="69">
        <v>36.875</v>
      </c>
      <c r="P149" s="67">
        <v>7.2805</v>
      </c>
      <c r="Q149" s="59" t="s">
        <v>323</v>
      </c>
      <c r="R149" s="46"/>
      <c r="S149" s="46"/>
      <c r="T149" s="46"/>
    </row>
    <row r="150" spans="1:33" s="47" customFormat="1" ht="15.75" customHeight="1">
      <c r="A150" s="48">
        <f>A149+0.001</f>
        <v>12.003999999999998</v>
      </c>
      <c r="B150" s="49" t="s">
        <v>324</v>
      </c>
      <c r="C150" s="50" t="s">
        <v>27</v>
      </c>
      <c r="D150" s="51" t="s">
        <v>115</v>
      </c>
      <c r="E150" s="60">
        <v>82700</v>
      </c>
      <c r="F150" s="61">
        <v>60300</v>
      </c>
      <c r="G150" s="61">
        <v>22400</v>
      </c>
      <c r="H150" s="85">
        <v>1840</v>
      </c>
      <c r="I150" s="86">
        <v>1760</v>
      </c>
      <c r="J150" s="69">
        <v>75.490312750000001</v>
      </c>
      <c r="K150" s="85">
        <v>946.80557275000001</v>
      </c>
      <c r="L150" s="86">
        <v>872.34238579999999</v>
      </c>
      <c r="M150" s="69">
        <v>74.463186950000008</v>
      </c>
      <c r="N150" s="68">
        <v>59.195999999999998</v>
      </c>
      <c r="O150" s="69">
        <v>48.738</v>
      </c>
      <c r="P150" s="69">
        <v>10.458</v>
      </c>
      <c r="Q150" s="59" t="s">
        <v>325</v>
      </c>
      <c r="R150" s="46"/>
      <c r="S150" s="46"/>
      <c r="T150" s="46"/>
    </row>
    <row r="151" spans="1:33" s="47" customFormat="1" ht="15.75" customHeight="1">
      <c r="A151" s="38">
        <v>13</v>
      </c>
      <c r="B151" s="39" t="s">
        <v>326</v>
      </c>
      <c r="C151" s="40" t="s">
        <v>31</v>
      </c>
      <c r="D151" s="62" t="s">
        <v>42</v>
      </c>
      <c r="E151" s="63"/>
      <c r="F151" s="63"/>
      <c r="G151" s="63"/>
      <c r="H151" s="114"/>
      <c r="I151" s="44"/>
      <c r="J151" s="65"/>
      <c r="K151" s="43"/>
      <c r="L151" s="44"/>
      <c r="M151" s="44"/>
      <c r="N151" s="43"/>
      <c r="O151" s="44"/>
      <c r="P151" s="44"/>
      <c r="Q151" s="45" t="s">
        <v>327</v>
      </c>
      <c r="R151" s="46"/>
      <c r="S151" s="46"/>
      <c r="T151" s="46"/>
    </row>
    <row r="152" spans="1:33" s="47" customFormat="1" ht="15.75" customHeight="1">
      <c r="A152" s="48">
        <f>A151+0.001</f>
        <v>13.000999999999999</v>
      </c>
      <c r="B152" s="49" t="s">
        <v>328</v>
      </c>
      <c r="C152" s="50">
        <v>1050</v>
      </c>
      <c r="D152" s="51" t="s">
        <v>29</v>
      </c>
      <c r="E152" s="60">
        <v>5060</v>
      </c>
      <c r="F152" s="61">
        <v>3420</v>
      </c>
      <c r="G152" s="61">
        <v>1640</v>
      </c>
      <c r="H152" s="85">
        <v>108.07988569239001</v>
      </c>
      <c r="I152" s="86">
        <v>107.3677562652</v>
      </c>
      <c r="J152" s="55">
        <v>0.71212942719000005</v>
      </c>
      <c r="K152" s="85">
        <v>106.65768740639</v>
      </c>
      <c r="L152" s="86">
        <v>105.9785067652</v>
      </c>
      <c r="M152" s="55">
        <v>0.67918064118999999</v>
      </c>
      <c r="N152" s="66">
        <v>7.1291899999999995</v>
      </c>
      <c r="O152" s="67">
        <v>4.7808899999999994</v>
      </c>
      <c r="P152" s="67">
        <v>2.3483000000000001</v>
      </c>
      <c r="Q152" s="59" t="s">
        <v>329</v>
      </c>
      <c r="R152" s="46"/>
      <c r="S152" s="46"/>
      <c r="T152" s="46"/>
    </row>
    <row r="153" spans="1:33" s="47" customFormat="1" ht="15.75" customHeight="1">
      <c r="A153" s="48">
        <f>A152+0.001</f>
        <v>13.001999999999999</v>
      </c>
      <c r="B153" s="49" t="s">
        <v>330</v>
      </c>
      <c r="C153" s="50">
        <v>960</v>
      </c>
      <c r="D153" s="51" t="s">
        <v>29</v>
      </c>
      <c r="E153" s="60">
        <v>3630</v>
      </c>
      <c r="F153" s="61">
        <v>1720</v>
      </c>
      <c r="G153" s="61">
        <v>1910</v>
      </c>
      <c r="H153" s="68">
        <v>85.600286496817006</v>
      </c>
      <c r="I153" s="69">
        <v>85.342826281137008</v>
      </c>
      <c r="J153" s="55">
        <v>0.25746021567999999</v>
      </c>
      <c r="K153" s="68">
        <v>83.758720708517004</v>
      </c>
      <c r="L153" s="69">
        <v>83.506903398637007</v>
      </c>
      <c r="M153" s="55">
        <v>0.25181730988000001</v>
      </c>
      <c r="N153" s="66">
        <v>5.3242899999999995</v>
      </c>
      <c r="O153" s="67">
        <v>2.3260899999999998</v>
      </c>
      <c r="P153" s="67">
        <v>2.9982000000000002</v>
      </c>
      <c r="Q153" s="59" t="s">
        <v>331</v>
      </c>
      <c r="R153" s="46"/>
      <c r="S153" s="46"/>
      <c r="T153" s="46"/>
    </row>
    <row r="154" spans="1:33" s="47" customFormat="1" ht="15.75" customHeight="1">
      <c r="A154" s="48">
        <f>A153+0.001</f>
        <v>13.002999999999998</v>
      </c>
      <c r="B154" s="49" t="s">
        <v>332</v>
      </c>
      <c r="C154" s="50">
        <v>910</v>
      </c>
      <c r="D154" s="51" t="s">
        <v>29</v>
      </c>
      <c r="E154" s="60">
        <v>3650</v>
      </c>
      <c r="F154" s="61">
        <v>1740</v>
      </c>
      <c r="G154" s="61">
        <v>1910</v>
      </c>
      <c r="H154" s="68">
        <v>83.419806048363981</v>
      </c>
      <c r="I154" s="69">
        <v>83.162345832683982</v>
      </c>
      <c r="J154" s="55">
        <v>0.25746021567999999</v>
      </c>
      <c r="K154" s="68">
        <v>81.996020685263986</v>
      </c>
      <c r="L154" s="69">
        <v>81.744203375383989</v>
      </c>
      <c r="M154" s="55">
        <v>0.25181730988000001</v>
      </c>
      <c r="N154" s="66">
        <v>5.3582900000000002</v>
      </c>
      <c r="O154" s="67">
        <v>2.36009</v>
      </c>
      <c r="P154" s="67">
        <v>2.9982000000000002</v>
      </c>
      <c r="Q154" s="59" t="s">
        <v>333</v>
      </c>
      <c r="R154" s="16"/>
      <c r="S154" s="16"/>
      <c r="T154" s="16"/>
    </row>
    <row r="155" spans="1:33" s="47" customFormat="1" ht="15.75" customHeight="1">
      <c r="A155" s="48">
        <f>A154+0.001</f>
        <v>13.003999999999998</v>
      </c>
      <c r="B155" s="49" t="s">
        <v>334</v>
      </c>
      <c r="C155" s="50">
        <v>1390</v>
      </c>
      <c r="D155" s="51" t="s">
        <v>29</v>
      </c>
      <c r="E155" s="60">
        <v>4000</v>
      </c>
      <c r="F155" s="61">
        <v>1990</v>
      </c>
      <c r="G155" s="61">
        <v>2010</v>
      </c>
      <c r="H155" s="68">
        <v>81.230517806587045</v>
      </c>
      <c r="I155" s="69">
        <v>68.916453423587043</v>
      </c>
      <c r="J155" s="69">
        <v>12.314064382999998</v>
      </c>
      <c r="K155" s="68">
        <v>78.593755112019039</v>
      </c>
      <c r="L155" s="69">
        <v>67.042344129019042</v>
      </c>
      <c r="M155" s="69">
        <v>11.551410982999998</v>
      </c>
      <c r="N155" s="66">
        <v>4.6449639999999999</v>
      </c>
      <c r="O155" s="67">
        <v>2.3812640000000003</v>
      </c>
      <c r="P155" s="67">
        <v>2.2637</v>
      </c>
      <c r="Q155" s="59" t="s">
        <v>335</v>
      </c>
      <c r="R155" s="46"/>
      <c r="S155" s="46"/>
      <c r="T155" s="46"/>
    </row>
    <row r="156" spans="1:33" s="47" customFormat="1" ht="15.75" customHeight="1">
      <c r="A156" s="38">
        <v>14</v>
      </c>
      <c r="B156" s="39" t="s">
        <v>336</v>
      </c>
      <c r="C156" s="40" t="s">
        <v>259</v>
      </c>
      <c r="D156" s="62" t="s">
        <v>42</v>
      </c>
      <c r="E156" s="63"/>
      <c r="F156" s="63"/>
      <c r="G156" s="63"/>
      <c r="H156" s="114"/>
      <c r="I156" s="44"/>
      <c r="J156" s="65"/>
      <c r="K156" s="43"/>
      <c r="L156" s="44"/>
      <c r="M156" s="44"/>
      <c r="N156" s="43"/>
      <c r="O156" s="44"/>
      <c r="P156" s="44"/>
      <c r="Q156" s="45" t="s">
        <v>337</v>
      </c>
      <c r="R156" s="46"/>
      <c r="S156" s="46"/>
      <c r="T156" s="46"/>
    </row>
    <row r="157" spans="1:33" s="47" customFormat="1" ht="15.75" customHeight="1">
      <c r="A157" s="48">
        <f>A156+0.001</f>
        <v>14.000999999999999</v>
      </c>
      <c r="B157" s="101" t="s">
        <v>338</v>
      </c>
      <c r="C157" s="76">
        <v>0.3</v>
      </c>
      <c r="D157" s="50" t="s">
        <v>262</v>
      </c>
      <c r="E157" s="72">
        <v>1510</v>
      </c>
      <c r="F157" s="74">
        <v>936</v>
      </c>
      <c r="G157" s="74">
        <v>576</v>
      </c>
      <c r="H157" s="77">
        <v>15.7</v>
      </c>
      <c r="I157" s="71">
        <v>15.6</v>
      </c>
      <c r="J157" s="71">
        <v>8.7999999999999995E-2</v>
      </c>
      <c r="K157" s="106">
        <v>15</v>
      </c>
      <c r="L157" s="102">
        <v>15</v>
      </c>
      <c r="M157" s="71">
        <v>8.5000000000000006E-2</v>
      </c>
      <c r="N157" s="77">
        <v>1.39</v>
      </c>
      <c r="O157" s="71">
        <v>0.67700000000000005</v>
      </c>
      <c r="P157" s="71">
        <v>0.71499999999999997</v>
      </c>
      <c r="Q157" s="103" t="s">
        <v>339</v>
      </c>
      <c r="R157" s="46"/>
      <c r="S157" s="46"/>
      <c r="T157" s="46"/>
    </row>
    <row r="158" spans="1:33" s="47" customFormat="1" ht="15.75" customHeight="1">
      <c r="A158" s="48">
        <f>A157+0.001</f>
        <v>14.001999999999999</v>
      </c>
      <c r="B158" s="49" t="s">
        <v>340</v>
      </c>
      <c r="C158" s="76">
        <v>0.3</v>
      </c>
      <c r="D158" s="50" t="s">
        <v>262</v>
      </c>
      <c r="E158" s="72">
        <v>1990</v>
      </c>
      <c r="F158" s="74">
        <v>1420</v>
      </c>
      <c r="G158" s="74">
        <v>576</v>
      </c>
      <c r="H158" s="77">
        <v>25.1</v>
      </c>
      <c r="I158" s="102">
        <v>25</v>
      </c>
      <c r="J158" s="71">
        <v>8.7800000000000003E-2</v>
      </c>
      <c r="K158" s="77">
        <v>23.5</v>
      </c>
      <c r="L158" s="71">
        <v>23.4</v>
      </c>
      <c r="M158" s="71">
        <v>8.5300000000000001E-2</v>
      </c>
      <c r="N158" s="77">
        <v>1.58</v>
      </c>
      <c r="O158" s="71">
        <v>0.86099999999999999</v>
      </c>
      <c r="P158" s="71">
        <v>0.71499999999999997</v>
      </c>
      <c r="Q158" s="103" t="s">
        <v>341</v>
      </c>
      <c r="R158" s="46"/>
      <c r="S158" s="46"/>
      <c r="T158" s="46"/>
    </row>
    <row r="159" spans="1:33" s="47" customFormat="1" ht="15.75" customHeight="1">
      <c r="A159" s="48">
        <f t="shared" ref="A159:A164" si="9">A158+0.001</f>
        <v>14.002999999999998</v>
      </c>
      <c r="B159" s="49" t="s">
        <v>342</v>
      </c>
      <c r="C159" s="76">
        <v>0.25</v>
      </c>
      <c r="D159" s="50" t="s">
        <v>262</v>
      </c>
      <c r="E159" s="72">
        <v>725</v>
      </c>
      <c r="F159" s="74">
        <v>323</v>
      </c>
      <c r="G159" s="74">
        <v>403</v>
      </c>
      <c r="H159" s="77">
        <v>6.92</v>
      </c>
      <c r="I159" s="71">
        <v>6.77</v>
      </c>
      <c r="J159" s="71">
        <v>0.151</v>
      </c>
      <c r="K159" s="77">
        <v>6.87</v>
      </c>
      <c r="L159" s="71">
        <v>6.73</v>
      </c>
      <c r="M159" s="71">
        <v>0.14499999999999999</v>
      </c>
      <c r="N159" s="77">
        <v>0.68700000000000006</v>
      </c>
      <c r="O159" s="71">
        <v>0.10199999999999999</v>
      </c>
      <c r="P159" s="71">
        <v>0.58499999999999996</v>
      </c>
      <c r="Q159" s="59" t="s">
        <v>343</v>
      </c>
      <c r="R159" s="46"/>
      <c r="S159" s="46"/>
      <c r="T159" s="46"/>
    </row>
    <row r="160" spans="1:33" s="47" customFormat="1" ht="15.75" customHeight="1">
      <c r="A160" s="48">
        <f t="shared" si="9"/>
        <v>14.003999999999998</v>
      </c>
      <c r="B160" s="49" t="s">
        <v>344</v>
      </c>
      <c r="C160" s="50" t="s">
        <v>27</v>
      </c>
      <c r="D160" s="51" t="s">
        <v>115</v>
      </c>
      <c r="E160" s="60">
        <v>11000</v>
      </c>
      <c r="F160" s="61">
        <v>11000</v>
      </c>
      <c r="G160" s="88">
        <v>0</v>
      </c>
      <c r="H160" s="85">
        <v>182.50686000000002</v>
      </c>
      <c r="I160" s="86">
        <v>182.50686000000002</v>
      </c>
      <c r="J160" s="86">
        <v>0</v>
      </c>
      <c r="K160" s="85">
        <v>171.58717000000001</v>
      </c>
      <c r="L160" s="86">
        <v>171.58717000000001</v>
      </c>
      <c r="M160" s="92">
        <v>0</v>
      </c>
      <c r="N160" s="66">
        <v>8.6822999999999997</v>
      </c>
      <c r="O160" s="67">
        <v>8.6822999999999997</v>
      </c>
      <c r="P160" s="92">
        <v>0</v>
      </c>
      <c r="Q160" s="59" t="s">
        <v>345</v>
      </c>
      <c r="R160" s="46"/>
      <c r="S160" s="46"/>
      <c r="T160" s="46"/>
    </row>
    <row r="161" spans="1:20" s="47" customFormat="1" ht="15.75" customHeight="1">
      <c r="A161" s="48">
        <f t="shared" si="9"/>
        <v>14.004999999999997</v>
      </c>
      <c r="B161" s="49" t="s">
        <v>346</v>
      </c>
      <c r="C161" s="50" t="s">
        <v>27</v>
      </c>
      <c r="D161" s="51" t="s">
        <v>115</v>
      </c>
      <c r="E161" s="60">
        <v>3770</v>
      </c>
      <c r="F161" s="61">
        <v>3770</v>
      </c>
      <c r="G161" s="88">
        <v>0</v>
      </c>
      <c r="H161" s="68">
        <v>66.806856742999997</v>
      </c>
      <c r="I161" s="69">
        <v>66.806856742999997</v>
      </c>
      <c r="J161" s="86">
        <v>0</v>
      </c>
      <c r="K161" s="68">
        <v>65.085340043000002</v>
      </c>
      <c r="L161" s="69">
        <v>65.085340043000002</v>
      </c>
      <c r="M161" s="92">
        <v>0</v>
      </c>
      <c r="N161" s="66">
        <v>3.7839999999999998</v>
      </c>
      <c r="O161" s="67">
        <v>3.7839999999999998</v>
      </c>
      <c r="P161" s="92">
        <v>0</v>
      </c>
      <c r="Q161" s="59" t="s">
        <v>347</v>
      </c>
      <c r="R161" s="46"/>
      <c r="S161" s="46"/>
      <c r="T161" s="46"/>
    </row>
    <row r="162" spans="1:20" s="47" customFormat="1" ht="15.75" customHeight="1">
      <c r="A162" s="48">
        <f t="shared" si="9"/>
        <v>14.005999999999997</v>
      </c>
      <c r="B162" s="49" t="s">
        <v>348</v>
      </c>
      <c r="C162" s="50" t="s">
        <v>27</v>
      </c>
      <c r="D162" s="51" t="s">
        <v>115</v>
      </c>
      <c r="E162" s="60">
        <v>4840</v>
      </c>
      <c r="F162" s="61">
        <v>4840</v>
      </c>
      <c r="G162" s="88">
        <v>0</v>
      </c>
      <c r="H162" s="68">
        <v>85.378094867000001</v>
      </c>
      <c r="I162" s="69">
        <v>85.378094867000001</v>
      </c>
      <c r="J162" s="86">
        <v>0</v>
      </c>
      <c r="K162" s="68">
        <v>83.332053367</v>
      </c>
      <c r="L162" s="69">
        <v>83.332053367</v>
      </c>
      <c r="M162" s="92">
        <v>0</v>
      </c>
      <c r="N162" s="66">
        <v>4.5744999999999996</v>
      </c>
      <c r="O162" s="67">
        <v>4.5744999999999996</v>
      </c>
      <c r="P162" s="92">
        <v>0</v>
      </c>
      <c r="Q162" s="59" t="s">
        <v>349</v>
      </c>
      <c r="R162" s="46"/>
      <c r="S162" s="46"/>
      <c r="T162" s="46"/>
    </row>
    <row r="163" spans="1:20" s="47" customFormat="1" ht="15.75" customHeight="1">
      <c r="A163" s="48">
        <f t="shared" si="9"/>
        <v>14.006999999999996</v>
      </c>
      <c r="B163" s="49" t="s">
        <v>350</v>
      </c>
      <c r="C163" s="50" t="s">
        <v>27</v>
      </c>
      <c r="D163" s="51" t="s">
        <v>115</v>
      </c>
      <c r="E163" s="60">
        <v>4850</v>
      </c>
      <c r="F163" s="61">
        <v>4850</v>
      </c>
      <c r="G163" s="88">
        <v>0</v>
      </c>
      <c r="H163" s="68">
        <v>20.6383522173</v>
      </c>
      <c r="I163" s="69">
        <v>20.6383522173</v>
      </c>
      <c r="J163" s="86">
        <v>0</v>
      </c>
      <c r="K163" s="68">
        <v>18.364707917299999</v>
      </c>
      <c r="L163" s="69">
        <v>18.364707917299999</v>
      </c>
      <c r="M163" s="92">
        <v>0</v>
      </c>
      <c r="N163" s="54">
        <v>0.64517999999999998</v>
      </c>
      <c r="O163" s="55">
        <v>0.64517999999999998</v>
      </c>
      <c r="P163" s="92">
        <v>0</v>
      </c>
      <c r="Q163" s="59" t="s">
        <v>351</v>
      </c>
      <c r="R163" s="16"/>
      <c r="S163" s="16"/>
      <c r="T163" s="16"/>
    </row>
    <row r="164" spans="1:20" s="47" customFormat="1" ht="15.75" customHeight="1">
      <c r="A164" s="48">
        <f t="shared" si="9"/>
        <v>14.007999999999996</v>
      </c>
      <c r="B164" s="49" t="s">
        <v>352</v>
      </c>
      <c r="C164" s="50" t="s">
        <v>27</v>
      </c>
      <c r="D164" s="51" t="s">
        <v>115</v>
      </c>
      <c r="E164" s="60">
        <v>30400</v>
      </c>
      <c r="F164" s="61">
        <v>30400</v>
      </c>
      <c r="G164" s="88">
        <v>0</v>
      </c>
      <c r="H164" s="85">
        <v>103.71500597999999</v>
      </c>
      <c r="I164" s="86">
        <v>103.71500597999999</v>
      </c>
      <c r="J164" s="86">
        <v>0</v>
      </c>
      <c r="K164" s="68">
        <v>95.037119979999986</v>
      </c>
      <c r="L164" s="69">
        <v>95.037119979999986</v>
      </c>
      <c r="M164" s="92">
        <v>0</v>
      </c>
      <c r="N164" s="66">
        <v>6.2089999999999996</v>
      </c>
      <c r="O164" s="67">
        <v>6.2089999999999996</v>
      </c>
      <c r="P164" s="92">
        <v>0</v>
      </c>
      <c r="Q164" s="115" t="s">
        <v>353</v>
      </c>
      <c r="R164" s="46"/>
      <c r="S164" s="46"/>
      <c r="T164" s="46"/>
    </row>
    <row r="165" spans="1:20" s="47" customFormat="1" ht="15.75" customHeight="1">
      <c r="A165" s="38">
        <v>15</v>
      </c>
      <c r="B165" s="39" t="s">
        <v>354</v>
      </c>
      <c r="C165" s="40" t="s">
        <v>31</v>
      </c>
      <c r="D165" s="62" t="s">
        <v>42</v>
      </c>
      <c r="E165" s="63"/>
      <c r="F165" s="61"/>
      <c r="G165" s="63"/>
      <c r="H165" s="114"/>
      <c r="I165" s="44"/>
      <c r="J165" s="65"/>
      <c r="K165" s="43"/>
      <c r="L165" s="44"/>
      <c r="M165" s="44"/>
      <c r="N165" s="43"/>
      <c r="O165" s="44"/>
      <c r="P165" s="44"/>
      <c r="Q165" s="45" t="s">
        <v>355</v>
      </c>
      <c r="R165" s="46"/>
      <c r="S165" s="46"/>
      <c r="T165" s="46"/>
    </row>
    <row r="166" spans="1:20" s="47" customFormat="1" ht="15.75" customHeight="1">
      <c r="A166" s="48">
        <f>A165+0.001</f>
        <v>15.000999999999999</v>
      </c>
      <c r="B166" s="49" t="s">
        <v>356</v>
      </c>
      <c r="C166" s="50">
        <v>1180</v>
      </c>
      <c r="D166" s="51" t="s">
        <v>29</v>
      </c>
      <c r="E166" s="60">
        <v>8220</v>
      </c>
      <c r="F166" s="61">
        <v>6580</v>
      </c>
      <c r="G166" s="61">
        <v>1640</v>
      </c>
      <c r="H166" s="85">
        <v>145.89199771793</v>
      </c>
      <c r="I166" s="86">
        <v>145.17986829073999</v>
      </c>
      <c r="J166" s="55">
        <v>0.71212942719000005</v>
      </c>
      <c r="K166" s="85">
        <v>144.52818112692998</v>
      </c>
      <c r="L166" s="86">
        <v>143.84900048573999</v>
      </c>
      <c r="M166" s="55">
        <v>0.67918064118999999</v>
      </c>
      <c r="N166" s="68">
        <v>10.7455</v>
      </c>
      <c r="O166" s="67">
        <v>8.3971999999999998</v>
      </c>
      <c r="P166" s="67">
        <v>2.3483000000000001</v>
      </c>
      <c r="Q166" s="59" t="s">
        <v>357</v>
      </c>
      <c r="R166" s="46"/>
      <c r="S166" s="46"/>
      <c r="T166" s="46"/>
    </row>
    <row r="167" spans="1:20" s="47" customFormat="1" ht="15.75" customHeight="1">
      <c r="A167" s="48">
        <f>A166+0.001</f>
        <v>15.001999999999999</v>
      </c>
      <c r="B167" s="49" t="s">
        <v>358</v>
      </c>
      <c r="C167" s="50">
        <v>1360</v>
      </c>
      <c r="D167" s="51" t="s">
        <v>29</v>
      </c>
      <c r="E167" s="60">
        <v>7380</v>
      </c>
      <c r="F167" s="61">
        <v>6570</v>
      </c>
      <c r="G167" s="61">
        <v>808.55930000000012</v>
      </c>
      <c r="H167" s="85">
        <v>148.24032750000833</v>
      </c>
      <c r="I167" s="86">
        <v>147.79545102700004</v>
      </c>
      <c r="J167" s="55">
        <v>0.44487647300829997</v>
      </c>
      <c r="K167" s="85">
        <v>145.07220122029531</v>
      </c>
      <c r="L167" s="86">
        <v>144.63301322700002</v>
      </c>
      <c r="M167" s="55">
        <v>0.43918799329530001</v>
      </c>
      <c r="N167" s="66">
        <v>9.5139003800000008</v>
      </c>
      <c r="O167" s="67">
        <v>8.8053000000000008</v>
      </c>
      <c r="P167" s="55">
        <v>0.70860038000000003</v>
      </c>
      <c r="Q167" s="59" t="s">
        <v>359</v>
      </c>
      <c r="R167" s="46"/>
      <c r="S167" s="46"/>
      <c r="T167" s="46"/>
    </row>
    <row r="168" spans="1:20" s="47" customFormat="1" ht="15.75" customHeight="1">
      <c r="A168" s="48">
        <f>A167+0.001</f>
        <v>15.002999999999998</v>
      </c>
      <c r="B168" s="49" t="s">
        <v>360</v>
      </c>
      <c r="C168" s="50">
        <v>1200</v>
      </c>
      <c r="D168" s="51" t="s">
        <v>29</v>
      </c>
      <c r="E168" s="60">
        <v>7500</v>
      </c>
      <c r="F168" s="61">
        <v>5860</v>
      </c>
      <c r="G168" s="61">
        <v>1640</v>
      </c>
      <c r="H168" s="85">
        <v>116.42258161638001</v>
      </c>
      <c r="I168" s="86">
        <v>115.71045218919001</v>
      </c>
      <c r="J168" s="55">
        <v>0.71212942719000005</v>
      </c>
      <c r="K168" s="85">
        <v>114.99448925848</v>
      </c>
      <c r="L168" s="86">
        <v>114.31530861729</v>
      </c>
      <c r="M168" s="55">
        <v>0.67918064118999999</v>
      </c>
      <c r="N168" s="68">
        <v>10.51403</v>
      </c>
      <c r="O168" s="67">
        <v>8.1657299999999999</v>
      </c>
      <c r="P168" s="67">
        <v>2.3483000000000001</v>
      </c>
      <c r="Q168" s="59" t="s">
        <v>361</v>
      </c>
      <c r="R168" s="46"/>
      <c r="S168" s="46"/>
      <c r="T168" s="46"/>
    </row>
    <row r="169" spans="1:20" s="47" customFormat="1" ht="15.75" customHeight="1">
      <c r="A169" s="48">
        <f>A168+0.001</f>
        <v>15.003999999999998</v>
      </c>
      <c r="B169" s="49" t="s">
        <v>362</v>
      </c>
      <c r="C169" s="50">
        <v>1800</v>
      </c>
      <c r="D169" s="51" t="s">
        <v>29</v>
      </c>
      <c r="E169" s="60">
        <v>7510</v>
      </c>
      <c r="F169" s="61">
        <v>6700</v>
      </c>
      <c r="G169" s="61">
        <v>808.55930000000012</v>
      </c>
      <c r="H169" s="68">
        <v>83.041987099008296</v>
      </c>
      <c r="I169" s="69">
        <v>82.597110625999989</v>
      </c>
      <c r="J169" s="55">
        <v>0.44487647300829997</v>
      </c>
      <c r="K169" s="68">
        <v>81.058220319295302</v>
      </c>
      <c r="L169" s="69">
        <v>80.619032325999996</v>
      </c>
      <c r="M169" s="55">
        <v>0.43918799329530001</v>
      </c>
      <c r="N169" s="66">
        <v>5.58970038</v>
      </c>
      <c r="O169" s="67">
        <v>4.8811</v>
      </c>
      <c r="P169" s="55">
        <v>0.70860038000000003</v>
      </c>
      <c r="Q169" s="59" t="s">
        <v>363</v>
      </c>
      <c r="R169" s="46"/>
      <c r="S169" s="46"/>
      <c r="T169" s="46"/>
    </row>
    <row r="170" spans="1:20">
      <c r="A170" s="48">
        <f>A169+0.001</f>
        <v>15.004999999999997</v>
      </c>
      <c r="B170" s="49" t="s">
        <v>364</v>
      </c>
      <c r="C170" s="50">
        <v>1050</v>
      </c>
      <c r="D170" s="51" t="s">
        <v>29</v>
      </c>
      <c r="E170" s="60">
        <v>3890</v>
      </c>
      <c r="F170" s="61">
        <v>2250</v>
      </c>
      <c r="G170" s="61">
        <v>1640</v>
      </c>
      <c r="H170" s="68">
        <v>88.960948753450012</v>
      </c>
      <c r="I170" s="69">
        <v>88.248819326260005</v>
      </c>
      <c r="J170" s="55">
        <v>0.71212942719000005</v>
      </c>
      <c r="K170" s="68">
        <v>88.580280811649999</v>
      </c>
      <c r="L170" s="69">
        <v>87.901100170459998</v>
      </c>
      <c r="M170" s="55">
        <v>0.67918064118999999</v>
      </c>
      <c r="N170" s="66">
        <v>5.8522999999999996</v>
      </c>
      <c r="O170" s="67">
        <v>3.504</v>
      </c>
      <c r="P170" s="67">
        <v>2.3483000000000001</v>
      </c>
      <c r="Q170" s="59" t="s">
        <v>365</v>
      </c>
    </row>
    <row r="171" spans="1:20">
      <c r="B171" s="116" t="s">
        <v>27</v>
      </c>
      <c r="C171" s="117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18">
        <v>0</v>
      </c>
      <c r="N171" s="16">
        <v>0</v>
      </c>
      <c r="O171" s="16">
        <v>0</v>
      </c>
      <c r="P171" s="16">
        <v>0</v>
      </c>
    </row>
    <row r="172" spans="1:20">
      <c r="M172" s="118"/>
    </row>
    <row r="173" spans="1:20">
      <c r="M173" s="118"/>
    </row>
    <row r="174" spans="1:20">
      <c r="M174" s="118"/>
    </row>
    <row r="175" spans="1:20">
      <c r="M175" s="118"/>
    </row>
    <row r="176" spans="1:20">
      <c r="M176" s="118"/>
    </row>
    <row r="177" spans="13:13" s="16" customFormat="1">
      <c r="M177" s="118"/>
    </row>
    <row r="178" spans="13:13" s="16" customFormat="1">
      <c r="M178" s="118"/>
    </row>
    <row r="179" spans="13:13" s="16" customFormat="1">
      <c r="M179" s="118"/>
    </row>
  </sheetData>
  <sheetProtection selectLockedCells="1" selectUnlockedCells="1"/>
  <mergeCells count="16">
    <mergeCell ref="Q3:Q5"/>
    <mergeCell ref="A4:A5"/>
    <mergeCell ref="H4:J4"/>
    <mergeCell ref="K4:M4"/>
    <mergeCell ref="N4:P4"/>
    <mergeCell ref="C5:C7"/>
    <mergeCell ref="E5:G5"/>
    <mergeCell ref="H5:J5"/>
    <mergeCell ref="K5:M5"/>
    <mergeCell ref="N5:P5"/>
    <mergeCell ref="B3:B5"/>
    <mergeCell ref="C3:C4"/>
    <mergeCell ref="D3:D8"/>
    <mergeCell ref="E3:G3"/>
    <mergeCell ref="H3:M3"/>
    <mergeCell ref="N3:P3"/>
  </mergeCells>
  <pageMargins left="0.39370078740157483" right="0.39370078740157483" top="0.59055118110236227" bottom="0.43307086614173229" header="0.23622047244094491" footer="0.23622047244094491"/>
  <pageSetup paperSize="9" scale="58" fitToHeight="0" orientation="landscape" r:id="rId1"/>
  <headerFooter scaleWithDoc="0" alignWithMargins="0">
    <oddFooter>&amp;C&amp;8&amp;P</oddFooter>
  </headerFooter>
  <rowBreaks count="3" manualBreakCount="3">
    <brk id="57" min="1" max="17" man="1"/>
    <brk id="106" min="1" max="17" man="1"/>
    <brk id="155" min="1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Right="0"/>
    <pageSetUpPr fitToPage="1"/>
  </sheetPr>
  <dimension ref="A1:AD82"/>
  <sheetViews>
    <sheetView zoomScaleNormal="100" zoomScaleSheetLayoutView="100" workbookViewId="0">
      <selection activeCell="U59" sqref="U59"/>
    </sheetView>
  </sheetViews>
  <sheetFormatPr baseColWidth="10" defaultRowHeight="12.75"/>
  <cols>
    <col min="1" max="1" width="11.42578125" style="20"/>
    <col min="2" max="2" width="29.5703125" style="116" customWidth="1"/>
    <col min="3" max="3" width="15.140625" style="395" customWidth="1"/>
    <col min="4" max="4" width="6.42578125" style="16" bestFit="1" customWidth="1"/>
    <col min="5" max="16" width="8.7109375" style="16" customWidth="1"/>
    <col min="17" max="20" width="9.7109375" style="16" customWidth="1"/>
    <col min="21" max="21" width="14.42578125" style="394" customWidth="1"/>
    <col min="22" max="22" width="37.42578125" style="119" customWidth="1"/>
    <col min="23" max="24" width="10.85546875" style="46" customWidth="1"/>
    <col min="25" max="25" width="28.5703125" style="46" customWidth="1"/>
    <col min="26" max="26" width="25.28515625" style="16" customWidth="1"/>
    <col min="27" max="16384" width="11.42578125" style="16"/>
  </cols>
  <sheetData>
    <row r="1" spans="1:26" s="632" customFormat="1" ht="19.5" customHeight="1">
      <c r="A1" s="1"/>
      <c r="B1" s="627" t="s">
        <v>0</v>
      </c>
      <c r="C1" s="628"/>
      <c r="D1" s="628"/>
      <c r="E1" s="628"/>
      <c r="F1" s="629"/>
      <c r="G1" s="629"/>
      <c r="H1" s="629"/>
      <c r="I1" s="628" t="s">
        <v>1</v>
      </c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30"/>
      <c r="V1" s="631" t="s">
        <v>2</v>
      </c>
    </row>
    <row r="2" spans="1:26" s="638" customFormat="1" ht="14.25" customHeight="1">
      <c r="A2" s="8"/>
      <c r="B2" s="633" t="s">
        <v>913</v>
      </c>
      <c r="C2" s="583"/>
      <c r="D2" s="583"/>
      <c r="E2" s="583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5"/>
      <c r="V2" s="636" t="s">
        <v>3</v>
      </c>
      <c r="W2" s="637"/>
      <c r="X2" s="637"/>
      <c r="Y2" s="637"/>
      <c r="Z2" s="637"/>
    </row>
    <row r="3" spans="1:26" ht="25.5" customHeight="1">
      <c r="A3" s="15" t="s">
        <v>4</v>
      </c>
      <c r="B3" s="1175" t="s">
        <v>1006</v>
      </c>
      <c r="C3" s="639" t="s">
        <v>782</v>
      </c>
      <c r="D3" s="639"/>
      <c r="E3" s="1176" t="s">
        <v>8</v>
      </c>
      <c r="F3" s="1177"/>
      <c r="G3" s="1177"/>
      <c r="H3" s="1177"/>
      <c r="I3" s="1178" t="s">
        <v>9</v>
      </c>
      <c r="J3" s="1179"/>
      <c r="K3" s="1179"/>
      <c r="L3" s="1179"/>
      <c r="M3" s="1179"/>
      <c r="N3" s="1179"/>
      <c r="O3" s="1179"/>
      <c r="P3" s="1179"/>
      <c r="Q3" s="1180" t="s">
        <v>1005</v>
      </c>
      <c r="R3" s="1181"/>
      <c r="S3" s="1181"/>
      <c r="T3" s="1181"/>
      <c r="U3" s="640" t="s">
        <v>781</v>
      </c>
      <c r="V3" s="1182" t="s">
        <v>1004</v>
      </c>
      <c r="W3" s="16"/>
      <c r="X3" s="16"/>
      <c r="Y3" s="16"/>
    </row>
    <row r="4" spans="1:26" ht="14.25" customHeight="1">
      <c r="B4" s="1156"/>
      <c r="C4" s="641" t="s">
        <v>779</v>
      </c>
      <c r="D4" s="642" t="s">
        <v>569</v>
      </c>
      <c r="E4" s="643"/>
      <c r="F4" s="644"/>
      <c r="G4" s="644"/>
      <c r="H4" s="645"/>
      <c r="I4" s="1183" t="s">
        <v>13</v>
      </c>
      <c r="J4" s="1161"/>
      <c r="K4" s="1161"/>
      <c r="L4" s="1161"/>
      <c r="M4" s="1183" t="s">
        <v>14</v>
      </c>
      <c r="N4" s="1161"/>
      <c r="O4" s="1161"/>
      <c r="P4" s="1161"/>
      <c r="Q4" s="1184" t="s">
        <v>15</v>
      </c>
      <c r="R4" s="1185"/>
      <c r="S4" s="1185"/>
      <c r="T4" s="1185"/>
      <c r="U4" s="646"/>
      <c r="V4" s="1156"/>
      <c r="W4" s="16"/>
      <c r="X4" s="16"/>
      <c r="Y4" s="16"/>
    </row>
    <row r="5" spans="1:26" ht="12.75" customHeight="1">
      <c r="B5" s="1156"/>
      <c r="C5" s="646"/>
      <c r="D5" s="647" t="s">
        <v>778</v>
      </c>
      <c r="E5" s="1186" t="s">
        <v>8</v>
      </c>
      <c r="F5" s="1187"/>
      <c r="G5" s="1187"/>
      <c r="H5" s="1187"/>
      <c r="I5" s="1188" t="s">
        <v>17</v>
      </c>
      <c r="J5" s="1189"/>
      <c r="K5" s="1189"/>
      <c r="L5" s="1189"/>
      <c r="M5" s="1188" t="s">
        <v>18</v>
      </c>
      <c r="N5" s="1189"/>
      <c r="O5" s="1189"/>
      <c r="P5" s="1189"/>
      <c r="Q5" s="1188" t="s">
        <v>19</v>
      </c>
      <c r="R5" s="1189"/>
      <c r="S5" s="1189"/>
      <c r="T5" s="1189"/>
      <c r="U5" s="646" t="s">
        <v>777</v>
      </c>
      <c r="V5" s="1156"/>
      <c r="W5" s="16"/>
      <c r="X5" s="16"/>
      <c r="Y5" s="16"/>
    </row>
    <row r="6" spans="1:26" ht="14.25" customHeight="1">
      <c r="B6" s="648"/>
      <c r="C6" s="649"/>
      <c r="D6" s="650"/>
      <c r="E6" s="651" t="s">
        <v>21</v>
      </c>
      <c r="F6" s="652" t="s">
        <v>1003</v>
      </c>
      <c r="G6" s="652" t="s">
        <v>1002</v>
      </c>
      <c r="H6" s="652" t="s">
        <v>1001</v>
      </c>
      <c r="I6" s="653" t="s">
        <v>21</v>
      </c>
      <c r="J6" s="654" t="s">
        <v>1003</v>
      </c>
      <c r="K6" s="654" t="s">
        <v>1002</v>
      </c>
      <c r="L6" s="654" t="s">
        <v>1001</v>
      </c>
      <c r="M6" s="653" t="s">
        <v>21</v>
      </c>
      <c r="N6" s="654" t="s">
        <v>1003</v>
      </c>
      <c r="O6" s="654" t="s">
        <v>1002</v>
      </c>
      <c r="P6" s="654" t="s">
        <v>1001</v>
      </c>
      <c r="Q6" s="653" t="s">
        <v>21</v>
      </c>
      <c r="R6" s="654" t="s">
        <v>1003</v>
      </c>
      <c r="S6" s="654" t="s">
        <v>1002</v>
      </c>
      <c r="T6" s="654" t="s">
        <v>1001</v>
      </c>
      <c r="U6" s="655"/>
      <c r="V6" s="656"/>
      <c r="W6" s="16"/>
      <c r="X6" s="16"/>
      <c r="Y6" s="16"/>
    </row>
    <row r="7" spans="1:26" s="32" customFormat="1" ht="14.25" customHeight="1">
      <c r="A7" s="27"/>
      <c r="B7" s="648"/>
      <c r="C7" s="649"/>
      <c r="D7" s="657"/>
      <c r="E7" s="658" t="s">
        <v>24</v>
      </c>
      <c r="F7" s="659" t="s">
        <v>1000</v>
      </c>
      <c r="G7" s="659" t="s">
        <v>999</v>
      </c>
      <c r="H7" s="659" t="s">
        <v>998</v>
      </c>
      <c r="I7" s="660" t="s">
        <v>24</v>
      </c>
      <c r="J7" s="661" t="s">
        <v>1000</v>
      </c>
      <c r="K7" s="661" t="s">
        <v>999</v>
      </c>
      <c r="L7" s="661" t="s">
        <v>998</v>
      </c>
      <c r="M7" s="660" t="s">
        <v>24</v>
      </c>
      <c r="N7" s="661" t="s">
        <v>1000</v>
      </c>
      <c r="O7" s="661" t="s">
        <v>999</v>
      </c>
      <c r="P7" s="661" t="s">
        <v>998</v>
      </c>
      <c r="Q7" s="660" t="s">
        <v>24</v>
      </c>
      <c r="R7" s="661" t="s">
        <v>1000</v>
      </c>
      <c r="S7" s="661" t="s">
        <v>999</v>
      </c>
      <c r="T7" s="661" t="s">
        <v>998</v>
      </c>
      <c r="U7" s="655"/>
      <c r="V7" s="656"/>
      <c r="W7" s="16"/>
      <c r="X7" s="16"/>
      <c r="Y7" s="16"/>
    </row>
    <row r="8" spans="1:26" s="32" customFormat="1" ht="12.75" customHeight="1">
      <c r="A8" s="27"/>
      <c r="B8" s="648"/>
      <c r="C8" s="649"/>
      <c r="D8" s="650"/>
      <c r="E8" s="662" t="s">
        <v>27</v>
      </c>
      <c r="F8" s="662" t="s">
        <v>27</v>
      </c>
      <c r="G8" s="662" t="s">
        <v>27</v>
      </c>
      <c r="H8" s="662" t="s">
        <v>27</v>
      </c>
      <c r="I8" s="663" t="s">
        <v>28</v>
      </c>
      <c r="J8" s="663" t="s">
        <v>28</v>
      </c>
      <c r="K8" s="663" t="s">
        <v>28</v>
      </c>
      <c r="L8" s="663" t="s">
        <v>28</v>
      </c>
      <c r="M8" s="663" t="s">
        <v>28</v>
      </c>
      <c r="N8" s="663" t="s">
        <v>28</v>
      </c>
      <c r="O8" s="663" t="s">
        <v>28</v>
      </c>
      <c r="P8" s="663" t="s">
        <v>28</v>
      </c>
      <c r="Q8" s="663" t="s">
        <v>29</v>
      </c>
      <c r="R8" s="663" t="s">
        <v>29</v>
      </c>
      <c r="S8" s="663" t="s">
        <v>29</v>
      </c>
      <c r="T8" s="663" t="s">
        <v>29</v>
      </c>
      <c r="U8" s="655"/>
      <c r="V8" s="656"/>
      <c r="W8" s="16"/>
      <c r="X8" s="16"/>
      <c r="Y8" s="16"/>
    </row>
    <row r="9" spans="1:26" s="672" customFormat="1" ht="15" customHeight="1">
      <c r="A9" s="38">
        <v>61</v>
      </c>
      <c r="B9" s="664" t="s">
        <v>997</v>
      </c>
      <c r="C9" s="665"/>
      <c r="D9" s="666"/>
      <c r="E9" s="667"/>
      <c r="F9" s="667"/>
      <c r="G9" s="667"/>
      <c r="H9" s="667"/>
      <c r="I9" s="666"/>
      <c r="J9" s="666"/>
      <c r="K9" s="666"/>
      <c r="L9" s="666"/>
      <c r="M9" s="668"/>
      <c r="N9" s="668"/>
      <c r="O9" s="668"/>
      <c r="P9" s="668"/>
      <c r="Q9" s="666"/>
      <c r="R9" s="666"/>
      <c r="S9" s="666"/>
      <c r="T9" s="666"/>
      <c r="U9" s="669"/>
      <c r="V9" s="670" t="s">
        <v>996</v>
      </c>
      <c r="W9" s="671"/>
      <c r="X9" s="671"/>
      <c r="Y9" s="671"/>
    </row>
    <row r="10" spans="1:26" s="47" customFormat="1" ht="15" customHeight="1">
      <c r="A10" s="48">
        <f t="shared" ref="A10:A58" si="0">A9+0.001</f>
        <v>61.000999999999998</v>
      </c>
      <c r="B10" s="673" t="s">
        <v>995</v>
      </c>
      <c r="C10" s="674" t="s">
        <v>982</v>
      </c>
      <c r="D10" s="675" t="s">
        <v>28</v>
      </c>
      <c r="E10" s="676">
        <v>103.14042000000001</v>
      </c>
      <c r="F10" s="677">
        <v>103.14042000000001</v>
      </c>
      <c r="G10" s="678"/>
      <c r="H10" s="678"/>
      <c r="I10" s="66">
        <v>1.243884</v>
      </c>
      <c r="J10" s="67">
        <v>1.243884</v>
      </c>
      <c r="K10" s="92">
        <v>0</v>
      </c>
      <c r="L10" s="679"/>
      <c r="M10" s="66">
        <v>1.2211027686</v>
      </c>
      <c r="N10" s="67">
        <v>1.2211027686</v>
      </c>
      <c r="O10" s="92">
        <v>0</v>
      </c>
      <c r="P10" s="679"/>
      <c r="Q10" s="680">
        <v>8.3338207999999997E-2</v>
      </c>
      <c r="R10" s="57">
        <v>8.3338207999999997E-2</v>
      </c>
      <c r="S10" s="92">
        <v>0</v>
      </c>
      <c r="T10" s="679"/>
      <c r="U10" s="681" t="s">
        <v>981</v>
      </c>
      <c r="V10" s="682" t="s">
        <v>994</v>
      </c>
      <c r="W10" s="46"/>
      <c r="X10" s="46"/>
      <c r="Y10" s="46"/>
    </row>
    <row r="11" spans="1:26" s="47" customFormat="1" ht="15" customHeight="1">
      <c r="A11" s="48">
        <f t="shared" si="0"/>
        <v>61.001999999999995</v>
      </c>
      <c r="B11" s="673" t="s">
        <v>993</v>
      </c>
      <c r="C11" s="674" t="s">
        <v>982</v>
      </c>
      <c r="D11" s="675" t="s">
        <v>28</v>
      </c>
      <c r="E11" s="683">
        <v>87.333231999999995</v>
      </c>
      <c r="F11" s="684">
        <v>87.333231999999995</v>
      </c>
      <c r="G11" s="678"/>
      <c r="H11" s="678"/>
      <c r="I11" s="66">
        <v>1.2168683</v>
      </c>
      <c r="J11" s="67">
        <v>1.2168683</v>
      </c>
      <c r="K11" s="92">
        <v>0</v>
      </c>
      <c r="L11" s="679"/>
      <c r="M11" s="66">
        <v>1.1951898330699999</v>
      </c>
      <c r="N11" s="67">
        <v>1.1951898330699999</v>
      </c>
      <c r="O11" s="92">
        <v>0</v>
      </c>
      <c r="P11" s="679"/>
      <c r="Q11" s="680">
        <v>8.4129279000000001E-2</v>
      </c>
      <c r="R11" s="57">
        <v>8.4129279000000001E-2</v>
      </c>
      <c r="S11" s="92">
        <v>0</v>
      </c>
      <c r="T11" s="679"/>
      <c r="U11" s="681" t="s">
        <v>981</v>
      </c>
      <c r="V11" s="682" t="s">
        <v>992</v>
      </c>
      <c r="W11" s="46"/>
      <c r="X11" s="46"/>
      <c r="Y11" s="46"/>
    </row>
    <row r="12" spans="1:26" s="47" customFormat="1" ht="15" customHeight="1">
      <c r="A12" s="48">
        <f t="shared" si="0"/>
        <v>61.002999999999993</v>
      </c>
      <c r="B12" s="673" t="s">
        <v>991</v>
      </c>
      <c r="C12" s="674" t="s">
        <v>982</v>
      </c>
      <c r="D12" s="675" t="s">
        <v>28</v>
      </c>
      <c r="E12" s="683">
        <v>79.368035000000006</v>
      </c>
      <c r="F12" s="684">
        <v>79.368035000000006</v>
      </c>
      <c r="G12" s="678"/>
      <c r="H12" s="678"/>
      <c r="I12" s="66">
        <v>1.2874878000000001</v>
      </c>
      <c r="J12" s="67">
        <v>1.2874878000000001</v>
      </c>
      <c r="K12" s="92">
        <v>0</v>
      </c>
      <c r="L12" s="679"/>
      <c r="M12" s="66">
        <v>1.2591964922900001</v>
      </c>
      <c r="N12" s="67">
        <v>1.2591964922900001</v>
      </c>
      <c r="O12" s="92">
        <v>0</v>
      </c>
      <c r="P12" s="679"/>
      <c r="Q12" s="680">
        <v>8.8563460999999996E-2</v>
      </c>
      <c r="R12" s="57">
        <v>8.8563460999999996E-2</v>
      </c>
      <c r="S12" s="92">
        <v>0</v>
      </c>
      <c r="T12" s="679"/>
      <c r="U12" s="681" t="s">
        <v>981</v>
      </c>
      <c r="V12" s="682" t="s">
        <v>990</v>
      </c>
      <c r="W12" s="46"/>
      <c r="X12" s="46"/>
      <c r="Y12" s="46"/>
    </row>
    <row r="13" spans="1:26" s="47" customFormat="1" ht="15" customHeight="1">
      <c r="A13" s="48">
        <f t="shared" si="0"/>
        <v>61.003999999999991</v>
      </c>
      <c r="B13" s="673" t="s">
        <v>989</v>
      </c>
      <c r="C13" s="674" t="s">
        <v>982</v>
      </c>
      <c r="D13" s="675" t="s">
        <v>28</v>
      </c>
      <c r="E13" s="683">
        <v>54.283980999999997</v>
      </c>
      <c r="F13" s="684">
        <v>54.283980999999997</v>
      </c>
      <c r="G13" s="678"/>
      <c r="H13" s="678"/>
      <c r="I13" s="66">
        <v>1.2168192</v>
      </c>
      <c r="J13" s="67">
        <v>1.2168192</v>
      </c>
      <c r="K13" s="92">
        <v>0</v>
      </c>
      <c r="L13" s="679"/>
      <c r="M13" s="66">
        <v>1.19518994968</v>
      </c>
      <c r="N13" s="67">
        <v>1.19518994968</v>
      </c>
      <c r="O13" s="92">
        <v>0</v>
      </c>
      <c r="P13" s="679"/>
      <c r="Q13" s="680">
        <v>8.3908091000000004E-2</v>
      </c>
      <c r="R13" s="57">
        <v>8.3908091000000004E-2</v>
      </c>
      <c r="S13" s="92">
        <v>0</v>
      </c>
      <c r="T13" s="679"/>
      <c r="U13" s="681" t="s">
        <v>981</v>
      </c>
      <c r="V13" s="682" t="s">
        <v>988</v>
      </c>
      <c r="W13" s="46"/>
      <c r="X13" s="46"/>
      <c r="Y13" s="46"/>
    </row>
    <row r="14" spans="1:26" s="82" customFormat="1" ht="15" customHeight="1">
      <c r="A14" s="48">
        <f t="shared" si="0"/>
        <v>61.004999999999988</v>
      </c>
      <c r="B14" s="685" t="s">
        <v>987</v>
      </c>
      <c r="C14" s="686" t="s">
        <v>982</v>
      </c>
      <c r="D14" s="687" t="s">
        <v>28</v>
      </c>
      <c r="E14" s="688">
        <v>35.6</v>
      </c>
      <c r="F14" s="689">
        <v>35.6</v>
      </c>
      <c r="G14" s="690"/>
      <c r="H14" s="690"/>
      <c r="I14" s="107">
        <v>0.34899999999999998</v>
      </c>
      <c r="J14" s="76">
        <v>0.34899999999999998</v>
      </c>
      <c r="K14" s="71">
        <v>0</v>
      </c>
      <c r="L14" s="691"/>
      <c r="M14" s="107">
        <v>0.318</v>
      </c>
      <c r="N14" s="76">
        <v>0.318</v>
      </c>
      <c r="O14" s="71">
        <v>0</v>
      </c>
      <c r="P14" s="691"/>
      <c r="Q14" s="692">
        <v>2.9600000000000001E-2</v>
      </c>
      <c r="R14" s="108">
        <v>2.9600000000000001E-2</v>
      </c>
      <c r="S14" s="71">
        <v>0</v>
      </c>
      <c r="T14" s="691"/>
      <c r="U14" s="693" t="s">
        <v>981</v>
      </c>
      <c r="V14" s="694" t="s">
        <v>986</v>
      </c>
      <c r="W14" s="20"/>
      <c r="X14" s="20"/>
      <c r="Y14" s="20"/>
    </row>
    <row r="15" spans="1:26" s="47" customFormat="1" ht="15" customHeight="1">
      <c r="A15" s="48">
        <f t="shared" si="0"/>
        <v>61.005999999999986</v>
      </c>
      <c r="B15" s="673" t="s">
        <v>985</v>
      </c>
      <c r="C15" s="674" t="s">
        <v>982</v>
      </c>
      <c r="D15" s="675" t="s">
        <v>28</v>
      </c>
      <c r="E15" s="683">
        <v>40.522478</v>
      </c>
      <c r="F15" s="684">
        <v>40.522478</v>
      </c>
      <c r="G15" s="678"/>
      <c r="H15" s="678"/>
      <c r="I15" s="66">
        <v>1.1763212000000001</v>
      </c>
      <c r="J15" s="67">
        <v>1.1763212000000001</v>
      </c>
      <c r="K15" s="92">
        <v>0</v>
      </c>
      <c r="L15" s="679"/>
      <c r="M15" s="66">
        <v>1.1278308100700001</v>
      </c>
      <c r="N15" s="67">
        <v>1.1278308100700001</v>
      </c>
      <c r="O15" s="92">
        <v>0</v>
      </c>
      <c r="P15" s="679"/>
      <c r="Q15" s="680">
        <v>6.5514686000000003E-2</v>
      </c>
      <c r="R15" s="57">
        <v>6.5514686000000003E-2</v>
      </c>
      <c r="S15" s="92">
        <v>0</v>
      </c>
      <c r="T15" s="679"/>
      <c r="U15" s="681" t="s">
        <v>981</v>
      </c>
      <c r="V15" s="682" t="s">
        <v>984</v>
      </c>
      <c r="W15" s="46"/>
      <c r="X15" s="46"/>
      <c r="Y15" s="46"/>
    </row>
    <row r="16" spans="1:26" s="47" customFormat="1" ht="15" customHeight="1">
      <c r="A16" s="48">
        <f t="shared" si="0"/>
        <v>61.006999999999984</v>
      </c>
      <c r="B16" s="673" t="s">
        <v>983</v>
      </c>
      <c r="C16" s="674" t="s">
        <v>982</v>
      </c>
      <c r="D16" s="675" t="s">
        <v>28</v>
      </c>
      <c r="E16" s="683">
        <v>57.104182000000002</v>
      </c>
      <c r="F16" s="684">
        <v>57.104182000000002</v>
      </c>
      <c r="G16" s="678"/>
      <c r="H16" s="678"/>
      <c r="I16" s="66">
        <v>1.1896519000000001</v>
      </c>
      <c r="J16" s="67">
        <v>1.1896519000000001</v>
      </c>
      <c r="K16" s="92">
        <v>0</v>
      </c>
      <c r="L16" s="679"/>
      <c r="M16" s="66">
        <v>1.16930455129</v>
      </c>
      <c r="N16" s="67">
        <v>1.16930455129</v>
      </c>
      <c r="O16" s="92">
        <v>0</v>
      </c>
      <c r="P16" s="679"/>
      <c r="Q16" s="680">
        <v>8.0534251000000001E-2</v>
      </c>
      <c r="R16" s="57">
        <v>8.0534251000000001E-2</v>
      </c>
      <c r="S16" s="92">
        <v>0</v>
      </c>
      <c r="T16" s="679"/>
      <c r="U16" s="681" t="s">
        <v>981</v>
      </c>
      <c r="V16" s="682" t="s">
        <v>980</v>
      </c>
      <c r="W16" s="46"/>
      <c r="X16" s="46"/>
      <c r="Y16" s="46"/>
    </row>
    <row r="17" spans="1:25" s="47" customFormat="1" ht="15" customHeight="1">
      <c r="A17" s="38">
        <v>62</v>
      </c>
      <c r="B17" s="664" t="s">
        <v>979</v>
      </c>
      <c r="C17" s="695"/>
      <c r="D17" s="696" t="s">
        <v>42</v>
      </c>
      <c r="E17" s="697"/>
      <c r="F17" s="678"/>
      <c r="G17" s="678"/>
      <c r="H17" s="678"/>
      <c r="I17" s="698"/>
      <c r="J17" s="679"/>
      <c r="K17" s="679"/>
      <c r="L17" s="679"/>
      <c r="M17" s="698"/>
      <c r="N17" s="679"/>
      <c r="O17" s="679"/>
      <c r="P17" s="679"/>
      <c r="Q17" s="699"/>
      <c r="R17" s="679"/>
      <c r="S17" s="679"/>
      <c r="T17" s="679"/>
      <c r="U17" s="700"/>
      <c r="V17" s="670" t="s">
        <v>978</v>
      </c>
      <c r="W17" s="46"/>
      <c r="X17" s="46"/>
      <c r="Y17" s="46"/>
    </row>
    <row r="18" spans="1:25" s="47" customFormat="1" ht="15" customHeight="1">
      <c r="A18" s="48">
        <f t="shared" si="0"/>
        <v>62.000999999999998</v>
      </c>
      <c r="B18" s="673" t="s">
        <v>977</v>
      </c>
      <c r="C18" s="674" t="s">
        <v>976</v>
      </c>
      <c r="D18" s="675" t="s">
        <v>975</v>
      </c>
      <c r="E18" s="431">
        <v>664.40013999999996</v>
      </c>
      <c r="F18" s="408">
        <v>609.36088129999996</v>
      </c>
      <c r="G18" s="411">
        <v>55.039262000000001</v>
      </c>
      <c r="H18" s="427">
        <v>0</v>
      </c>
      <c r="I18" s="433">
        <v>8.0667176000000005</v>
      </c>
      <c r="J18" s="405">
        <v>7.3489544839000001</v>
      </c>
      <c r="K18" s="402">
        <v>0.71776309999999999</v>
      </c>
      <c r="L18" s="402">
        <v>0</v>
      </c>
      <c r="M18" s="433">
        <v>8.0257218311000003</v>
      </c>
      <c r="N18" s="405">
        <v>7.3313057102529999</v>
      </c>
      <c r="O18" s="402">
        <v>0.69441610450000002</v>
      </c>
      <c r="P18" s="402">
        <v>0</v>
      </c>
      <c r="Q18" s="432">
        <v>0.53404587999999997</v>
      </c>
      <c r="R18" s="402">
        <v>0.49236800069999997</v>
      </c>
      <c r="S18" s="403">
        <v>4.1677878000000002E-2</v>
      </c>
      <c r="T18" s="423">
        <v>0</v>
      </c>
      <c r="U18" s="681" t="s">
        <v>974</v>
      </c>
      <c r="V18" s="682" t="s">
        <v>973</v>
      </c>
      <c r="W18" s="46"/>
      <c r="X18" s="701"/>
      <c r="Y18" s="701"/>
    </row>
    <row r="19" spans="1:25" s="47" customFormat="1" ht="15" customHeight="1">
      <c r="A19" s="48">
        <f t="shared" si="0"/>
        <v>62.001999999999995</v>
      </c>
      <c r="B19" s="673" t="s">
        <v>972</v>
      </c>
      <c r="C19" s="674" t="s">
        <v>944</v>
      </c>
      <c r="D19" s="675" t="s">
        <v>947</v>
      </c>
      <c r="E19" s="439">
        <v>53.818924000000003</v>
      </c>
      <c r="F19" s="411">
        <v>41.315854000000002</v>
      </c>
      <c r="G19" s="424">
        <v>1.9020350700000002</v>
      </c>
      <c r="H19" s="411">
        <v>10.6010352199</v>
      </c>
      <c r="I19" s="438">
        <v>0.65601078999999995</v>
      </c>
      <c r="J19" s="402">
        <v>0.51371559</v>
      </c>
      <c r="K19" s="403">
        <v>1.7788598200000002E-2</v>
      </c>
      <c r="L19" s="402">
        <v>0.12450659783700001</v>
      </c>
      <c r="M19" s="438">
        <v>0.64784772051999995</v>
      </c>
      <c r="N19" s="402">
        <v>0.51253768998000004</v>
      </c>
      <c r="O19" s="403">
        <v>1.7194798608700001E-2</v>
      </c>
      <c r="P19" s="402">
        <v>0.11811522788376001</v>
      </c>
      <c r="Q19" s="437">
        <v>4.6416416000000002E-2</v>
      </c>
      <c r="R19" s="403">
        <v>3.5483604000000002E-2</v>
      </c>
      <c r="S19" s="423">
        <v>1.00247285E-3</v>
      </c>
      <c r="T19" s="423">
        <v>9.9303390224000001E-3</v>
      </c>
      <c r="U19" s="681" t="s">
        <v>942</v>
      </c>
      <c r="V19" s="682" t="s">
        <v>971</v>
      </c>
      <c r="W19" s="46"/>
      <c r="X19" s="701"/>
      <c r="Y19" s="701"/>
    </row>
    <row r="20" spans="1:25" s="47" customFormat="1" ht="15" customHeight="1">
      <c r="A20" s="48">
        <f t="shared" si="0"/>
        <v>62.002999999999993</v>
      </c>
      <c r="B20" s="673" t="s">
        <v>970</v>
      </c>
      <c r="C20" s="674" t="s">
        <v>944</v>
      </c>
      <c r="D20" s="675" t="s">
        <v>947</v>
      </c>
      <c r="E20" s="439">
        <v>37.414195999999997</v>
      </c>
      <c r="F20" s="411">
        <v>20.772095</v>
      </c>
      <c r="G20" s="424">
        <v>6.6367654969999998</v>
      </c>
      <c r="H20" s="411">
        <v>10.00533525</v>
      </c>
      <c r="I20" s="438">
        <v>0.80826145999999999</v>
      </c>
      <c r="J20" s="402">
        <v>0.60706256000000003</v>
      </c>
      <c r="K20" s="403">
        <v>8.6422332912800007E-2</v>
      </c>
      <c r="L20" s="402">
        <v>0.11477657099999999</v>
      </c>
      <c r="M20" s="438">
        <v>0.55206881648999995</v>
      </c>
      <c r="N20" s="402">
        <v>0.36532223217000004</v>
      </c>
      <c r="O20" s="403">
        <v>8.1606578016867007E-2</v>
      </c>
      <c r="P20" s="402">
        <v>0.1051400179413</v>
      </c>
      <c r="Q20" s="437">
        <v>1.4190349E-2</v>
      </c>
      <c r="R20" s="423">
        <v>3.7152738000000001E-3</v>
      </c>
      <c r="S20" s="423">
        <v>5.4277937549000004E-3</v>
      </c>
      <c r="T20" s="423">
        <v>5.0472812999999995E-3</v>
      </c>
      <c r="U20" s="681" t="s">
        <v>942</v>
      </c>
      <c r="V20" s="682" t="s">
        <v>969</v>
      </c>
      <c r="W20" s="46"/>
      <c r="X20" s="701"/>
      <c r="Y20" s="701"/>
    </row>
    <row r="21" spans="1:25" s="47" customFormat="1" ht="15" customHeight="1">
      <c r="A21" s="48">
        <f t="shared" si="0"/>
        <v>62.003999999999991</v>
      </c>
      <c r="B21" s="673" t="s">
        <v>968</v>
      </c>
      <c r="C21" s="674" t="s">
        <v>967</v>
      </c>
      <c r="D21" s="675" t="s">
        <v>403</v>
      </c>
      <c r="E21" s="431">
        <f>ROUND(55204.856,-2)</f>
        <v>55200</v>
      </c>
      <c r="F21" s="408">
        <f>ROUND(54627.798,-2)</f>
        <v>54600</v>
      </c>
      <c r="G21" s="408">
        <v>577.05858000000001</v>
      </c>
      <c r="H21" s="427">
        <v>0</v>
      </c>
      <c r="I21" s="441">
        <v>1440.1255000000001</v>
      </c>
      <c r="J21" s="421">
        <f>ROUND(1432.1567,-1)</f>
        <v>1430</v>
      </c>
      <c r="K21" s="405">
        <v>7.9687874000000001</v>
      </c>
      <c r="L21" s="402">
        <v>0</v>
      </c>
      <c r="M21" s="441">
        <f>ROUND(1435.75749856,-1)</f>
        <v>1440</v>
      </c>
      <c r="N21" s="421">
        <f>ROUND(1428.99450121,-1)</f>
        <v>1430</v>
      </c>
      <c r="O21" s="405">
        <v>6.7629847457999999</v>
      </c>
      <c r="P21" s="402">
        <v>0</v>
      </c>
      <c r="Q21" s="440">
        <v>96.979857999999993</v>
      </c>
      <c r="R21" s="406">
        <v>96.472979999999993</v>
      </c>
      <c r="S21" s="402">
        <v>0.50687778999999999</v>
      </c>
      <c r="T21" s="423">
        <v>0</v>
      </c>
      <c r="U21" s="681" t="s">
        <v>966</v>
      </c>
      <c r="V21" s="682" t="s">
        <v>965</v>
      </c>
      <c r="W21" s="46"/>
      <c r="X21" s="701"/>
      <c r="Y21" s="701"/>
    </row>
    <row r="22" spans="1:25" s="47" customFormat="1" ht="15" customHeight="1">
      <c r="A22" s="48">
        <f t="shared" si="0"/>
        <v>62.004999999999988</v>
      </c>
      <c r="B22" s="673" t="s">
        <v>964</v>
      </c>
      <c r="C22" s="674" t="s">
        <v>944</v>
      </c>
      <c r="D22" s="675" t="s">
        <v>947</v>
      </c>
      <c r="E22" s="439">
        <v>18.066178000000001</v>
      </c>
      <c r="F22" s="411">
        <v>16.181654000000002</v>
      </c>
      <c r="G22" s="427">
        <v>0.32754170799999999</v>
      </c>
      <c r="H22" s="424">
        <v>1.5569827648999999</v>
      </c>
      <c r="I22" s="438">
        <v>0.16967847</v>
      </c>
      <c r="J22" s="402">
        <v>0.13394183000000001</v>
      </c>
      <c r="K22" s="423">
        <v>2.8211722260000002E-3</v>
      </c>
      <c r="L22" s="403">
        <v>3.2915463568999999E-2</v>
      </c>
      <c r="M22" s="438">
        <v>0.16726469161999999</v>
      </c>
      <c r="N22" s="402">
        <v>0.13362722474400002</v>
      </c>
      <c r="O22" s="423">
        <v>2.7456251150500001E-3</v>
      </c>
      <c r="P22" s="403">
        <v>3.0891837585879999E-2</v>
      </c>
      <c r="Q22" s="437">
        <v>1.0750422000000001E-2</v>
      </c>
      <c r="R22" s="423">
        <v>9.0399399000000002E-3</v>
      </c>
      <c r="S22" s="428">
        <v>1.775925632E-4</v>
      </c>
      <c r="T22" s="423">
        <v>1.5328897262099999E-3</v>
      </c>
      <c r="U22" s="681" t="s">
        <v>942</v>
      </c>
      <c r="V22" s="682" t="s">
        <v>963</v>
      </c>
      <c r="W22" s="46"/>
      <c r="X22" s="701"/>
      <c r="Y22" s="701"/>
    </row>
    <row r="23" spans="1:25" s="47" customFormat="1" ht="15" customHeight="1">
      <c r="A23" s="48">
        <f t="shared" si="0"/>
        <v>62.005999999999986</v>
      </c>
      <c r="B23" s="673" t="s">
        <v>962</v>
      </c>
      <c r="C23" s="674" t="s">
        <v>944</v>
      </c>
      <c r="D23" s="675" t="s">
        <v>947</v>
      </c>
      <c r="E23" s="436">
        <v>9.1724507000000006</v>
      </c>
      <c r="F23" s="424">
        <v>8.0646441000000006</v>
      </c>
      <c r="G23" s="427">
        <v>0.2214297781</v>
      </c>
      <c r="H23" s="427">
        <v>0.88637678405999998</v>
      </c>
      <c r="I23" s="435">
        <v>9.0298527000000003E-2</v>
      </c>
      <c r="J23" s="403">
        <v>6.9649753999999994E-2</v>
      </c>
      <c r="K23" s="423">
        <v>1.910284853E-3</v>
      </c>
      <c r="L23" s="403">
        <v>1.8738488296E-2</v>
      </c>
      <c r="M23" s="435">
        <v>8.893329355E-2</v>
      </c>
      <c r="N23" s="403">
        <v>6.9486159267999989E-2</v>
      </c>
      <c r="O23" s="423">
        <v>1.860678906905E-3</v>
      </c>
      <c r="P23" s="403">
        <v>1.7586455517142E-2</v>
      </c>
      <c r="Q23" s="434">
        <v>5.6349991000000004E-3</v>
      </c>
      <c r="R23" s="423">
        <v>4.6407990000000001E-3</v>
      </c>
      <c r="S23" s="428">
        <v>1.2153926272E-4</v>
      </c>
      <c r="T23" s="428">
        <v>8.7266082412999996E-4</v>
      </c>
      <c r="U23" s="681" t="s">
        <v>942</v>
      </c>
      <c r="V23" s="682" t="s">
        <v>961</v>
      </c>
      <c r="W23" s="46"/>
      <c r="X23" s="701"/>
      <c r="Y23" s="701"/>
    </row>
    <row r="24" spans="1:25" s="47" customFormat="1" ht="15" customHeight="1">
      <c r="A24" s="48">
        <f t="shared" si="0"/>
        <v>62.006999999999984</v>
      </c>
      <c r="B24" s="673" t="s">
        <v>960</v>
      </c>
      <c r="C24" s="674" t="s">
        <v>944</v>
      </c>
      <c r="D24" s="675" t="s">
        <v>947</v>
      </c>
      <c r="E24" s="431">
        <f>ROUND(1714.2779,-1)</f>
        <v>1710</v>
      </c>
      <c r="F24" s="408">
        <v>1220.222</v>
      </c>
      <c r="G24" s="408">
        <v>306.30560049999997</v>
      </c>
      <c r="H24" s="408">
        <v>187.75029499999999</v>
      </c>
      <c r="I24" s="430">
        <v>26.200818999999999</v>
      </c>
      <c r="J24" s="406">
        <v>18.253291999999998</v>
      </c>
      <c r="K24" s="405">
        <v>4.1000674137999997</v>
      </c>
      <c r="L24" s="405">
        <v>3.8474604429000001</v>
      </c>
      <c r="M24" s="430">
        <v>25.602441275</v>
      </c>
      <c r="N24" s="406">
        <v>18.206001361699997</v>
      </c>
      <c r="O24" s="405">
        <v>3.8611823646809995</v>
      </c>
      <c r="P24" s="405">
        <v>3.5352584045051003</v>
      </c>
      <c r="Q24" s="429">
        <v>1.5409128000000001</v>
      </c>
      <c r="R24" s="405">
        <v>1.2564351</v>
      </c>
      <c r="S24" s="402">
        <v>0.19547823</v>
      </c>
      <c r="T24" s="403">
        <v>8.8999430759999998E-2</v>
      </c>
      <c r="U24" s="681" t="s">
        <v>942</v>
      </c>
      <c r="V24" s="682" t="s">
        <v>959</v>
      </c>
      <c r="W24" s="46"/>
      <c r="X24" s="701"/>
      <c r="Y24" s="701"/>
    </row>
    <row r="25" spans="1:25" s="47" customFormat="1" ht="15" customHeight="1">
      <c r="A25" s="48">
        <f t="shared" si="0"/>
        <v>62.007999999999981</v>
      </c>
      <c r="B25" s="673" t="s">
        <v>958</v>
      </c>
      <c r="C25" s="674" t="s">
        <v>944</v>
      </c>
      <c r="D25" s="675" t="s">
        <v>947</v>
      </c>
      <c r="E25" s="431">
        <v>214.66678999999999</v>
      </c>
      <c r="F25" s="408">
        <v>160.56415000000001</v>
      </c>
      <c r="G25" s="411">
        <v>19.525035840000001</v>
      </c>
      <c r="H25" s="411">
        <v>34.577606869999997</v>
      </c>
      <c r="I25" s="433">
        <v>3.2668243000000001</v>
      </c>
      <c r="J25" s="405">
        <v>2.3399223999999998</v>
      </c>
      <c r="K25" s="402">
        <v>0.29804615371999998</v>
      </c>
      <c r="L25" s="402">
        <v>0.62885573080000001</v>
      </c>
      <c r="M25" s="433">
        <v>3.2291987073000001</v>
      </c>
      <c r="N25" s="405">
        <v>2.33436738277</v>
      </c>
      <c r="O25" s="402">
        <v>0.28672270980803999</v>
      </c>
      <c r="P25" s="402">
        <v>0.60810859983959997</v>
      </c>
      <c r="Q25" s="432">
        <v>0.19463305</v>
      </c>
      <c r="R25" s="402">
        <v>0.16137288999999999</v>
      </c>
      <c r="S25" s="403">
        <v>1.3730543080000001E-2</v>
      </c>
      <c r="T25" s="403">
        <v>1.9529610400000001E-2</v>
      </c>
      <c r="U25" s="681" t="s">
        <v>942</v>
      </c>
      <c r="V25" s="682" t="s">
        <v>957</v>
      </c>
      <c r="W25" s="46"/>
      <c r="X25" s="701"/>
      <c r="Y25" s="701"/>
    </row>
    <row r="26" spans="1:25" s="47" customFormat="1" ht="15" customHeight="1">
      <c r="A26" s="48">
        <f t="shared" si="0"/>
        <v>62.008999999999979</v>
      </c>
      <c r="B26" s="673" t="s">
        <v>956</v>
      </c>
      <c r="C26" s="674" t="s">
        <v>944</v>
      </c>
      <c r="D26" s="675" t="s">
        <v>947</v>
      </c>
      <c r="E26" s="431">
        <v>315.33933999999999</v>
      </c>
      <c r="F26" s="408">
        <v>246.38074</v>
      </c>
      <c r="G26" s="411">
        <v>26.997163090000001</v>
      </c>
      <c r="H26" s="411">
        <v>41.961430589999999</v>
      </c>
      <c r="I26" s="433">
        <v>4.6452761000000002</v>
      </c>
      <c r="J26" s="405">
        <v>3.4329763999999998</v>
      </c>
      <c r="K26" s="402">
        <v>0.42832378682999994</v>
      </c>
      <c r="L26" s="402">
        <v>0.78397596120000002</v>
      </c>
      <c r="M26" s="433">
        <v>4.5855186129000005</v>
      </c>
      <c r="N26" s="405">
        <v>3.4248264532499997</v>
      </c>
      <c r="O26" s="402">
        <v>0.41149688665449996</v>
      </c>
      <c r="P26" s="402">
        <v>0.74919532136190004</v>
      </c>
      <c r="Q26" s="432">
        <v>0.27980245999999998</v>
      </c>
      <c r="R26" s="402">
        <v>0.23734189</v>
      </c>
      <c r="S26" s="403">
        <v>1.9580712510000001E-2</v>
      </c>
      <c r="T26" s="403">
        <v>2.2879858459999999E-2</v>
      </c>
      <c r="U26" s="681" t="s">
        <v>942</v>
      </c>
      <c r="V26" s="682" t="s">
        <v>955</v>
      </c>
      <c r="W26" s="46"/>
      <c r="X26" s="701"/>
      <c r="Y26" s="701"/>
    </row>
    <row r="27" spans="1:25" s="47" customFormat="1" ht="15" customHeight="1">
      <c r="A27" s="48">
        <f t="shared" si="0"/>
        <v>62.009999999999977</v>
      </c>
      <c r="B27" s="673" t="s">
        <v>954</v>
      </c>
      <c r="C27" s="674" t="s">
        <v>944</v>
      </c>
      <c r="D27" s="675" t="s">
        <v>947</v>
      </c>
      <c r="E27" s="431">
        <v>149.81664000000001</v>
      </c>
      <c r="F27" s="408">
        <v>104.35856</v>
      </c>
      <c r="G27" s="411">
        <v>16.37193048</v>
      </c>
      <c r="H27" s="411">
        <v>29.086150069999999</v>
      </c>
      <c r="I27" s="433">
        <v>2.3626049</v>
      </c>
      <c r="J27" s="405">
        <v>1.5839745999999999</v>
      </c>
      <c r="K27" s="402">
        <v>0.25625270093000002</v>
      </c>
      <c r="L27" s="402">
        <v>0.52237761420000006</v>
      </c>
      <c r="M27" s="433">
        <v>2.3351179508</v>
      </c>
      <c r="N27" s="405">
        <v>1.5802142164399999</v>
      </c>
      <c r="O27" s="402">
        <v>0.24693304245512002</v>
      </c>
      <c r="P27" s="402">
        <v>0.50797070713460002</v>
      </c>
      <c r="Q27" s="432">
        <v>0.13721231</v>
      </c>
      <c r="R27" s="402">
        <v>0.10912632</v>
      </c>
      <c r="S27" s="403">
        <v>1.1397892449999999E-2</v>
      </c>
      <c r="T27" s="403">
        <v>1.6688095030000002E-2</v>
      </c>
      <c r="U27" s="681" t="s">
        <v>942</v>
      </c>
      <c r="V27" s="682" t="s">
        <v>953</v>
      </c>
      <c r="W27" s="46"/>
      <c r="X27" s="701"/>
      <c r="Y27" s="701"/>
    </row>
    <row r="28" spans="1:25" s="47" customFormat="1" ht="15" customHeight="1">
      <c r="A28" s="48">
        <f t="shared" si="0"/>
        <v>62.010999999999974</v>
      </c>
      <c r="B28" s="673" t="s">
        <v>952</v>
      </c>
      <c r="C28" s="674" t="s">
        <v>944</v>
      </c>
      <c r="D28" s="675" t="s">
        <v>947</v>
      </c>
      <c r="E28" s="431">
        <v>785.74013000000002</v>
      </c>
      <c r="F28" s="408">
        <v>773.05578000000003</v>
      </c>
      <c r="G28" s="424">
        <v>2.5898395000000001</v>
      </c>
      <c r="H28" s="411">
        <v>10.094514152210001</v>
      </c>
      <c r="I28" s="430">
        <v>16.391528999999998</v>
      </c>
      <c r="J28" s="406">
        <v>16.105253000000001</v>
      </c>
      <c r="K28" s="403">
        <v>4.4838663000000001E-2</v>
      </c>
      <c r="L28" s="402">
        <v>0.24143694452</v>
      </c>
      <c r="M28" s="430">
        <v>16.331640451399998</v>
      </c>
      <c r="N28" s="406">
        <v>16.069692637900001</v>
      </c>
      <c r="O28" s="403">
        <v>4.1361900290000003E-2</v>
      </c>
      <c r="P28" s="402">
        <v>0.2205855210723365</v>
      </c>
      <c r="Q28" s="429">
        <v>1.1006935</v>
      </c>
      <c r="R28" s="405">
        <v>1.0902444</v>
      </c>
      <c r="S28" s="423">
        <v>2.6156328E-3</v>
      </c>
      <c r="T28" s="423">
        <v>7.8334482386599995E-3</v>
      </c>
      <c r="U28" s="681" t="s">
        <v>942</v>
      </c>
      <c r="V28" s="682" t="s">
        <v>951</v>
      </c>
      <c r="W28" s="46"/>
      <c r="X28" s="701"/>
      <c r="Y28" s="701"/>
    </row>
    <row r="29" spans="1:25" s="47" customFormat="1" ht="15" customHeight="1">
      <c r="A29" s="48">
        <f t="shared" si="0"/>
        <v>62.011999999999972</v>
      </c>
      <c r="B29" s="673" t="s">
        <v>950</v>
      </c>
      <c r="C29" s="674" t="s">
        <v>944</v>
      </c>
      <c r="D29" s="675" t="s">
        <v>947</v>
      </c>
      <c r="E29" s="431">
        <v>1549.9</v>
      </c>
      <c r="F29" s="408">
        <v>1180.2094999999999</v>
      </c>
      <c r="G29" s="424">
        <v>2.3914534999999999</v>
      </c>
      <c r="H29" s="408">
        <v>367.29900268800003</v>
      </c>
      <c r="I29" s="430">
        <v>33.377766999999999</v>
      </c>
      <c r="J29" s="406">
        <v>24.573689000000002</v>
      </c>
      <c r="K29" s="403">
        <v>4.1448800000000001E-2</v>
      </c>
      <c r="L29" s="405">
        <v>8.7626294440300008</v>
      </c>
      <c r="M29" s="430">
        <v>32.493409289999995</v>
      </c>
      <c r="N29" s="406">
        <v>24.519725924100001</v>
      </c>
      <c r="O29" s="403">
        <v>3.8679063999999999E-2</v>
      </c>
      <c r="P29" s="405">
        <v>7.9350045396940914</v>
      </c>
      <c r="Q29" s="429">
        <v>1.9454459</v>
      </c>
      <c r="R29" s="405">
        <v>1.6600782999999999</v>
      </c>
      <c r="S29" s="423">
        <v>2.3939751E-3</v>
      </c>
      <c r="T29" s="402">
        <v>0.28297364601800001</v>
      </c>
      <c r="U29" s="681" t="s">
        <v>942</v>
      </c>
      <c r="V29" s="682" t="s">
        <v>949</v>
      </c>
      <c r="W29" s="46"/>
      <c r="X29" s="701"/>
      <c r="Y29" s="701"/>
    </row>
    <row r="30" spans="1:25" s="47" customFormat="1" ht="15" customHeight="1">
      <c r="A30" s="48">
        <f t="shared" si="0"/>
        <v>62.01299999999997</v>
      </c>
      <c r="B30" s="673" t="s">
        <v>948</v>
      </c>
      <c r="C30" s="674" t="s">
        <v>944</v>
      </c>
      <c r="D30" s="675" t="s">
        <v>947</v>
      </c>
      <c r="E30" s="431">
        <v>762.33010000000002</v>
      </c>
      <c r="F30" s="408">
        <v>749.94361000000004</v>
      </c>
      <c r="G30" s="424">
        <v>2.0150771000000001</v>
      </c>
      <c r="H30" s="411">
        <v>10.371420990680001</v>
      </c>
      <c r="I30" s="430">
        <v>15.906787</v>
      </c>
      <c r="J30" s="406">
        <v>15.623528</v>
      </c>
      <c r="K30" s="403">
        <v>3.5199381000000002E-2</v>
      </c>
      <c r="L30" s="402">
        <v>0.24805990315100002</v>
      </c>
      <c r="M30" s="430">
        <v>15.8482192343</v>
      </c>
      <c r="N30" s="406">
        <v>15.589031286600001</v>
      </c>
      <c r="O30" s="403">
        <v>3.2551736920000005E-2</v>
      </c>
      <c r="P30" s="402">
        <v>0.22663649527480101</v>
      </c>
      <c r="Q30" s="429">
        <v>1.0677595</v>
      </c>
      <c r="R30" s="405">
        <v>1.0576478</v>
      </c>
      <c r="S30" s="423">
        <v>2.0634157000000001E-3</v>
      </c>
      <c r="T30" s="423">
        <v>8.0483309131799997E-3</v>
      </c>
      <c r="U30" s="681" t="s">
        <v>942</v>
      </c>
      <c r="V30" s="682" t="s">
        <v>946</v>
      </c>
      <c r="W30" s="46"/>
      <c r="X30" s="701"/>
      <c r="Y30" s="701"/>
    </row>
    <row r="31" spans="1:25" s="47" customFormat="1" ht="15" customHeight="1">
      <c r="A31" s="38">
        <v>63</v>
      </c>
      <c r="B31" s="664" t="s">
        <v>941</v>
      </c>
      <c r="C31" s="695"/>
      <c r="D31" s="696" t="s">
        <v>42</v>
      </c>
      <c r="E31" s="702" t="s">
        <v>42</v>
      </c>
      <c r="F31" s="702" t="s">
        <v>42</v>
      </c>
      <c r="G31" s="702" t="s">
        <v>42</v>
      </c>
      <c r="H31" s="702" t="s">
        <v>42</v>
      </c>
      <c r="I31" s="698"/>
      <c r="J31" s="679"/>
      <c r="K31" s="679"/>
      <c r="L31" s="679"/>
      <c r="M31" s="698"/>
      <c r="N31" s="679"/>
      <c r="O31" s="679"/>
      <c r="P31" s="679"/>
      <c r="Q31" s="699"/>
      <c r="R31" s="679"/>
      <c r="S31" s="679"/>
      <c r="T31" s="679"/>
      <c r="U31" s="700"/>
      <c r="V31" s="703" t="s">
        <v>940</v>
      </c>
      <c r="W31" s="46"/>
      <c r="X31" s="701"/>
      <c r="Y31" s="701"/>
    </row>
    <row r="32" spans="1:25" s="47" customFormat="1" ht="15" customHeight="1">
      <c r="A32" s="48">
        <f t="shared" si="0"/>
        <v>63.000999999999998</v>
      </c>
      <c r="B32" s="704" t="s">
        <v>939</v>
      </c>
      <c r="C32" s="674" t="s">
        <v>944</v>
      </c>
      <c r="D32" s="675" t="s">
        <v>943</v>
      </c>
      <c r="E32" s="683">
        <v>27.681844000000002</v>
      </c>
      <c r="F32" s="411">
        <v>15.828727000000001</v>
      </c>
      <c r="G32" s="424">
        <v>1.1196065499999999</v>
      </c>
      <c r="H32" s="411">
        <v>10.733510410000001</v>
      </c>
      <c r="I32" s="54">
        <v>0.63288427000000003</v>
      </c>
      <c r="J32" s="402">
        <v>0.49472360999999998</v>
      </c>
      <c r="K32" s="403">
        <v>1.5030792252E-2</v>
      </c>
      <c r="L32" s="402">
        <v>0.12312985900000001</v>
      </c>
      <c r="M32" s="54">
        <v>0.41106264259000003</v>
      </c>
      <c r="N32" s="402">
        <v>0.28484512300299997</v>
      </c>
      <c r="O32" s="403">
        <v>1.34255388037255E-2</v>
      </c>
      <c r="P32" s="402">
        <v>0.11279197020430001</v>
      </c>
      <c r="Q32" s="705">
        <v>7.1098356000000003E-3</v>
      </c>
      <c r="R32" s="428">
        <v>9.7968508999999996E-4</v>
      </c>
      <c r="S32" s="428">
        <v>7.1553461920000007E-4</v>
      </c>
      <c r="T32" s="423">
        <v>5.4146158199999996E-3</v>
      </c>
      <c r="U32" s="681" t="s">
        <v>942</v>
      </c>
      <c r="V32" s="682" t="s">
        <v>938</v>
      </c>
      <c r="W32" s="46"/>
      <c r="X32" s="701"/>
      <c r="Y32" s="701"/>
    </row>
    <row r="33" spans="1:30" s="94" customFormat="1" ht="15" customHeight="1">
      <c r="A33" s="48">
        <f t="shared" si="0"/>
        <v>63.001999999999995</v>
      </c>
      <c r="B33" s="704" t="s">
        <v>937</v>
      </c>
      <c r="C33" s="706" t="s">
        <v>944</v>
      </c>
      <c r="D33" s="707" t="s">
        <v>943</v>
      </c>
      <c r="E33" s="683">
        <v>53.539366000000001</v>
      </c>
      <c r="F33" s="411">
        <v>39.056671000000001</v>
      </c>
      <c r="G33" s="424">
        <v>2.3255617400000004</v>
      </c>
      <c r="H33" s="411">
        <v>12.157132799999999</v>
      </c>
      <c r="I33" s="66">
        <v>1.0881620999999999</v>
      </c>
      <c r="J33" s="413">
        <v>0.96574397000000001</v>
      </c>
      <c r="K33" s="412">
        <v>2.5906933566E-2</v>
      </c>
      <c r="L33" s="412">
        <v>9.6511193500000009E-2</v>
      </c>
      <c r="M33" s="66">
        <v>1.038166328</v>
      </c>
      <c r="N33" s="413">
        <v>0.92053111200000004</v>
      </c>
      <c r="O33" s="412">
        <v>2.4302944365793999E-2</v>
      </c>
      <c r="P33" s="412">
        <v>9.3332268642700014E-2</v>
      </c>
      <c r="Q33" s="680">
        <v>6.3680888000000005E-2</v>
      </c>
      <c r="R33" s="412">
        <v>5.5170827999999998E-2</v>
      </c>
      <c r="S33" s="425">
        <v>1.4112745688000001E-3</v>
      </c>
      <c r="T33" s="425">
        <v>7.0987849900000007E-3</v>
      </c>
      <c r="U33" s="681" t="s">
        <v>942</v>
      </c>
      <c r="V33" s="708" t="s">
        <v>937</v>
      </c>
      <c r="W33" s="709"/>
      <c r="X33" s="701"/>
      <c r="Y33" s="701"/>
      <c r="Z33" s="47"/>
      <c r="AA33" s="47"/>
      <c r="AB33" s="47"/>
      <c r="AD33" s="47"/>
    </row>
    <row r="34" spans="1:30" s="47" customFormat="1" ht="15" customHeight="1">
      <c r="A34" s="48">
        <f t="shared" si="0"/>
        <v>63.002999999999993</v>
      </c>
      <c r="B34" s="704" t="s">
        <v>936</v>
      </c>
      <c r="C34" s="674" t="s">
        <v>944</v>
      </c>
      <c r="D34" s="675" t="s">
        <v>943</v>
      </c>
      <c r="E34" s="676">
        <v>114.82835</v>
      </c>
      <c r="F34" s="411">
        <v>98.437185999999997</v>
      </c>
      <c r="G34" s="424">
        <v>6.7335684100000002</v>
      </c>
      <c r="H34" s="424">
        <v>9.6575989880000002</v>
      </c>
      <c r="I34" s="66">
        <v>1.6731806</v>
      </c>
      <c r="J34" s="405">
        <v>1.3803642</v>
      </c>
      <c r="K34" s="402">
        <v>0.113600263519</v>
      </c>
      <c r="L34" s="402">
        <v>0.17921620062999999</v>
      </c>
      <c r="M34" s="66">
        <v>1.6509582109700001</v>
      </c>
      <c r="N34" s="405">
        <v>1.37708719109</v>
      </c>
      <c r="O34" s="402">
        <v>0.10209779446801001</v>
      </c>
      <c r="P34" s="402">
        <v>0.17177328950259999</v>
      </c>
      <c r="Q34" s="710">
        <v>0.10439277</v>
      </c>
      <c r="R34" s="403">
        <v>9.4868216000000005E-2</v>
      </c>
      <c r="S34" s="423">
        <v>4.2106571369999995E-3</v>
      </c>
      <c r="T34" s="423">
        <v>5.3138941469999994E-3</v>
      </c>
      <c r="U34" s="681" t="s">
        <v>942</v>
      </c>
      <c r="V34" s="682" t="s">
        <v>935</v>
      </c>
      <c r="W34" s="46"/>
      <c r="X34" s="701"/>
      <c r="Y34" s="701"/>
    </row>
    <row r="35" spans="1:30" s="47" customFormat="1" ht="15" customHeight="1">
      <c r="A35" s="48">
        <f t="shared" si="0"/>
        <v>63.003999999999991</v>
      </c>
      <c r="B35" s="704" t="s">
        <v>934</v>
      </c>
      <c r="C35" s="674" t="s">
        <v>944</v>
      </c>
      <c r="D35" s="675" t="s">
        <v>943</v>
      </c>
      <c r="E35" s="683">
        <v>90.216222000000002</v>
      </c>
      <c r="F35" s="411">
        <v>87.841080000000005</v>
      </c>
      <c r="G35" s="427">
        <v>0.48714084000000002</v>
      </c>
      <c r="H35" s="424">
        <v>1.8880014003500001</v>
      </c>
      <c r="I35" s="66">
        <v>1.8836120999999999</v>
      </c>
      <c r="J35" s="405">
        <v>1.8300141999999999</v>
      </c>
      <c r="K35" s="423">
        <v>8.4413171999999995E-3</v>
      </c>
      <c r="L35" s="403">
        <v>4.5156535263400001E-2</v>
      </c>
      <c r="M35" s="66">
        <v>1.8750290223999999</v>
      </c>
      <c r="N35" s="405">
        <v>1.82597353283</v>
      </c>
      <c r="O35" s="423">
        <v>7.798798903999999E-3</v>
      </c>
      <c r="P35" s="402">
        <v>4.1256643095869058E-2</v>
      </c>
      <c r="Q35" s="710">
        <v>0.12583937000000001</v>
      </c>
      <c r="R35" s="402">
        <v>0.12388217999999999</v>
      </c>
      <c r="S35" s="428">
        <v>4.9208536000000004E-4</v>
      </c>
      <c r="T35" s="423">
        <v>1.4651087341149998E-3</v>
      </c>
      <c r="U35" s="681" t="s">
        <v>942</v>
      </c>
      <c r="V35" s="682" t="s">
        <v>933</v>
      </c>
      <c r="W35" s="46"/>
      <c r="X35" s="701"/>
      <c r="Y35" s="701"/>
    </row>
    <row r="36" spans="1:30" s="94" customFormat="1" ht="15" customHeight="1">
      <c r="A36" s="48">
        <f t="shared" si="0"/>
        <v>63.004999999999988</v>
      </c>
      <c r="B36" s="704" t="s">
        <v>932</v>
      </c>
      <c r="C36" s="706" t="s">
        <v>944</v>
      </c>
      <c r="D36" s="707" t="s">
        <v>943</v>
      </c>
      <c r="E36" s="676">
        <v>155.26489000000001</v>
      </c>
      <c r="F36" s="408">
        <v>118.01871</v>
      </c>
      <c r="G36" s="427">
        <v>0.57155634</v>
      </c>
      <c r="H36" s="411">
        <v>36.674625483799993</v>
      </c>
      <c r="I36" s="66">
        <v>3.3435717</v>
      </c>
      <c r="J36" s="415">
        <v>2.4573689000000001</v>
      </c>
      <c r="K36" s="425">
        <v>9.9400323000000002E-3</v>
      </c>
      <c r="L36" s="413">
        <v>0.87626283840300001</v>
      </c>
      <c r="M36" s="66">
        <v>3.2547487009</v>
      </c>
      <c r="N36" s="415">
        <v>2.4519725933100003</v>
      </c>
      <c r="O36" s="425">
        <v>9.2758093130000004E-3</v>
      </c>
      <c r="P36" s="413">
        <v>0.79350036876947905</v>
      </c>
      <c r="Q36" s="710">
        <v>0.19487942999999999</v>
      </c>
      <c r="R36" s="413">
        <v>0.16600783</v>
      </c>
      <c r="S36" s="426">
        <v>5.7411498999999997E-4</v>
      </c>
      <c r="T36" s="412">
        <v>2.8297486702200003E-2</v>
      </c>
      <c r="U36" s="681" t="s">
        <v>942</v>
      </c>
      <c r="V36" s="708" t="s">
        <v>931</v>
      </c>
      <c r="W36" s="709"/>
      <c r="X36" s="701"/>
      <c r="Y36" s="701"/>
      <c r="Z36" s="47"/>
      <c r="AA36" s="47"/>
      <c r="AB36" s="47"/>
      <c r="AD36" s="47"/>
    </row>
    <row r="37" spans="1:30" s="94" customFormat="1" ht="15" customHeight="1">
      <c r="A37" s="48">
        <f t="shared" si="0"/>
        <v>63.005999999999986</v>
      </c>
      <c r="B37" s="704" t="s">
        <v>945</v>
      </c>
      <c r="C37" s="706" t="s">
        <v>944</v>
      </c>
      <c r="D37" s="707" t="s">
        <v>943</v>
      </c>
      <c r="E37" s="683">
        <v>77.371449999999996</v>
      </c>
      <c r="F37" s="411">
        <v>74.994360999999998</v>
      </c>
      <c r="G37" s="427">
        <v>0.19959466000000001</v>
      </c>
      <c r="H37" s="424">
        <v>2.1774949203099996</v>
      </c>
      <c r="I37" s="66">
        <v>1.6179197999999999</v>
      </c>
      <c r="J37" s="415">
        <v>1.5623528</v>
      </c>
      <c r="K37" s="425">
        <v>3.4865209999999998E-3</v>
      </c>
      <c r="L37" s="412">
        <v>5.2080537396300003E-2</v>
      </c>
      <c r="M37" s="66">
        <v>1.6097100021999999</v>
      </c>
      <c r="N37" s="415">
        <v>1.5589031286599999</v>
      </c>
      <c r="O37" s="425">
        <v>3.2242701712999998E-3</v>
      </c>
      <c r="P37" s="412">
        <v>4.7582661759831696E-2</v>
      </c>
      <c r="Q37" s="710">
        <v>0.10765892000000001</v>
      </c>
      <c r="R37" s="413">
        <v>0.10576478</v>
      </c>
      <c r="S37" s="426">
        <v>2.0438263E-4</v>
      </c>
      <c r="T37" s="425">
        <v>1.68975877975E-3</v>
      </c>
      <c r="U37" s="681" t="s">
        <v>942</v>
      </c>
      <c r="V37" s="708" t="s">
        <v>929</v>
      </c>
      <c r="W37" s="709"/>
      <c r="X37" s="701"/>
      <c r="Y37" s="701"/>
      <c r="Z37" s="47"/>
      <c r="AA37" s="47"/>
      <c r="AB37" s="47"/>
      <c r="AD37" s="47"/>
    </row>
    <row r="38" spans="1:30" s="94" customFormat="1" ht="15" customHeight="1">
      <c r="A38" s="48">
        <f t="shared" si="0"/>
        <v>63.006999999999984</v>
      </c>
      <c r="B38" s="704" t="s">
        <v>928</v>
      </c>
      <c r="C38" s="706" t="s">
        <v>944</v>
      </c>
      <c r="D38" s="707" t="s">
        <v>943</v>
      </c>
      <c r="E38" s="676">
        <v>197.10664508299999</v>
      </c>
      <c r="F38" s="408">
        <v>142.28766999999999</v>
      </c>
      <c r="G38" s="411">
        <v>32.8308672</v>
      </c>
      <c r="H38" s="411">
        <v>21.988107883000001</v>
      </c>
      <c r="I38" s="66">
        <v>3.34291898705</v>
      </c>
      <c r="J38" s="415">
        <v>2.4052338999999998</v>
      </c>
      <c r="K38" s="413">
        <v>0.45800782299999998</v>
      </c>
      <c r="L38" s="413">
        <v>0.47967726405000005</v>
      </c>
      <c r="M38" s="66">
        <v>3.26410785164637</v>
      </c>
      <c r="N38" s="415">
        <v>2.39836337809</v>
      </c>
      <c r="O38" s="413">
        <v>0.43603885600100001</v>
      </c>
      <c r="P38" s="413">
        <v>0.42970561755537007</v>
      </c>
      <c r="Q38" s="710">
        <v>0.19748337759699999</v>
      </c>
      <c r="R38" s="413">
        <v>0.16550865000000001</v>
      </c>
      <c r="S38" s="412">
        <v>2.2696872799999997E-2</v>
      </c>
      <c r="T38" s="425">
        <v>9.2778547969999993E-3</v>
      </c>
      <c r="U38" s="681" t="s">
        <v>942</v>
      </c>
      <c r="V38" s="708" t="s">
        <v>927</v>
      </c>
      <c r="W38" s="709"/>
      <c r="X38" s="701"/>
      <c r="Y38" s="701"/>
      <c r="Z38" s="47"/>
      <c r="AA38" s="47"/>
      <c r="AB38" s="47"/>
      <c r="AD38" s="47"/>
    </row>
    <row r="39" spans="1:30" s="94" customFormat="1" ht="15" customHeight="1">
      <c r="A39" s="48">
        <f t="shared" si="0"/>
        <v>63.007999999999981</v>
      </c>
      <c r="B39" s="704" t="s">
        <v>926</v>
      </c>
      <c r="C39" s="706" t="s">
        <v>944</v>
      </c>
      <c r="D39" s="707" t="s">
        <v>943</v>
      </c>
      <c r="E39" s="676">
        <v>206.65094508300001</v>
      </c>
      <c r="F39" s="408">
        <v>151.83197000000001</v>
      </c>
      <c r="G39" s="411">
        <v>32.8308672</v>
      </c>
      <c r="H39" s="411">
        <v>21.988107883000001</v>
      </c>
      <c r="I39" s="66">
        <v>3.4006639870500002</v>
      </c>
      <c r="J39" s="415">
        <v>2.4629789</v>
      </c>
      <c r="K39" s="413">
        <v>0.45800782299999998</v>
      </c>
      <c r="L39" s="413">
        <v>0.47967726405000005</v>
      </c>
      <c r="M39" s="66">
        <v>3.3214847134463601</v>
      </c>
      <c r="N39" s="415">
        <v>2.45574024089</v>
      </c>
      <c r="O39" s="413">
        <v>0.43603885500099998</v>
      </c>
      <c r="P39" s="413">
        <v>0.42970561755536008</v>
      </c>
      <c r="Q39" s="710">
        <v>0.20139764759699999</v>
      </c>
      <c r="R39" s="413">
        <v>0.16942292</v>
      </c>
      <c r="S39" s="412">
        <v>2.2696872799999997E-2</v>
      </c>
      <c r="T39" s="425">
        <v>9.2778547969999993E-3</v>
      </c>
      <c r="U39" s="681" t="s">
        <v>942</v>
      </c>
      <c r="V39" s="708" t="s">
        <v>925</v>
      </c>
      <c r="W39" s="709"/>
      <c r="X39" s="701"/>
      <c r="Y39" s="701"/>
      <c r="Z39" s="47"/>
      <c r="AA39" s="47"/>
      <c r="AB39" s="47"/>
      <c r="AD39" s="47"/>
    </row>
    <row r="40" spans="1:30" s="94" customFormat="1" ht="15" customHeight="1">
      <c r="A40" s="48">
        <f t="shared" si="0"/>
        <v>63.008999999999979</v>
      </c>
      <c r="B40" s="704" t="s">
        <v>924</v>
      </c>
      <c r="C40" s="706" t="s">
        <v>944</v>
      </c>
      <c r="D40" s="707" t="s">
        <v>943</v>
      </c>
      <c r="E40" s="676">
        <v>149.174700083</v>
      </c>
      <c r="F40" s="411">
        <v>94.355725000000007</v>
      </c>
      <c r="G40" s="411">
        <v>32.8308672</v>
      </c>
      <c r="H40" s="411">
        <v>21.988107883000001</v>
      </c>
      <c r="I40" s="66">
        <v>3.0527447870500004</v>
      </c>
      <c r="J40" s="415">
        <v>2.1150597000000002</v>
      </c>
      <c r="K40" s="413">
        <v>0.45800782299999998</v>
      </c>
      <c r="L40" s="413">
        <v>0.47967726405000005</v>
      </c>
      <c r="M40" s="66">
        <v>2.9757829844563606</v>
      </c>
      <c r="N40" s="415">
        <v>2.1100385109000004</v>
      </c>
      <c r="O40" s="413">
        <v>0.43603885600100001</v>
      </c>
      <c r="P40" s="413">
        <v>0.42970561755536008</v>
      </c>
      <c r="Q40" s="710">
        <v>0.17782270759699997</v>
      </c>
      <c r="R40" s="413">
        <v>0.14584797999999999</v>
      </c>
      <c r="S40" s="412">
        <v>2.2696872799999997E-2</v>
      </c>
      <c r="T40" s="425">
        <v>9.2778547969999993E-3</v>
      </c>
      <c r="U40" s="681" t="s">
        <v>942</v>
      </c>
      <c r="V40" s="708" t="s">
        <v>923</v>
      </c>
      <c r="W40" s="709"/>
      <c r="X40" s="701"/>
      <c r="Y40" s="701"/>
      <c r="Z40" s="47"/>
      <c r="AA40" s="47"/>
      <c r="AB40" s="47"/>
      <c r="AD40" s="47"/>
    </row>
    <row r="41" spans="1:30" s="47" customFormat="1" ht="15" customHeight="1">
      <c r="A41" s="48">
        <f t="shared" si="0"/>
        <v>63.009999999999977</v>
      </c>
      <c r="B41" s="704" t="s">
        <v>922</v>
      </c>
      <c r="C41" s="674" t="s">
        <v>944</v>
      </c>
      <c r="D41" s="675" t="s">
        <v>943</v>
      </c>
      <c r="E41" s="683">
        <v>51.734234999999998</v>
      </c>
      <c r="F41" s="411">
        <v>33.501125999999999</v>
      </c>
      <c r="G41" s="424">
        <v>3.2194361099999997</v>
      </c>
      <c r="H41" s="411">
        <v>15.013672800000002</v>
      </c>
      <c r="I41" s="66">
        <v>1.2837523</v>
      </c>
      <c r="J41" s="405">
        <v>1.0840266999999999</v>
      </c>
      <c r="K41" s="403">
        <v>2.7495685083999997E-2</v>
      </c>
      <c r="L41" s="402">
        <v>0.17222989999999999</v>
      </c>
      <c r="M41" s="54">
        <v>0.80491896368000004</v>
      </c>
      <c r="N41" s="402">
        <v>0.62414589642999996</v>
      </c>
      <c r="O41" s="403">
        <v>2.3003437154711995E-2</v>
      </c>
      <c r="P41" s="402">
        <v>0.1577696093572</v>
      </c>
      <c r="Q41" s="680">
        <v>1.0926962E-2</v>
      </c>
      <c r="R41" s="423">
        <v>2.1466629E-3</v>
      </c>
      <c r="S41" s="423">
        <v>1.2065168055E-3</v>
      </c>
      <c r="T41" s="423">
        <v>7.5737822900000008E-3</v>
      </c>
      <c r="U41" s="681" t="s">
        <v>942</v>
      </c>
      <c r="V41" s="682" t="s">
        <v>921</v>
      </c>
      <c r="W41" s="46"/>
      <c r="X41" s="701"/>
      <c r="Y41" s="701"/>
    </row>
    <row r="42" spans="1:30" s="47" customFormat="1" ht="15" customHeight="1">
      <c r="A42" s="48">
        <f t="shared" si="0"/>
        <v>63.010999999999974</v>
      </c>
      <c r="B42" s="704" t="s">
        <v>920</v>
      </c>
      <c r="C42" s="674" t="s">
        <v>944</v>
      </c>
      <c r="D42" s="675" t="s">
        <v>943</v>
      </c>
      <c r="E42" s="683">
        <v>57.367975000000001</v>
      </c>
      <c r="F42" s="411">
        <v>46.228461000000003</v>
      </c>
      <c r="G42" s="424">
        <v>4.5132882100000007</v>
      </c>
      <c r="H42" s="424">
        <v>6.6262256960000006</v>
      </c>
      <c r="I42" s="54">
        <v>0.86276713000000005</v>
      </c>
      <c r="J42" s="402">
        <v>0.66427168000000003</v>
      </c>
      <c r="K42" s="403">
        <v>7.5745873519000015E-2</v>
      </c>
      <c r="L42" s="402">
        <v>0.12274957198000001</v>
      </c>
      <c r="M42" s="54">
        <v>0.84851304013000006</v>
      </c>
      <c r="N42" s="402">
        <v>0.66269468729000003</v>
      </c>
      <c r="O42" s="403">
        <v>6.8077104669010013E-2</v>
      </c>
      <c r="P42" s="402">
        <v>0.11774124414387001</v>
      </c>
      <c r="Q42" s="680">
        <v>5.2194741000000003E-2</v>
      </c>
      <c r="R42" s="403">
        <v>4.5700224999999997E-2</v>
      </c>
      <c r="S42" s="423">
        <v>2.8401712469999997E-3</v>
      </c>
      <c r="T42" s="423">
        <v>3.6543449380000001E-3</v>
      </c>
      <c r="U42" s="681" t="s">
        <v>942</v>
      </c>
      <c r="V42" s="682" t="s">
        <v>919</v>
      </c>
      <c r="W42" s="46"/>
      <c r="X42" s="701"/>
      <c r="Y42" s="701"/>
    </row>
    <row r="43" spans="1:30" s="47" customFormat="1" ht="15" customHeight="1">
      <c r="A43" s="48">
        <f t="shared" si="0"/>
        <v>63.011999999999972</v>
      </c>
      <c r="B43" s="704" t="s">
        <v>918</v>
      </c>
      <c r="C43" s="674" t="s">
        <v>944</v>
      </c>
      <c r="D43" s="675" t="s">
        <v>943</v>
      </c>
      <c r="E43" s="683">
        <v>60.091247000000003</v>
      </c>
      <c r="F43" s="411">
        <v>35.516590999999998</v>
      </c>
      <c r="G43" s="424">
        <v>4.3285533299999992</v>
      </c>
      <c r="H43" s="411">
        <v>20.246101680000002</v>
      </c>
      <c r="I43" s="66">
        <v>1.1866287</v>
      </c>
      <c r="J43" s="402">
        <v>0.88781387</v>
      </c>
      <c r="K43" s="403">
        <v>6.1221472556000002E-2</v>
      </c>
      <c r="L43" s="402">
        <v>0.23759333200000002</v>
      </c>
      <c r="M43" s="66">
        <v>1.0437518222</v>
      </c>
      <c r="N43" s="402">
        <v>0.76679979269999998</v>
      </c>
      <c r="O43" s="403">
        <v>5.5902537892470003E-2</v>
      </c>
      <c r="P43" s="402">
        <v>0.22104946764689001</v>
      </c>
      <c r="Q43" s="680">
        <v>2.6493237999999999E-2</v>
      </c>
      <c r="R43" s="403">
        <v>1.1770195000000001E-2</v>
      </c>
      <c r="S43" s="423">
        <v>2.1804637109999999E-3</v>
      </c>
      <c r="T43" s="403">
        <v>1.2542579249999998E-2</v>
      </c>
      <c r="U43" s="681" t="s">
        <v>942</v>
      </c>
      <c r="V43" s="682" t="s">
        <v>918</v>
      </c>
      <c r="W43" s="46"/>
      <c r="X43" s="701"/>
      <c r="Y43" s="701"/>
    </row>
    <row r="44" spans="1:30" s="47" customFormat="1" ht="15" customHeight="1">
      <c r="A44" s="48">
        <f t="shared" si="0"/>
        <v>63.01299999999997</v>
      </c>
      <c r="B44" s="704" t="s">
        <v>914</v>
      </c>
      <c r="C44" s="674" t="s">
        <v>944</v>
      </c>
      <c r="D44" s="675" t="s">
        <v>943</v>
      </c>
      <c r="E44" s="683">
        <v>61.361271000000002</v>
      </c>
      <c r="F44" s="411">
        <v>45.530544999999996</v>
      </c>
      <c r="G44" s="424">
        <v>4.7417504470000003</v>
      </c>
      <c r="H44" s="411">
        <v>11.088976384</v>
      </c>
      <c r="I44" s="66">
        <v>1.4426726000000001</v>
      </c>
      <c r="J44" s="405">
        <v>1.1574462000000001</v>
      </c>
      <c r="K44" s="403">
        <v>7.9996825474999991E-2</v>
      </c>
      <c r="L44" s="402">
        <v>0.20522958664000002</v>
      </c>
      <c r="M44" s="66">
        <v>1.2685130046000002</v>
      </c>
      <c r="N44" s="405">
        <v>0.99967970090000002</v>
      </c>
      <c r="O44" s="403">
        <v>7.189683545041399E-2</v>
      </c>
      <c r="P44" s="402">
        <v>0.19693648115167001</v>
      </c>
      <c r="Q44" s="680">
        <v>2.5121244000000001E-2</v>
      </c>
      <c r="R44" s="403">
        <v>1.6033034000000002E-2</v>
      </c>
      <c r="S44" s="423">
        <v>2.9651270860000002E-3</v>
      </c>
      <c r="T44" s="423">
        <v>6.1230827800000005E-3</v>
      </c>
      <c r="U44" s="681" t="s">
        <v>942</v>
      </c>
      <c r="V44" s="682" t="s">
        <v>914</v>
      </c>
      <c r="W44" s="46"/>
      <c r="X44" s="701"/>
      <c r="Y44" s="701"/>
    </row>
    <row r="45" spans="1:30" s="47" customFormat="1" ht="15" customHeight="1">
      <c r="A45" s="38">
        <v>64</v>
      </c>
      <c r="B45" s="664" t="s">
        <v>941</v>
      </c>
      <c r="C45" s="695"/>
      <c r="D45" s="696" t="s">
        <v>42</v>
      </c>
      <c r="E45" s="702" t="s">
        <v>42</v>
      </c>
      <c r="F45" s="702" t="s">
        <v>42</v>
      </c>
      <c r="G45" s="702" t="s">
        <v>42</v>
      </c>
      <c r="H45" s="702" t="s">
        <v>42</v>
      </c>
      <c r="I45" s="698"/>
      <c r="J45" s="679"/>
      <c r="K45" s="679"/>
      <c r="L45" s="679"/>
      <c r="M45" s="698"/>
      <c r="N45" s="679"/>
      <c r="O45" s="679"/>
      <c r="P45" s="679"/>
      <c r="Q45" s="699"/>
      <c r="R45" s="679"/>
      <c r="S45" s="679"/>
      <c r="T45" s="679"/>
      <c r="U45" s="700"/>
      <c r="V45" s="703" t="s">
        <v>940</v>
      </c>
      <c r="W45" s="46"/>
      <c r="X45" s="701"/>
      <c r="Y45" s="701"/>
    </row>
    <row r="46" spans="1:30" s="47" customFormat="1" ht="15" customHeight="1">
      <c r="A46" s="48">
        <f t="shared" si="0"/>
        <v>64.001000000000005</v>
      </c>
      <c r="B46" s="704" t="s">
        <v>939</v>
      </c>
      <c r="C46" s="674" t="s">
        <v>917</v>
      </c>
      <c r="D46" s="675" t="s">
        <v>916</v>
      </c>
      <c r="E46" s="409">
        <f>ROUND(10851.282848,-2)</f>
        <v>10900</v>
      </c>
      <c r="F46" s="408">
        <f>ROUND(6204.860984,-1)</f>
        <v>6200</v>
      </c>
      <c r="G46" s="408">
        <v>438.88576759999995</v>
      </c>
      <c r="H46" s="408">
        <f>ROUND(4207.53608072,-1)</f>
        <v>4210</v>
      </c>
      <c r="I46" s="422">
        <v>248.09063384000001</v>
      </c>
      <c r="J46" s="421">
        <v>193.93165511999999</v>
      </c>
      <c r="K46" s="405">
        <v>5.8920705627840002</v>
      </c>
      <c r="L46" s="406">
        <v>48.266904728</v>
      </c>
      <c r="M46" s="422">
        <v>161.13655589528003</v>
      </c>
      <c r="N46" s="421">
        <v>111.65928821717598</v>
      </c>
      <c r="O46" s="405">
        <v>5.262811211060396</v>
      </c>
      <c r="P46" s="406">
        <v>44.214452320085599</v>
      </c>
      <c r="Q46" s="410">
        <v>2.7870555552000003</v>
      </c>
      <c r="R46" s="402">
        <v>0.38403655527999997</v>
      </c>
      <c r="S46" s="402">
        <v>0.28048957072640002</v>
      </c>
      <c r="T46" s="405">
        <v>2.12252940144</v>
      </c>
      <c r="U46" s="681" t="s">
        <v>915</v>
      </c>
      <c r="V46" s="682" t="s">
        <v>938</v>
      </c>
      <c r="W46" s="46"/>
      <c r="X46" s="701"/>
      <c r="Y46" s="701"/>
    </row>
    <row r="47" spans="1:30" s="94" customFormat="1" ht="15" customHeight="1">
      <c r="A47" s="48">
        <f t="shared" si="0"/>
        <v>64.00200000000001</v>
      </c>
      <c r="B47" s="704" t="s">
        <v>937</v>
      </c>
      <c r="C47" s="706" t="s">
        <v>917</v>
      </c>
      <c r="D47" s="707" t="s">
        <v>916</v>
      </c>
      <c r="E47" s="409">
        <f>ROUND(16543.664094,-2)</f>
        <v>16500</v>
      </c>
      <c r="F47" s="408">
        <f>ROUND(12068.511339,-2)</f>
        <v>12100</v>
      </c>
      <c r="G47" s="408">
        <v>718.59857766000016</v>
      </c>
      <c r="H47" s="408">
        <f>ROUND(3756.5540352,-1)</f>
        <v>3760</v>
      </c>
      <c r="I47" s="420">
        <v>336.2420889</v>
      </c>
      <c r="J47" s="419">
        <v>298.41488672999998</v>
      </c>
      <c r="K47" s="415">
        <v>8.0052424718940003</v>
      </c>
      <c r="L47" s="417">
        <v>29.821958791500002</v>
      </c>
      <c r="M47" s="420">
        <v>320.793395352</v>
      </c>
      <c r="N47" s="419">
        <v>284.44411360799995</v>
      </c>
      <c r="O47" s="415">
        <v>7.509609809030346</v>
      </c>
      <c r="P47" s="417">
        <v>28.839671010594301</v>
      </c>
      <c r="Q47" s="418">
        <v>19.677394392</v>
      </c>
      <c r="R47" s="415">
        <v>17.047785852000001</v>
      </c>
      <c r="S47" s="413">
        <v>0.43608384175920001</v>
      </c>
      <c r="T47" s="415">
        <v>2.1935245619100003</v>
      </c>
      <c r="U47" s="681" t="s">
        <v>915</v>
      </c>
      <c r="V47" s="708" t="s">
        <v>937</v>
      </c>
      <c r="W47" s="709"/>
      <c r="X47" s="701"/>
      <c r="Y47" s="701"/>
    </row>
    <row r="48" spans="1:30" s="47" customFormat="1" ht="15" customHeight="1">
      <c r="A48" s="48">
        <f t="shared" si="0"/>
        <v>64.003000000000014</v>
      </c>
      <c r="B48" s="704" t="s">
        <v>936</v>
      </c>
      <c r="C48" s="674" t="s">
        <v>917</v>
      </c>
      <c r="D48" s="675" t="s">
        <v>916</v>
      </c>
      <c r="E48" s="409">
        <f>ROUND(1607.5969,-1)</f>
        <v>1610</v>
      </c>
      <c r="F48" s="408">
        <f>ROUND(1378.120604,-1)</f>
        <v>1380</v>
      </c>
      <c r="G48" s="411">
        <v>94.269957739999995</v>
      </c>
      <c r="H48" s="408">
        <v>135.206385832</v>
      </c>
      <c r="I48" s="407">
        <v>23.4245284</v>
      </c>
      <c r="J48" s="406">
        <v>19.325098799999999</v>
      </c>
      <c r="K48" s="405">
        <v>1.5904036892660001</v>
      </c>
      <c r="L48" s="405">
        <v>2.5090268088199998</v>
      </c>
      <c r="M48" s="407">
        <v>23.113414953580001</v>
      </c>
      <c r="N48" s="406">
        <v>19.279220675259999</v>
      </c>
      <c r="O48" s="405">
        <v>1.4293691225521401</v>
      </c>
      <c r="P48" s="405">
        <v>2.4048260530364001</v>
      </c>
      <c r="Q48" s="410">
        <v>1.4614987799999999</v>
      </c>
      <c r="R48" s="405">
        <v>1.328155024</v>
      </c>
      <c r="S48" s="403">
        <v>5.8949199917999989E-2</v>
      </c>
      <c r="T48" s="403">
        <v>7.4394518057999987E-2</v>
      </c>
      <c r="U48" s="681" t="s">
        <v>915</v>
      </c>
      <c r="V48" s="682" t="s">
        <v>935</v>
      </c>
      <c r="W48" s="46"/>
      <c r="X48" s="701"/>
      <c r="Y48" s="701"/>
    </row>
    <row r="49" spans="1:26" s="47" customFormat="1" ht="15" customHeight="1">
      <c r="A49" s="48">
        <f t="shared" si="0"/>
        <v>64.004000000000019</v>
      </c>
      <c r="B49" s="704" t="s">
        <v>934</v>
      </c>
      <c r="C49" s="674" t="s">
        <v>917</v>
      </c>
      <c r="D49" s="675" t="s">
        <v>916</v>
      </c>
      <c r="E49" s="409">
        <f>ROUND(25188.3691824,-2)</f>
        <v>25200</v>
      </c>
      <c r="F49" s="408">
        <f>ROUND(24525.229536,-2)</f>
        <v>24500</v>
      </c>
      <c r="G49" s="408">
        <v>136.009722528</v>
      </c>
      <c r="H49" s="408">
        <v>527.12999097772001</v>
      </c>
      <c r="I49" s="422">
        <v>525.9044983199999</v>
      </c>
      <c r="J49" s="421">
        <v>510.93996463999997</v>
      </c>
      <c r="K49" s="405">
        <v>2.3568157622399997</v>
      </c>
      <c r="L49" s="406">
        <v>12.607704645541279</v>
      </c>
      <c r="M49" s="422">
        <v>523.50810305407992</v>
      </c>
      <c r="N49" s="421">
        <v>509.81181036613594</v>
      </c>
      <c r="O49" s="405">
        <v>2.1774246539967996</v>
      </c>
      <c r="P49" s="406">
        <v>11.518854752366641</v>
      </c>
      <c r="Q49" s="407">
        <v>35.134352104000001</v>
      </c>
      <c r="R49" s="406">
        <v>34.587904655999999</v>
      </c>
      <c r="S49" s="402">
        <v>0.137390232512</v>
      </c>
      <c r="T49" s="402">
        <v>0.40905835856490791</v>
      </c>
      <c r="U49" s="681" t="s">
        <v>915</v>
      </c>
      <c r="V49" s="682" t="s">
        <v>933</v>
      </c>
      <c r="W49" s="46"/>
      <c r="X49" s="701"/>
      <c r="Y49" s="701"/>
    </row>
    <row r="50" spans="1:26" s="94" customFormat="1" ht="15" customHeight="1">
      <c r="A50" s="48">
        <f t="shared" si="0"/>
        <v>64.005000000000024</v>
      </c>
      <c r="B50" s="704" t="s">
        <v>932</v>
      </c>
      <c r="C50" s="706" t="s">
        <v>917</v>
      </c>
      <c r="D50" s="707" t="s">
        <v>916</v>
      </c>
      <c r="E50" s="409">
        <f>ROUND(10092.21785,-2)</f>
        <v>10100</v>
      </c>
      <c r="F50" s="408">
        <f>ROUND(7671.21615,-1)</f>
        <v>7670</v>
      </c>
      <c r="G50" s="411">
        <v>37.151162100000001</v>
      </c>
      <c r="H50" s="408">
        <f>ROUND(2383.850656447,-1)</f>
        <v>2380</v>
      </c>
      <c r="I50" s="420">
        <v>217.33216050000001</v>
      </c>
      <c r="J50" s="419">
        <v>159.72897850000001</v>
      </c>
      <c r="K50" s="413">
        <v>0.64610209949999997</v>
      </c>
      <c r="L50" s="417">
        <v>56.957084496195002</v>
      </c>
      <c r="M50" s="420">
        <v>211.55866555850002</v>
      </c>
      <c r="N50" s="419">
        <v>159.37821856515001</v>
      </c>
      <c r="O50" s="413">
        <v>0.60292760534500001</v>
      </c>
      <c r="P50" s="417">
        <v>51.577523970016138</v>
      </c>
      <c r="Q50" s="418">
        <v>12.66716295</v>
      </c>
      <c r="R50" s="417">
        <v>10.79050895</v>
      </c>
      <c r="S50" s="412">
        <v>3.7317474349999998E-2</v>
      </c>
      <c r="T50" s="415">
        <v>1.8393366356430003</v>
      </c>
      <c r="U50" s="681" t="s">
        <v>915</v>
      </c>
      <c r="V50" s="708" t="s">
        <v>931</v>
      </c>
      <c r="W50" s="709"/>
      <c r="X50" s="701"/>
      <c r="Y50" s="701"/>
      <c r="Z50" s="47"/>
    </row>
    <row r="51" spans="1:26" s="94" customFormat="1" ht="15" customHeight="1">
      <c r="A51" s="48">
        <f t="shared" si="0"/>
        <v>64.006000000000029</v>
      </c>
      <c r="B51" s="704" t="s">
        <v>930</v>
      </c>
      <c r="C51" s="706" t="s">
        <v>917</v>
      </c>
      <c r="D51" s="707" t="s">
        <v>916</v>
      </c>
      <c r="E51" s="409">
        <f>ROUND(24758.864,-2)</f>
        <v>24800</v>
      </c>
      <c r="F51" s="408">
        <f>ROUND(23998.19552,-2)</f>
        <v>24000</v>
      </c>
      <c r="G51" s="411">
        <v>63.870291200000004</v>
      </c>
      <c r="H51" s="408">
        <v>696.79837449919989</v>
      </c>
      <c r="I51" s="420">
        <v>517.73433599999998</v>
      </c>
      <c r="J51" s="419">
        <v>499.95289600000001</v>
      </c>
      <c r="K51" s="415">
        <v>1.11568672</v>
      </c>
      <c r="L51" s="417">
        <v>16.665771966816003</v>
      </c>
      <c r="M51" s="420">
        <v>515.10720070399998</v>
      </c>
      <c r="N51" s="419">
        <v>498.84900117120003</v>
      </c>
      <c r="O51" s="415">
        <v>1.0317664548159999</v>
      </c>
      <c r="P51" s="417">
        <v>15.226451763146143</v>
      </c>
      <c r="Q51" s="418">
        <v>34.450854400000004</v>
      </c>
      <c r="R51" s="417">
        <v>33.844729600000001</v>
      </c>
      <c r="S51" s="412">
        <v>6.54024416E-2</v>
      </c>
      <c r="T51" s="413">
        <v>0.54072280951999996</v>
      </c>
      <c r="U51" s="681" t="s">
        <v>915</v>
      </c>
      <c r="V51" s="708" t="s">
        <v>929</v>
      </c>
      <c r="W51" s="709"/>
      <c r="X51" s="701"/>
      <c r="Y51" s="701"/>
      <c r="Z51" s="47"/>
    </row>
    <row r="52" spans="1:26" s="94" customFormat="1" ht="15" customHeight="1">
      <c r="A52" s="48">
        <f t="shared" si="0"/>
        <v>64.007000000000033</v>
      </c>
      <c r="B52" s="704" t="s">
        <v>928</v>
      </c>
      <c r="C52" s="706" t="s">
        <v>917</v>
      </c>
      <c r="D52" s="707" t="s">
        <v>916</v>
      </c>
      <c r="E52" s="409">
        <v>315.37063213279998</v>
      </c>
      <c r="F52" s="408">
        <v>227.66027199999999</v>
      </c>
      <c r="G52" s="411">
        <v>52.52938752</v>
      </c>
      <c r="H52" s="411">
        <v>35.180972612800005</v>
      </c>
      <c r="I52" s="416">
        <v>5.3486703792800006</v>
      </c>
      <c r="J52" s="415">
        <v>3.8483742400000001</v>
      </c>
      <c r="K52" s="413">
        <v>0.73281251680000004</v>
      </c>
      <c r="L52" s="413">
        <v>0.76748362248000013</v>
      </c>
      <c r="M52" s="416">
        <v>5.2225725626341921</v>
      </c>
      <c r="N52" s="415">
        <v>3.8373814049440003</v>
      </c>
      <c r="O52" s="413">
        <v>0.69766216960159999</v>
      </c>
      <c r="P52" s="413">
        <v>0.68752898808859209</v>
      </c>
      <c r="Q52" s="414">
        <v>0.31597340415519998</v>
      </c>
      <c r="R52" s="413">
        <v>0.26481384000000002</v>
      </c>
      <c r="S52" s="412">
        <v>3.6314996479999993E-2</v>
      </c>
      <c r="T52" s="412">
        <v>1.48445676752E-2</v>
      </c>
      <c r="U52" s="681" t="s">
        <v>915</v>
      </c>
      <c r="V52" s="708" t="s">
        <v>927</v>
      </c>
      <c r="W52" s="709"/>
      <c r="X52" s="701"/>
      <c r="Y52" s="701"/>
      <c r="Z52" s="47"/>
    </row>
    <row r="53" spans="1:26" s="94" customFormat="1" ht="15" customHeight="1">
      <c r="A53" s="48">
        <f t="shared" si="0"/>
        <v>64.008000000000038</v>
      </c>
      <c r="B53" s="704" t="s">
        <v>926</v>
      </c>
      <c r="C53" s="706" t="s">
        <v>917</v>
      </c>
      <c r="D53" s="707" t="s">
        <v>916</v>
      </c>
      <c r="E53" s="409">
        <v>330.64151213280002</v>
      </c>
      <c r="F53" s="408">
        <v>242.93115200000003</v>
      </c>
      <c r="G53" s="411">
        <v>52.52938752</v>
      </c>
      <c r="H53" s="411">
        <v>35.180972612800005</v>
      </c>
      <c r="I53" s="416">
        <v>5.4410623792800008</v>
      </c>
      <c r="J53" s="415">
        <v>3.9407662400000003</v>
      </c>
      <c r="K53" s="413">
        <v>0.73281251680000004</v>
      </c>
      <c r="L53" s="413">
        <v>0.76748362248000013</v>
      </c>
      <c r="M53" s="416">
        <v>5.3143755415141767</v>
      </c>
      <c r="N53" s="415">
        <v>3.9291843854240005</v>
      </c>
      <c r="O53" s="413">
        <v>0.69766216800160008</v>
      </c>
      <c r="P53" s="413">
        <v>0.6875289880885761</v>
      </c>
      <c r="Q53" s="414">
        <v>0.32223623615519997</v>
      </c>
      <c r="R53" s="413">
        <v>0.27107667200000002</v>
      </c>
      <c r="S53" s="412">
        <v>3.6314996479999993E-2</v>
      </c>
      <c r="T53" s="412">
        <v>1.48445676752E-2</v>
      </c>
      <c r="U53" s="681" t="s">
        <v>915</v>
      </c>
      <c r="V53" s="708" t="s">
        <v>925</v>
      </c>
      <c r="W53" s="709"/>
      <c r="X53" s="701"/>
      <c r="Y53" s="701"/>
      <c r="Z53" s="47"/>
    </row>
    <row r="54" spans="1:26" s="94" customFormat="1" ht="15" customHeight="1">
      <c r="A54" s="48">
        <f t="shared" si="0"/>
        <v>64.009000000000043</v>
      </c>
      <c r="B54" s="704" t="s">
        <v>924</v>
      </c>
      <c r="C54" s="706" t="s">
        <v>917</v>
      </c>
      <c r="D54" s="707" t="s">
        <v>916</v>
      </c>
      <c r="E54" s="409">
        <v>238.67952013280001</v>
      </c>
      <c r="F54" s="408">
        <v>150.96916000000002</v>
      </c>
      <c r="G54" s="411">
        <v>52.52938752</v>
      </c>
      <c r="H54" s="411">
        <v>35.180972612800005</v>
      </c>
      <c r="I54" s="416">
        <v>4.8843916592800012</v>
      </c>
      <c r="J54" s="415">
        <v>3.3840955200000007</v>
      </c>
      <c r="K54" s="413">
        <v>0.73281251680000004</v>
      </c>
      <c r="L54" s="413">
        <v>0.76748362248000013</v>
      </c>
      <c r="M54" s="416">
        <v>4.7612527751301768</v>
      </c>
      <c r="N54" s="415">
        <v>3.3760616174400009</v>
      </c>
      <c r="O54" s="413">
        <v>0.69766216960159999</v>
      </c>
      <c r="P54" s="413">
        <v>0.6875289880885761</v>
      </c>
      <c r="Q54" s="414">
        <v>0.2845163321552</v>
      </c>
      <c r="R54" s="413">
        <v>0.23335676799999999</v>
      </c>
      <c r="S54" s="412">
        <v>3.6314996479999993E-2</v>
      </c>
      <c r="T54" s="412">
        <v>1.48445676752E-2</v>
      </c>
      <c r="U54" s="681" t="s">
        <v>915</v>
      </c>
      <c r="V54" s="708" t="s">
        <v>923</v>
      </c>
      <c r="W54" s="709"/>
      <c r="X54" s="701"/>
      <c r="Y54" s="701"/>
      <c r="Z54" s="47"/>
    </row>
    <row r="55" spans="1:26" s="47" customFormat="1" ht="15" customHeight="1">
      <c r="A55" s="48">
        <f t="shared" si="0"/>
        <v>64.010000000000048</v>
      </c>
      <c r="B55" s="704" t="s">
        <v>922</v>
      </c>
      <c r="C55" s="674" t="s">
        <v>917</v>
      </c>
      <c r="D55" s="675" t="s">
        <v>916</v>
      </c>
      <c r="E55" s="409">
        <f>ROUND(2384.9482335,-1)</f>
        <v>2380</v>
      </c>
      <c r="F55" s="408">
        <f>ROUND(1544.4019086,-1)</f>
        <v>1540</v>
      </c>
      <c r="G55" s="408">
        <v>148.416004671</v>
      </c>
      <c r="H55" s="408">
        <v>692.13031608000006</v>
      </c>
      <c r="I55" s="407">
        <v>59.180981029999998</v>
      </c>
      <c r="J55" s="406">
        <v>49.973630869999994</v>
      </c>
      <c r="K55" s="405">
        <v>1.2675510823723999</v>
      </c>
      <c r="L55" s="405">
        <v>7.93979839</v>
      </c>
      <c r="M55" s="407">
        <v>37.106764225648</v>
      </c>
      <c r="N55" s="406">
        <v>28.773125825422994</v>
      </c>
      <c r="O55" s="405">
        <v>1.060458452832223</v>
      </c>
      <c r="P55" s="405">
        <v>7.2731789913669198</v>
      </c>
      <c r="Q55" s="404">
        <v>0.50373294820000003</v>
      </c>
      <c r="R55" s="403">
        <v>9.8961159690000008E-2</v>
      </c>
      <c r="S55" s="403">
        <v>5.562042473355E-2</v>
      </c>
      <c r="T55" s="402">
        <v>0.34915136356900006</v>
      </c>
      <c r="U55" s="681" t="s">
        <v>915</v>
      </c>
      <c r="V55" s="682" t="s">
        <v>921</v>
      </c>
      <c r="W55" s="46"/>
      <c r="X55" s="701"/>
      <c r="Y55" s="701"/>
    </row>
    <row r="56" spans="1:26" s="47" customFormat="1" ht="15" customHeight="1">
      <c r="A56" s="48">
        <f t="shared" si="0"/>
        <v>64.011000000000053</v>
      </c>
      <c r="B56" s="704" t="s">
        <v>920</v>
      </c>
      <c r="C56" s="674" t="s">
        <v>917</v>
      </c>
      <c r="D56" s="675" t="s">
        <v>916</v>
      </c>
      <c r="E56" s="409">
        <f>ROUND(1204.727475,-1)</f>
        <v>1200</v>
      </c>
      <c r="F56" s="408">
        <v>970.79768100000001</v>
      </c>
      <c r="G56" s="411">
        <v>94.77905241000002</v>
      </c>
      <c r="H56" s="408">
        <v>139.15073961600001</v>
      </c>
      <c r="I56" s="407">
        <v>18.11810973</v>
      </c>
      <c r="J56" s="406">
        <v>13.94970528</v>
      </c>
      <c r="K56" s="405">
        <v>1.5906633438990003</v>
      </c>
      <c r="L56" s="405">
        <v>2.5777410115800001</v>
      </c>
      <c r="M56" s="407">
        <v>17.81877384273</v>
      </c>
      <c r="N56" s="406">
        <v>13.91658843309</v>
      </c>
      <c r="O56" s="405">
        <v>1.4296191980492103</v>
      </c>
      <c r="P56" s="405">
        <v>2.47256612702127</v>
      </c>
      <c r="Q56" s="410">
        <v>1.0960895610000001</v>
      </c>
      <c r="R56" s="402">
        <v>0.95970472499999993</v>
      </c>
      <c r="S56" s="403">
        <v>5.9643596186999992E-2</v>
      </c>
      <c r="T56" s="403">
        <v>7.6741243698000006E-2</v>
      </c>
      <c r="U56" s="681" t="s">
        <v>915</v>
      </c>
      <c r="V56" s="682" t="s">
        <v>919</v>
      </c>
      <c r="W56" s="46"/>
      <c r="X56" s="701"/>
      <c r="Y56" s="701"/>
    </row>
    <row r="57" spans="1:26" s="47" customFormat="1" ht="15" customHeight="1">
      <c r="A57" s="48">
        <f t="shared" si="0"/>
        <v>64.012000000000057</v>
      </c>
      <c r="B57" s="704" t="s">
        <v>918</v>
      </c>
      <c r="C57" s="674" t="s">
        <v>917</v>
      </c>
      <c r="D57" s="675" t="s">
        <v>916</v>
      </c>
      <c r="E57" s="409">
        <f>ROUND(3178.8269663,-1)</f>
        <v>3180</v>
      </c>
      <c r="F57" s="408">
        <f>ROUND(1878.8276639,-1)</f>
        <v>1880</v>
      </c>
      <c r="G57" s="408">
        <v>228.98047115699995</v>
      </c>
      <c r="H57" s="408">
        <f>ROUND(1071.018778872,-1)</f>
        <v>1070</v>
      </c>
      <c r="I57" s="407">
        <v>62.772658229999998</v>
      </c>
      <c r="J57" s="406">
        <v>46.965353723</v>
      </c>
      <c r="K57" s="405">
        <v>3.2386158982123998</v>
      </c>
      <c r="L57" s="406">
        <v>12.568687262800001</v>
      </c>
      <c r="M57" s="407">
        <v>55.214471394379999</v>
      </c>
      <c r="N57" s="406">
        <v>40.563709033830001</v>
      </c>
      <c r="O57" s="405">
        <v>2.9572442545116626</v>
      </c>
      <c r="P57" s="406">
        <v>11.693516838520482</v>
      </c>
      <c r="Q57" s="410">
        <v>1.4014922902</v>
      </c>
      <c r="R57" s="402">
        <v>0.62264331550000007</v>
      </c>
      <c r="S57" s="402">
        <v>0.11534653031189999</v>
      </c>
      <c r="T57" s="402">
        <v>0.66350244232499989</v>
      </c>
      <c r="U57" s="681" t="s">
        <v>915</v>
      </c>
      <c r="V57" s="682" t="s">
        <v>918</v>
      </c>
      <c r="W57" s="46"/>
      <c r="X57" s="701"/>
      <c r="Y57" s="701"/>
    </row>
    <row r="58" spans="1:26" s="47" customFormat="1" ht="15" customHeight="1">
      <c r="A58" s="48">
        <f t="shared" si="0"/>
        <v>64.013000000000062</v>
      </c>
      <c r="B58" s="704" t="s">
        <v>914</v>
      </c>
      <c r="C58" s="674" t="s">
        <v>917</v>
      </c>
      <c r="D58" s="675" t="s">
        <v>916</v>
      </c>
      <c r="E58" s="409">
        <f>ROUND(1595.393046,-1)</f>
        <v>1600</v>
      </c>
      <c r="F58" s="408">
        <f>ROUND(1183.79417,-1)</f>
        <v>1180</v>
      </c>
      <c r="G58" s="408">
        <v>123.285511622</v>
      </c>
      <c r="H58" s="408">
        <v>288.31338598400004</v>
      </c>
      <c r="I58" s="407">
        <v>37.5094876</v>
      </c>
      <c r="J58" s="406">
        <v>30.093601200000002</v>
      </c>
      <c r="K58" s="405">
        <v>2.0799174623499996</v>
      </c>
      <c r="L58" s="405">
        <v>5.33596925264</v>
      </c>
      <c r="M58" s="407">
        <v>32.981338119599997</v>
      </c>
      <c r="N58" s="406">
        <v>25.991672223400002</v>
      </c>
      <c r="O58" s="405">
        <v>1.8693177217107637</v>
      </c>
      <c r="P58" s="405">
        <v>5.1203485099434198</v>
      </c>
      <c r="Q58" s="404">
        <v>0.653152344</v>
      </c>
      <c r="R58" s="402">
        <v>0.41685888400000004</v>
      </c>
      <c r="S58" s="403">
        <v>7.7093304235999999E-2</v>
      </c>
      <c r="T58" s="402">
        <v>0.15920015228000001</v>
      </c>
      <c r="U58" s="681" t="s">
        <v>915</v>
      </c>
      <c r="V58" s="682" t="s">
        <v>914</v>
      </c>
      <c r="W58" s="46"/>
      <c r="X58" s="701"/>
      <c r="Y58" s="701"/>
    </row>
    <row r="59" spans="1:26">
      <c r="B59" s="116" t="s">
        <v>27</v>
      </c>
      <c r="C59" s="117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18">
        <v>0</v>
      </c>
      <c r="N59" s="16">
        <v>0</v>
      </c>
      <c r="O59" s="16">
        <v>0</v>
      </c>
      <c r="P59" s="16">
        <v>0</v>
      </c>
      <c r="Q59" s="119">
        <v>0</v>
      </c>
      <c r="R59" s="46">
        <v>0</v>
      </c>
      <c r="S59" s="46">
        <v>0</v>
      </c>
      <c r="T59" s="46">
        <v>0</v>
      </c>
      <c r="U59" s="16"/>
      <c r="V59" s="16"/>
      <c r="W59" s="16"/>
      <c r="X59" s="16"/>
      <c r="Y59" s="16"/>
    </row>
    <row r="60" spans="1:26" s="719" customFormat="1" ht="13.5" customHeight="1">
      <c r="A60" s="711"/>
      <c r="B60" s="712" t="s">
        <v>42</v>
      </c>
      <c r="C60" s="713"/>
      <c r="D60" s="713" t="s">
        <v>42</v>
      </c>
      <c r="E60" s="720"/>
      <c r="F60" s="720"/>
      <c r="G60" s="720"/>
      <c r="H60" s="720"/>
      <c r="I60" s="720" t="s">
        <v>42</v>
      </c>
      <c r="J60" s="720" t="s">
        <v>42</v>
      </c>
      <c r="K60" s="720" t="s">
        <v>42</v>
      </c>
      <c r="L60" s="720"/>
      <c r="M60" s="721" t="s">
        <v>42</v>
      </c>
      <c r="N60" s="720" t="s">
        <v>42</v>
      </c>
      <c r="O60" s="720" t="s">
        <v>42</v>
      </c>
      <c r="P60" s="720"/>
      <c r="Q60" s="720" t="s">
        <v>42</v>
      </c>
      <c r="R60" s="720" t="s">
        <v>42</v>
      </c>
      <c r="S60" s="720" t="s">
        <v>42</v>
      </c>
      <c r="T60" s="720"/>
      <c r="U60" s="716"/>
      <c r="V60" s="717" t="s">
        <v>42</v>
      </c>
      <c r="W60" s="718"/>
      <c r="X60" s="718"/>
      <c r="Y60" s="701"/>
      <c r="Z60" s="47"/>
    </row>
    <row r="61" spans="1:26" s="719" customFormat="1" ht="13.5" customHeight="1">
      <c r="A61" s="711"/>
      <c r="B61" s="712" t="s">
        <v>42</v>
      </c>
      <c r="C61" s="713"/>
      <c r="D61" s="713" t="s">
        <v>42</v>
      </c>
      <c r="E61" s="720"/>
      <c r="F61" s="720"/>
      <c r="G61" s="720"/>
      <c r="H61" s="720"/>
      <c r="I61" s="720" t="s">
        <v>42</v>
      </c>
      <c r="J61" s="720" t="s">
        <v>42</v>
      </c>
      <c r="K61" s="720" t="s">
        <v>42</v>
      </c>
      <c r="L61" s="720"/>
      <c r="M61" s="721" t="s">
        <v>42</v>
      </c>
      <c r="N61" s="720" t="s">
        <v>42</v>
      </c>
      <c r="O61" s="720" t="s">
        <v>42</v>
      </c>
      <c r="P61" s="720"/>
      <c r="Q61" s="720" t="s">
        <v>42</v>
      </c>
      <c r="R61" s="720" t="s">
        <v>42</v>
      </c>
      <c r="S61" s="720" t="s">
        <v>42</v>
      </c>
      <c r="T61" s="720"/>
      <c r="U61" s="716"/>
      <c r="V61" s="717" t="s">
        <v>42</v>
      </c>
      <c r="W61" s="718"/>
      <c r="X61" s="718"/>
      <c r="Y61" s="718"/>
      <c r="Z61" s="47"/>
    </row>
    <row r="62" spans="1:26" s="719" customFormat="1" ht="13.5" customHeight="1">
      <c r="A62" s="711"/>
      <c r="B62" s="712" t="s">
        <v>42</v>
      </c>
      <c r="C62" s="713"/>
      <c r="D62" s="713" t="s">
        <v>42</v>
      </c>
      <c r="E62" s="720"/>
      <c r="F62" s="720"/>
      <c r="G62" s="720"/>
      <c r="H62" s="720"/>
      <c r="I62" s="720" t="s">
        <v>42</v>
      </c>
      <c r="J62" s="720" t="s">
        <v>42</v>
      </c>
      <c r="K62" s="720" t="s">
        <v>42</v>
      </c>
      <c r="L62" s="720"/>
      <c r="M62" s="721" t="s">
        <v>42</v>
      </c>
      <c r="N62" s="720" t="s">
        <v>42</v>
      </c>
      <c r="O62" s="720" t="s">
        <v>42</v>
      </c>
      <c r="P62" s="720"/>
      <c r="Q62" s="720" t="s">
        <v>42</v>
      </c>
      <c r="R62" s="720" t="s">
        <v>42</v>
      </c>
      <c r="S62" s="720" t="s">
        <v>42</v>
      </c>
      <c r="T62" s="720"/>
      <c r="U62" s="716"/>
      <c r="V62" s="717" t="s">
        <v>42</v>
      </c>
      <c r="W62" s="718"/>
      <c r="X62" s="718"/>
      <c r="Y62" s="718"/>
      <c r="Z62" s="47"/>
    </row>
    <row r="63" spans="1:26" s="719" customFormat="1" ht="13.5" customHeight="1">
      <c r="A63" s="711"/>
      <c r="B63" s="712" t="s">
        <v>42</v>
      </c>
      <c r="C63" s="713"/>
      <c r="D63" s="713" t="s">
        <v>42</v>
      </c>
      <c r="E63" s="720" t="s">
        <v>42</v>
      </c>
      <c r="F63" s="720" t="s">
        <v>42</v>
      </c>
      <c r="G63" s="720" t="s">
        <v>42</v>
      </c>
      <c r="H63" s="720"/>
      <c r="I63" s="720" t="s">
        <v>42</v>
      </c>
      <c r="J63" s="720" t="s">
        <v>42</v>
      </c>
      <c r="K63" s="720" t="s">
        <v>42</v>
      </c>
      <c r="L63" s="720"/>
      <c r="M63" s="721" t="s">
        <v>42</v>
      </c>
      <c r="N63" s="720" t="s">
        <v>42</v>
      </c>
      <c r="O63" s="720" t="s">
        <v>42</v>
      </c>
      <c r="P63" s="720"/>
      <c r="Q63" s="720" t="s">
        <v>42</v>
      </c>
      <c r="R63" s="720" t="s">
        <v>42</v>
      </c>
      <c r="S63" s="720" t="s">
        <v>42</v>
      </c>
      <c r="T63" s="720"/>
      <c r="U63" s="716"/>
      <c r="V63" s="717" t="s">
        <v>42</v>
      </c>
      <c r="W63" s="718"/>
      <c r="X63" s="718"/>
      <c r="Y63" s="718"/>
      <c r="Z63" s="47"/>
    </row>
    <row r="64" spans="1:26" s="719" customFormat="1" ht="13.5" customHeight="1">
      <c r="A64" s="711"/>
      <c r="B64" s="712" t="s">
        <v>42</v>
      </c>
      <c r="C64" s="713"/>
      <c r="D64" s="713" t="s">
        <v>42</v>
      </c>
      <c r="E64" s="720" t="s">
        <v>42</v>
      </c>
      <c r="F64" s="720" t="s">
        <v>42</v>
      </c>
      <c r="G64" s="720" t="s">
        <v>42</v>
      </c>
      <c r="H64" s="720"/>
      <c r="I64" s="720" t="s">
        <v>42</v>
      </c>
      <c r="J64" s="720" t="s">
        <v>42</v>
      </c>
      <c r="K64" s="720" t="s">
        <v>42</v>
      </c>
      <c r="L64" s="720"/>
      <c r="M64" s="721" t="s">
        <v>42</v>
      </c>
      <c r="N64" s="720" t="s">
        <v>42</v>
      </c>
      <c r="O64" s="720" t="s">
        <v>42</v>
      </c>
      <c r="P64" s="720"/>
      <c r="Q64" s="720" t="s">
        <v>42</v>
      </c>
      <c r="R64" s="720" t="s">
        <v>42</v>
      </c>
      <c r="S64" s="720" t="s">
        <v>42</v>
      </c>
      <c r="T64" s="720"/>
      <c r="U64" s="716"/>
      <c r="V64" s="717" t="s">
        <v>42</v>
      </c>
      <c r="W64" s="718"/>
      <c r="X64" s="718"/>
      <c r="Y64" s="718"/>
      <c r="Z64" s="47"/>
    </row>
    <row r="65" spans="1:26" s="719" customFormat="1" ht="13.5" customHeight="1">
      <c r="A65" s="711"/>
      <c r="B65" s="712" t="s">
        <v>42</v>
      </c>
      <c r="C65" s="713"/>
      <c r="D65" s="713" t="s">
        <v>42</v>
      </c>
      <c r="E65" s="720" t="s">
        <v>42</v>
      </c>
      <c r="F65" s="720" t="s">
        <v>42</v>
      </c>
      <c r="G65" s="720" t="s">
        <v>42</v>
      </c>
      <c r="H65" s="720"/>
      <c r="I65" s="720" t="s">
        <v>42</v>
      </c>
      <c r="J65" s="720" t="s">
        <v>42</v>
      </c>
      <c r="K65" s="720" t="s">
        <v>42</v>
      </c>
      <c r="L65" s="720"/>
      <c r="M65" s="721" t="s">
        <v>42</v>
      </c>
      <c r="N65" s="720" t="s">
        <v>42</v>
      </c>
      <c r="O65" s="720" t="s">
        <v>42</v>
      </c>
      <c r="P65" s="720"/>
      <c r="Q65" s="720" t="s">
        <v>42</v>
      </c>
      <c r="R65" s="720" t="s">
        <v>42</v>
      </c>
      <c r="S65" s="720" t="s">
        <v>42</v>
      </c>
      <c r="T65" s="720"/>
      <c r="U65" s="716"/>
      <c r="V65" s="717" t="s">
        <v>42</v>
      </c>
      <c r="W65" s="718"/>
      <c r="X65" s="718"/>
      <c r="Y65" s="718"/>
      <c r="Z65" s="47"/>
    </row>
    <row r="66" spans="1:26" s="719" customFormat="1" ht="13.5" customHeight="1">
      <c r="A66" s="711"/>
      <c r="B66" s="712" t="s">
        <v>42</v>
      </c>
      <c r="C66" s="713"/>
      <c r="D66" s="713" t="s">
        <v>42</v>
      </c>
      <c r="E66" s="720" t="s">
        <v>42</v>
      </c>
      <c r="F66" s="720" t="s">
        <v>42</v>
      </c>
      <c r="G66" s="720" t="s">
        <v>42</v>
      </c>
      <c r="H66" s="720"/>
      <c r="I66" s="720" t="s">
        <v>42</v>
      </c>
      <c r="J66" s="720" t="s">
        <v>42</v>
      </c>
      <c r="K66" s="720" t="s">
        <v>42</v>
      </c>
      <c r="L66" s="720"/>
      <c r="M66" s="721" t="s">
        <v>42</v>
      </c>
      <c r="N66" s="720" t="s">
        <v>42</v>
      </c>
      <c r="O66" s="720" t="s">
        <v>42</v>
      </c>
      <c r="P66" s="720"/>
      <c r="Q66" s="720" t="s">
        <v>42</v>
      </c>
      <c r="R66" s="720" t="s">
        <v>42</v>
      </c>
      <c r="S66" s="720" t="s">
        <v>42</v>
      </c>
      <c r="T66" s="720"/>
      <c r="U66" s="716"/>
      <c r="V66" s="717" t="s">
        <v>42</v>
      </c>
      <c r="W66" s="718"/>
      <c r="X66" s="718"/>
      <c r="Y66" s="718"/>
      <c r="Z66" s="47"/>
    </row>
    <row r="67" spans="1:26" s="719" customFormat="1" ht="13.5" customHeight="1">
      <c r="A67" s="711"/>
      <c r="B67" s="712" t="s">
        <v>42</v>
      </c>
      <c r="C67" s="713"/>
      <c r="D67" s="713" t="s">
        <v>42</v>
      </c>
      <c r="E67" s="720" t="s">
        <v>42</v>
      </c>
      <c r="F67" s="720" t="s">
        <v>42</v>
      </c>
      <c r="G67" s="720" t="s">
        <v>42</v>
      </c>
      <c r="H67" s="720"/>
      <c r="I67" s="720" t="s">
        <v>42</v>
      </c>
      <c r="J67" s="720" t="s">
        <v>42</v>
      </c>
      <c r="K67" s="720" t="s">
        <v>42</v>
      </c>
      <c r="L67" s="720"/>
      <c r="M67" s="721" t="s">
        <v>42</v>
      </c>
      <c r="N67" s="720" t="s">
        <v>42</v>
      </c>
      <c r="O67" s="720" t="s">
        <v>42</v>
      </c>
      <c r="P67" s="720"/>
      <c r="Q67" s="720" t="s">
        <v>42</v>
      </c>
      <c r="R67" s="720" t="s">
        <v>42</v>
      </c>
      <c r="S67" s="720" t="s">
        <v>42</v>
      </c>
      <c r="T67" s="720"/>
      <c r="U67" s="716"/>
      <c r="V67" s="717" t="s">
        <v>42</v>
      </c>
      <c r="W67" s="718"/>
      <c r="X67" s="718"/>
      <c r="Y67" s="718"/>
      <c r="Z67" s="47"/>
    </row>
    <row r="68" spans="1:26" s="719" customFormat="1" ht="13.5" customHeight="1">
      <c r="A68" s="711"/>
      <c r="B68" s="712" t="s">
        <v>42</v>
      </c>
      <c r="C68" s="713"/>
      <c r="D68" s="713" t="s">
        <v>42</v>
      </c>
      <c r="E68" s="720" t="s">
        <v>42</v>
      </c>
      <c r="F68" s="720" t="s">
        <v>42</v>
      </c>
      <c r="G68" s="720" t="s">
        <v>42</v>
      </c>
      <c r="H68" s="720"/>
      <c r="I68" s="720" t="s">
        <v>42</v>
      </c>
      <c r="J68" s="720" t="s">
        <v>42</v>
      </c>
      <c r="K68" s="720" t="s">
        <v>42</v>
      </c>
      <c r="L68" s="720"/>
      <c r="M68" s="721" t="s">
        <v>42</v>
      </c>
      <c r="N68" s="720" t="s">
        <v>42</v>
      </c>
      <c r="O68" s="720" t="s">
        <v>42</v>
      </c>
      <c r="P68" s="720"/>
      <c r="Q68" s="720" t="s">
        <v>42</v>
      </c>
      <c r="R68" s="720" t="s">
        <v>42</v>
      </c>
      <c r="S68" s="720" t="s">
        <v>42</v>
      </c>
      <c r="T68" s="720"/>
      <c r="U68" s="716"/>
      <c r="V68" s="717" t="s">
        <v>42</v>
      </c>
      <c r="W68" s="718"/>
      <c r="X68" s="718"/>
      <c r="Y68" s="718"/>
      <c r="Z68" s="47"/>
    </row>
    <row r="69" spans="1:26" s="719" customFormat="1" ht="13.5" customHeight="1">
      <c r="A69" s="711"/>
      <c r="B69" s="712" t="s">
        <v>42</v>
      </c>
      <c r="C69" s="713"/>
      <c r="D69" s="713" t="s">
        <v>42</v>
      </c>
      <c r="E69" s="720" t="s">
        <v>42</v>
      </c>
      <c r="F69" s="720" t="s">
        <v>42</v>
      </c>
      <c r="G69" s="720" t="s">
        <v>42</v>
      </c>
      <c r="H69" s="720"/>
      <c r="I69" s="720" t="s">
        <v>42</v>
      </c>
      <c r="J69" s="720" t="s">
        <v>42</v>
      </c>
      <c r="K69" s="720" t="s">
        <v>42</v>
      </c>
      <c r="L69" s="720"/>
      <c r="M69" s="721" t="s">
        <v>42</v>
      </c>
      <c r="N69" s="720" t="s">
        <v>42</v>
      </c>
      <c r="O69" s="720" t="s">
        <v>42</v>
      </c>
      <c r="P69" s="720"/>
      <c r="Q69" s="720" t="s">
        <v>42</v>
      </c>
      <c r="R69" s="720" t="s">
        <v>42</v>
      </c>
      <c r="S69" s="720" t="s">
        <v>42</v>
      </c>
      <c r="T69" s="720"/>
      <c r="U69" s="716"/>
      <c r="V69" s="717" t="s">
        <v>42</v>
      </c>
      <c r="W69" s="718"/>
      <c r="X69" s="718"/>
      <c r="Y69" s="718"/>
      <c r="Z69" s="47"/>
    </row>
    <row r="70" spans="1:26" s="719" customFormat="1" ht="13.5" customHeight="1">
      <c r="A70" s="711"/>
      <c r="B70" s="712" t="s">
        <v>42</v>
      </c>
      <c r="C70" s="713"/>
      <c r="D70" s="713" t="s">
        <v>42</v>
      </c>
      <c r="E70" s="720" t="s">
        <v>42</v>
      </c>
      <c r="F70" s="720" t="s">
        <v>42</v>
      </c>
      <c r="G70" s="720" t="s">
        <v>42</v>
      </c>
      <c r="H70" s="720"/>
      <c r="I70" s="720" t="s">
        <v>42</v>
      </c>
      <c r="J70" s="720" t="s">
        <v>42</v>
      </c>
      <c r="K70" s="720" t="s">
        <v>42</v>
      </c>
      <c r="L70" s="720"/>
      <c r="M70" s="721" t="s">
        <v>42</v>
      </c>
      <c r="N70" s="720" t="s">
        <v>42</v>
      </c>
      <c r="O70" s="720" t="s">
        <v>42</v>
      </c>
      <c r="P70" s="720"/>
      <c r="Q70" s="720" t="s">
        <v>42</v>
      </c>
      <c r="R70" s="720" t="s">
        <v>42</v>
      </c>
      <c r="S70" s="720" t="s">
        <v>42</v>
      </c>
      <c r="T70" s="720"/>
      <c r="U70" s="716"/>
      <c r="V70" s="717" t="s">
        <v>42</v>
      </c>
      <c r="W70" s="718"/>
      <c r="X70" s="718"/>
      <c r="Y70" s="718"/>
      <c r="Z70" s="47"/>
    </row>
    <row r="71" spans="1:26" s="719" customFormat="1" ht="13.5" customHeight="1">
      <c r="A71" s="711"/>
      <c r="B71" s="712" t="s">
        <v>42</v>
      </c>
      <c r="C71" s="713"/>
      <c r="D71" s="713" t="s">
        <v>42</v>
      </c>
      <c r="E71" s="720" t="s">
        <v>42</v>
      </c>
      <c r="F71" s="720" t="s">
        <v>42</v>
      </c>
      <c r="G71" s="720" t="s">
        <v>42</v>
      </c>
      <c r="H71" s="720"/>
      <c r="I71" s="720" t="s">
        <v>42</v>
      </c>
      <c r="J71" s="720" t="s">
        <v>42</v>
      </c>
      <c r="K71" s="720" t="s">
        <v>42</v>
      </c>
      <c r="L71" s="720"/>
      <c r="M71" s="721" t="s">
        <v>42</v>
      </c>
      <c r="N71" s="720" t="s">
        <v>42</v>
      </c>
      <c r="O71" s="720" t="s">
        <v>42</v>
      </c>
      <c r="P71" s="720"/>
      <c r="Q71" s="720" t="s">
        <v>42</v>
      </c>
      <c r="R71" s="720" t="s">
        <v>42</v>
      </c>
      <c r="S71" s="720" t="s">
        <v>42</v>
      </c>
      <c r="T71" s="720"/>
      <c r="U71" s="716"/>
      <c r="V71" s="717" t="s">
        <v>42</v>
      </c>
      <c r="W71" s="718"/>
      <c r="X71" s="718"/>
      <c r="Y71" s="718"/>
      <c r="Z71" s="47"/>
    </row>
    <row r="72" spans="1:26" s="719" customFormat="1" ht="13.5" customHeight="1">
      <c r="A72" s="711"/>
      <c r="B72" s="712" t="s">
        <v>42</v>
      </c>
      <c r="C72" s="713"/>
      <c r="D72" s="713" t="s">
        <v>42</v>
      </c>
      <c r="E72" s="720" t="s">
        <v>42</v>
      </c>
      <c r="F72" s="720" t="s">
        <v>42</v>
      </c>
      <c r="G72" s="720" t="s">
        <v>42</v>
      </c>
      <c r="H72" s="720"/>
      <c r="I72" s="720" t="s">
        <v>42</v>
      </c>
      <c r="J72" s="720" t="s">
        <v>42</v>
      </c>
      <c r="K72" s="720" t="s">
        <v>42</v>
      </c>
      <c r="L72" s="720"/>
      <c r="M72" s="721" t="s">
        <v>42</v>
      </c>
      <c r="N72" s="720" t="s">
        <v>42</v>
      </c>
      <c r="O72" s="720" t="s">
        <v>42</v>
      </c>
      <c r="P72" s="720"/>
      <c r="Q72" s="720" t="s">
        <v>42</v>
      </c>
      <c r="R72" s="720" t="s">
        <v>42</v>
      </c>
      <c r="S72" s="720" t="s">
        <v>42</v>
      </c>
      <c r="T72" s="720"/>
      <c r="U72" s="716"/>
      <c r="V72" s="717" t="s">
        <v>42</v>
      </c>
      <c r="W72" s="718"/>
      <c r="X72" s="718"/>
      <c r="Y72" s="718"/>
      <c r="Z72" s="47"/>
    </row>
    <row r="73" spans="1:26" s="719" customFormat="1" ht="13.5" customHeight="1">
      <c r="A73" s="711"/>
      <c r="B73" s="712" t="s">
        <v>42</v>
      </c>
      <c r="C73" s="713"/>
      <c r="D73" s="713" t="s">
        <v>42</v>
      </c>
      <c r="E73" s="720" t="s">
        <v>42</v>
      </c>
      <c r="F73" s="720" t="s">
        <v>42</v>
      </c>
      <c r="G73" s="720" t="s">
        <v>42</v>
      </c>
      <c r="H73" s="720"/>
      <c r="I73" s="720" t="s">
        <v>42</v>
      </c>
      <c r="J73" s="720" t="s">
        <v>42</v>
      </c>
      <c r="K73" s="720" t="s">
        <v>42</v>
      </c>
      <c r="L73" s="720"/>
      <c r="M73" s="721" t="s">
        <v>42</v>
      </c>
      <c r="N73" s="720" t="s">
        <v>42</v>
      </c>
      <c r="O73" s="720" t="s">
        <v>42</v>
      </c>
      <c r="P73" s="720"/>
      <c r="Q73" s="720" t="s">
        <v>42</v>
      </c>
      <c r="R73" s="720" t="s">
        <v>42</v>
      </c>
      <c r="S73" s="720" t="s">
        <v>42</v>
      </c>
      <c r="T73" s="720"/>
      <c r="U73" s="716"/>
      <c r="V73" s="717" t="s">
        <v>42</v>
      </c>
      <c r="W73" s="718"/>
      <c r="X73" s="718"/>
      <c r="Y73" s="718"/>
      <c r="Z73" s="47"/>
    </row>
    <row r="74" spans="1:26" s="719" customFormat="1" ht="13.5" customHeight="1">
      <c r="A74" s="711"/>
      <c r="B74" s="712" t="s">
        <v>42</v>
      </c>
      <c r="C74" s="713"/>
      <c r="D74" s="713" t="s">
        <v>42</v>
      </c>
      <c r="E74" s="720" t="s">
        <v>42</v>
      </c>
      <c r="F74" s="720" t="s">
        <v>42</v>
      </c>
      <c r="G74" s="720" t="s">
        <v>42</v>
      </c>
      <c r="H74" s="720"/>
      <c r="I74" s="720" t="s">
        <v>42</v>
      </c>
      <c r="J74" s="720" t="s">
        <v>42</v>
      </c>
      <c r="K74" s="720" t="s">
        <v>42</v>
      </c>
      <c r="L74" s="720"/>
      <c r="M74" s="721" t="s">
        <v>42</v>
      </c>
      <c r="N74" s="720" t="s">
        <v>42</v>
      </c>
      <c r="O74" s="720" t="s">
        <v>42</v>
      </c>
      <c r="P74" s="720"/>
      <c r="Q74" s="720" t="s">
        <v>42</v>
      </c>
      <c r="R74" s="720" t="s">
        <v>42</v>
      </c>
      <c r="S74" s="720" t="s">
        <v>42</v>
      </c>
      <c r="T74" s="720"/>
      <c r="U74" s="716"/>
      <c r="V74" s="717" t="s">
        <v>42</v>
      </c>
      <c r="W74" s="718"/>
      <c r="X74" s="718"/>
      <c r="Y74" s="718"/>
      <c r="Z74" s="47"/>
    </row>
    <row r="75" spans="1:26" s="719" customFormat="1" ht="13.5" customHeight="1">
      <c r="A75" s="711"/>
      <c r="B75" s="712" t="s">
        <v>42</v>
      </c>
      <c r="C75" s="713"/>
      <c r="D75" s="713" t="s">
        <v>42</v>
      </c>
      <c r="E75" s="720" t="s">
        <v>42</v>
      </c>
      <c r="F75" s="720" t="s">
        <v>42</v>
      </c>
      <c r="G75" s="720" t="s">
        <v>42</v>
      </c>
      <c r="H75" s="720"/>
      <c r="I75" s="720" t="s">
        <v>42</v>
      </c>
      <c r="J75" s="720" t="s">
        <v>42</v>
      </c>
      <c r="K75" s="720" t="s">
        <v>42</v>
      </c>
      <c r="L75" s="720"/>
      <c r="M75" s="721" t="s">
        <v>42</v>
      </c>
      <c r="N75" s="720" t="s">
        <v>42</v>
      </c>
      <c r="O75" s="720" t="s">
        <v>42</v>
      </c>
      <c r="P75" s="720"/>
      <c r="Q75" s="720" t="s">
        <v>42</v>
      </c>
      <c r="R75" s="720" t="s">
        <v>42</v>
      </c>
      <c r="S75" s="720" t="s">
        <v>42</v>
      </c>
      <c r="T75" s="720"/>
      <c r="U75" s="716"/>
      <c r="V75" s="717" t="s">
        <v>42</v>
      </c>
      <c r="W75" s="718"/>
      <c r="X75" s="718"/>
      <c r="Y75" s="718"/>
      <c r="Z75" s="47"/>
    </row>
    <row r="76" spans="1:26" s="719" customFormat="1" ht="13.5" customHeight="1">
      <c r="A76" s="711"/>
      <c r="B76" s="712" t="s">
        <v>42</v>
      </c>
      <c r="C76" s="713"/>
      <c r="D76" s="713" t="s">
        <v>42</v>
      </c>
      <c r="E76" s="720" t="s">
        <v>42</v>
      </c>
      <c r="F76" s="720" t="s">
        <v>42</v>
      </c>
      <c r="G76" s="720" t="s">
        <v>42</v>
      </c>
      <c r="H76" s="720"/>
      <c r="I76" s="720" t="s">
        <v>42</v>
      </c>
      <c r="J76" s="720" t="s">
        <v>42</v>
      </c>
      <c r="K76" s="720" t="s">
        <v>42</v>
      </c>
      <c r="L76" s="720"/>
      <c r="M76" s="721" t="s">
        <v>42</v>
      </c>
      <c r="N76" s="720" t="s">
        <v>42</v>
      </c>
      <c r="O76" s="720" t="s">
        <v>42</v>
      </c>
      <c r="P76" s="720"/>
      <c r="Q76" s="720" t="s">
        <v>42</v>
      </c>
      <c r="R76" s="720" t="s">
        <v>42</v>
      </c>
      <c r="S76" s="720" t="s">
        <v>42</v>
      </c>
      <c r="T76" s="720"/>
      <c r="U76" s="716"/>
      <c r="V76" s="717" t="s">
        <v>42</v>
      </c>
      <c r="W76" s="718"/>
      <c r="X76" s="718"/>
      <c r="Y76" s="718"/>
    </row>
    <row r="77" spans="1:26" s="719" customFormat="1" ht="13.5" customHeight="1">
      <c r="A77" s="711"/>
      <c r="B77" s="712" t="s">
        <v>42</v>
      </c>
      <c r="C77" s="713"/>
      <c r="D77" s="713" t="s">
        <v>42</v>
      </c>
      <c r="E77" s="720" t="s">
        <v>42</v>
      </c>
      <c r="F77" s="720" t="s">
        <v>42</v>
      </c>
      <c r="G77" s="720" t="s">
        <v>42</v>
      </c>
      <c r="H77" s="720"/>
      <c r="I77" s="720" t="s">
        <v>42</v>
      </c>
      <c r="J77" s="720" t="s">
        <v>42</v>
      </c>
      <c r="K77" s="720" t="s">
        <v>42</v>
      </c>
      <c r="L77" s="720"/>
      <c r="M77" s="721" t="s">
        <v>42</v>
      </c>
      <c r="N77" s="720" t="s">
        <v>42</v>
      </c>
      <c r="O77" s="720" t="s">
        <v>42</v>
      </c>
      <c r="P77" s="720"/>
      <c r="Q77" s="720" t="s">
        <v>42</v>
      </c>
      <c r="R77" s="720" t="s">
        <v>42</v>
      </c>
      <c r="S77" s="720" t="s">
        <v>42</v>
      </c>
      <c r="T77" s="720"/>
      <c r="U77" s="716"/>
      <c r="V77" s="717" t="s">
        <v>42</v>
      </c>
      <c r="W77" s="718"/>
      <c r="X77" s="718"/>
      <c r="Y77" s="718"/>
    </row>
    <row r="78" spans="1:26" s="719" customFormat="1" ht="13.5" customHeight="1">
      <c r="A78" s="711"/>
      <c r="B78" s="712" t="s">
        <v>42</v>
      </c>
      <c r="C78" s="713"/>
      <c r="D78" s="713" t="s">
        <v>42</v>
      </c>
      <c r="E78" s="720" t="s">
        <v>42</v>
      </c>
      <c r="F78" s="720" t="s">
        <v>42</v>
      </c>
      <c r="G78" s="720" t="s">
        <v>42</v>
      </c>
      <c r="H78" s="720"/>
      <c r="I78" s="720" t="s">
        <v>42</v>
      </c>
      <c r="J78" s="720" t="s">
        <v>42</v>
      </c>
      <c r="K78" s="720" t="s">
        <v>42</v>
      </c>
      <c r="L78" s="720"/>
      <c r="M78" s="721" t="s">
        <v>42</v>
      </c>
      <c r="N78" s="720" t="s">
        <v>42</v>
      </c>
      <c r="O78" s="720" t="s">
        <v>42</v>
      </c>
      <c r="P78" s="720"/>
      <c r="Q78" s="720" t="s">
        <v>42</v>
      </c>
      <c r="R78" s="720" t="s">
        <v>42</v>
      </c>
      <c r="S78" s="720" t="s">
        <v>42</v>
      </c>
      <c r="T78" s="720"/>
      <c r="U78" s="716"/>
      <c r="V78" s="717" t="s">
        <v>42</v>
      </c>
      <c r="W78" s="718"/>
      <c r="X78" s="718"/>
      <c r="Y78" s="718"/>
    </row>
    <row r="79" spans="1:26" s="719" customFormat="1" ht="13.5" customHeight="1">
      <c r="A79" s="711"/>
      <c r="B79" s="712" t="s">
        <v>42</v>
      </c>
      <c r="C79" s="713"/>
      <c r="D79" s="713" t="s">
        <v>42</v>
      </c>
      <c r="E79" s="720" t="s">
        <v>42</v>
      </c>
      <c r="F79" s="720" t="s">
        <v>42</v>
      </c>
      <c r="G79" s="720" t="s">
        <v>42</v>
      </c>
      <c r="H79" s="720"/>
      <c r="I79" s="720" t="s">
        <v>42</v>
      </c>
      <c r="J79" s="720" t="s">
        <v>42</v>
      </c>
      <c r="K79" s="720" t="s">
        <v>42</v>
      </c>
      <c r="L79" s="720"/>
      <c r="M79" s="721" t="s">
        <v>42</v>
      </c>
      <c r="N79" s="720" t="s">
        <v>42</v>
      </c>
      <c r="O79" s="720" t="s">
        <v>42</v>
      </c>
      <c r="P79" s="720"/>
      <c r="Q79" s="720" t="s">
        <v>42</v>
      </c>
      <c r="R79" s="720" t="s">
        <v>42</v>
      </c>
      <c r="S79" s="720" t="s">
        <v>42</v>
      </c>
      <c r="T79" s="720"/>
      <c r="U79" s="716"/>
      <c r="V79" s="717" t="s">
        <v>42</v>
      </c>
      <c r="W79" s="718"/>
      <c r="X79" s="718"/>
      <c r="Y79" s="718"/>
    </row>
    <row r="80" spans="1:26" s="719" customFormat="1" ht="13.5" customHeight="1">
      <c r="A80" s="711"/>
      <c r="B80" s="712" t="s">
        <v>42</v>
      </c>
      <c r="C80" s="713"/>
      <c r="D80" s="713" t="s">
        <v>42</v>
      </c>
      <c r="E80" s="720" t="s">
        <v>42</v>
      </c>
      <c r="F80" s="720" t="s">
        <v>42</v>
      </c>
      <c r="G80" s="720" t="s">
        <v>42</v>
      </c>
      <c r="H80" s="720"/>
      <c r="I80" s="720" t="s">
        <v>42</v>
      </c>
      <c r="J80" s="720" t="s">
        <v>42</v>
      </c>
      <c r="K80" s="720" t="s">
        <v>42</v>
      </c>
      <c r="L80" s="720"/>
      <c r="M80" s="721" t="s">
        <v>42</v>
      </c>
      <c r="N80" s="720" t="s">
        <v>42</v>
      </c>
      <c r="O80" s="720" t="s">
        <v>42</v>
      </c>
      <c r="P80" s="720"/>
      <c r="Q80" s="720" t="s">
        <v>42</v>
      </c>
      <c r="R80" s="720" t="s">
        <v>42</v>
      </c>
      <c r="S80" s="720" t="s">
        <v>42</v>
      </c>
      <c r="T80" s="720"/>
      <c r="U80" s="716"/>
      <c r="V80" s="717" t="s">
        <v>42</v>
      </c>
      <c r="W80" s="718"/>
      <c r="X80" s="718"/>
      <c r="Y80" s="718"/>
    </row>
    <row r="81" spans="1:25" s="719" customFormat="1" ht="13.5" customHeight="1">
      <c r="A81" s="711"/>
      <c r="B81" s="712" t="s">
        <v>42</v>
      </c>
      <c r="C81" s="713"/>
      <c r="D81" s="713" t="s">
        <v>42</v>
      </c>
      <c r="E81" s="720" t="s">
        <v>42</v>
      </c>
      <c r="F81" s="720" t="s">
        <v>42</v>
      </c>
      <c r="G81" s="720" t="s">
        <v>42</v>
      </c>
      <c r="H81" s="720"/>
      <c r="I81" s="720" t="s">
        <v>42</v>
      </c>
      <c r="J81" s="720" t="s">
        <v>42</v>
      </c>
      <c r="K81" s="720" t="s">
        <v>42</v>
      </c>
      <c r="L81" s="720"/>
      <c r="M81" s="721" t="s">
        <v>42</v>
      </c>
      <c r="N81" s="720" t="s">
        <v>42</v>
      </c>
      <c r="O81" s="720" t="s">
        <v>42</v>
      </c>
      <c r="P81" s="720"/>
      <c r="Q81" s="720" t="s">
        <v>42</v>
      </c>
      <c r="R81" s="720" t="s">
        <v>42</v>
      </c>
      <c r="S81" s="720" t="s">
        <v>42</v>
      </c>
      <c r="T81" s="720"/>
      <c r="U81" s="716"/>
      <c r="V81" s="717" t="s">
        <v>42</v>
      </c>
      <c r="W81" s="718"/>
      <c r="X81" s="718"/>
      <c r="Y81" s="718"/>
    </row>
    <row r="82" spans="1:25" s="719" customFormat="1" ht="13.5" customHeight="1">
      <c r="A82" s="711"/>
      <c r="B82" s="712" t="s">
        <v>42</v>
      </c>
      <c r="C82" s="713"/>
      <c r="D82" s="713" t="s">
        <v>42</v>
      </c>
      <c r="E82" s="720" t="s">
        <v>42</v>
      </c>
      <c r="F82" s="720" t="s">
        <v>42</v>
      </c>
      <c r="G82" s="720" t="s">
        <v>42</v>
      </c>
      <c r="H82" s="720"/>
      <c r="I82" s="720" t="s">
        <v>42</v>
      </c>
      <c r="J82" s="720" t="s">
        <v>42</v>
      </c>
      <c r="K82" s="720" t="s">
        <v>42</v>
      </c>
      <c r="L82" s="720"/>
      <c r="M82" s="721" t="s">
        <v>42</v>
      </c>
      <c r="N82" s="720" t="s">
        <v>42</v>
      </c>
      <c r="O82" s="720" t="s">
        <v>42</v>
      </c>
      <c r="P82" s="720"/>
      <c r="Q82" s="720" t="s">
        <v>42</v>
      </c>
      <c r="R82" s="720" t="s">
        <v>42</v>
      </c>
      <c r="S82" s="720" t="s">
        <v>42</v>
      </c>
      <c r="T82" s="720"/>
      <c r="U82" s="716"/>
      <c r="V82" s="717" t="s">
        <v>42</v>
      </c>
      <c r="W82" s="718"/>
      <c r="X82" s="718"/>
      <c r="Y82" s="718"/>
    </row>
  </sheetData>
  <mergeCells count="12">
    <mergeCell ref="B3:B5"/>
    <mergeCell ref="E3:H3"/>
    <mergeCell ref="I3:P3"/>
    <mergeCell ref="Q3:T3"/>
    <mergeCell ref="V3:V5"/>
    <mergeCell ref="I4:L4"/>
    <mergeCell ref="M4:P4"/>
    <mergeCell ref="Q4:T4"/>
    <mergeCell ref="E5:H5"/>
    <mergeCell ref="I5:L5"/>
    <mergeCell ref="M5:P5"/>
    <mergeCell ref="Q5:T5"/>
  </mergeCells>
  <conditionalFormatting sqref="E46:T58 R32:T44 G10:H16 F18:H30 J18:L30 N18:P30 N32:P44 S10:T16 O10:P16 K10:L16 F32:H44 J32:L44 R18:T30">
    <cfRule type="cellIs" dxfId="2" priority="3" stopIfTrue="1" operator="equal">
      <formula>0</formula>
    </cfRule>
  </conditionalFormatting>
  <conditionalFormatting sqref="S18:S23">
    <cfRule type="cellIs" dxfId="1" priority="2" stopIfTrue="1" operator="equal">
      <formula>0</formula>
    </cfRule>
  </conditionalFormatting>
  <conditionalFormatting sqref="T18:T23">
    <cfRule type="cellIs" dxfId="0" priority="1" stopIfTrue="1" operator="equal">
      <formula>0</formula>
    </cfRule>
  </conditionalFormatting>
  <pageMargins left="0.39370078740157483" right="0.39370078740157483" top="0.59055118110236227" bottom="0.43307086614173229" header="0.23622047244094491" footer="0.23622047244094491"/>
  <pageSetup paperSize="9" scale="57" fitToHeight="0" orientation="landscape" copies="8" r:id="rId1"/>
  <headerFooter scaleWithDoc="0" alignWithMargins="0">
    <oddFooter>&amp;C&amp;8&amp;P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outlinePr summaryRight="0"/>
    <pageSetUpPr fitToPage="1"/>
  </sheetPr>
  <dimension ref="A1:U170"/>
  <sheetViews>
    <sheetView zoomScaleNormal="100" zoomScaleSheetLayoutView="100" workbookViewId="0">
      <selection activeCell="G18" sqref="G18"/>
    </sheetView>
  </sheetViews>
  <sheetFormatPr baseColWidth="10" defaultRowHeight="12.75"/>
  <cols>
    <col min="1" max="1" width="11.42578125" style="20"/>
    <col min="2" max="2" width="54.7109375" style="116" customWidth="1"/>
    <col min="3" max="3" width="12.7109375" style="395" customWidth="1"/>
    <col min="4" max="4" width="7.140625" style="812" customWidth="1"/>
    <col min="5" max="16" width="8.7109375" style="812" customWidth="1"/>
    <col min="17" max="17" width="12.7109375" style="394" customWidth="1"/>
    <col min="18" max="18" width="55.7109375" style="119" customWidth="1"/>
    <col min="19" max="20" width="10.85546875" style="46" customWidth="1"/>
    <col min="21" max="21" width="62" style="46" customWidth="1"/>
    <col min="22" max="16384" width="11.42578125" style="16"/>
  </cols>
  <sheetData>
    <row r="1" spans="1:21" s="729" customFormat="1" ht="19.5" customHeight="1">
      <c r="A1" s="727"/>
      <c r="B1" s="2" t="s">
        <v>0</v>
      </c>
      <c r="C1" s="4"/>
      <c r="D1" s="4"/>
      <c r="E1" s="4"/>
      <c r="F1" s="728"/>
      <c r="G1" s="728"/>
      <c r="H1" s="4" t="s">
        <v>1</v>
      </c>
      <c r="I1" s="728"/>
      <c r="J1" s="728"/>
      <c r="K1" s="728"/>
      <c r="L1" s="728"/>
      <c r="M1" s="728"/>
      <c r="N1" s="728"/>
      <c r="O1" s="728"/>
      <c r="P1" s="728"/>
      <c r="Q1" s="400"/>
      <c r="R1" s="6" t="s">
        <v>2</v>
      </c>
    </row>
    <row r="2" spans="1:21" s="14" customFormat="1" ht="14.25" customHeight="1">
      <c r="A2" s="730"/>
      <c r="B2" s="1190" t="s">
        <v>913</v>
      </c>
      <c r="C2" s="1191"/>
      <c r="D2" s="1191"/>
      <c r="E2" s="1191"/>
      <c r="F2" s="731"/>
      <c r="G2" s="731"/>
      <c r="H2" s="731"/>
      <c r="I2" s="731"/>
      <c r="J2" s="732"/>
      <c r="K2" s="732"/>
      <c r="L2" s="731"/>
      <c r="M2" s="731"/>
      <c r="N2" s="731"/>
      <c r="O2" s="731"/>
      <c r="P2" s="731"/>
      <c r="Q2" s="733"/>
      <c r="R2" s="13" t="s">
        <v>3</v>
      </c>
    </row>
    <row r="3" spans="1:21" ht="25.5" customHeight="1">
      <c r="A3" s="15" t="s">
        <v>4</v>
      </c>
      <c r="B3" s="1192" t="s">
        <v>912</v>
      </c>
      <c r="C3" s="1193" t="s">
        <v>911</v>
      </c>
      <c r="D3" s="1194"/>
      <c r="E3" s="1172" t="s">
        <v>8</v>
      </c>
      <c r="F3" s="1172"/>
      <c r="G3" s="1172"/>
      <c r="H3" s="1173" t="s">
        <v>9</v>
      </c>
      <c r="I3" s="1173"/>
      <c r="J3" s="1173"/>
      <c r="K3" s="1173"/>
      <c r="L3" s="1173"/>
      <c r="M3" s="1173"/>
      <c r="N3" s="1174" t="s">
        <v>10</v>
      </c>
      <c r="O3" s="1174"/>
      <c r="P3" s="1174"/>
      <c r="Q3" s="399" t="s">
        <v>781</v>
      </c>
      <c r="R3" s="1198" t="s">
        <v>780</v>
      </c>
      <c r="S3" s="16"/>
      <c r="T3" s="16"/>
      <c r="U3" s="16"/>
    </row>
    <row r="4" spans="1:21" ht="14.25" customHeight="1">
      <c r="A4" s="1157" t="s">
        <v>12</v>
      </c>
      <c r="B4" s="1156"/>
      <c r="C4" s="581" t="s">
        <v>779</v>
      </c>
      <c r="D4" s="398" t="s">
        <v>569</v>
      </c>
      <c r="E4" s="17"/>
      <c r="F4" s="18"/>
      <c r="G4" s="19"/>
      <c r="H4" s="1159" t="s">
        <v>13</v>
      </c>
      <c r="I4" s="1159"/>
      <c r="J4" s="1159"/>
      <c r="K4" s="1159" t="s">
        <v>14</v>
      </c>
      <c r="L4" s="1159"/>
      <c r="M4" s="1159"/>
      <c r="N4" s="1184" t="s">
        <v>15</v>
      </c>
      <c r="O4" s="1185"/>
      <c r="P4" s="1185"/>
      <c r="Q4" s="734"/>
      <c r="R4" s="1199"/>
      <c r="S4" s="16"/>
      <c r="T4" s="16"/>
      <c r="U4" s="16"/>
    </row>
    <row r="5" spans="1:21" ht="12.75" customHeight="1">
      <c r="A5" s="1200"/>
      <c r="B5" s="1156"/>
      <c r="C5" s="1201" t="s">
        <v>910</v>
      </c>
      <c r="D5" s="582" t="s">
        <v>778</v>
      </c>
      <c r="E5" s="1164" t="s">
        <v>8</v>
      </c>
      <c r="F5" s="1164"/>
      <c r="G5" s="1164"/>
      <c r="H5" s="1165" t="s">
        <v>17</v>
      </c>
      <c r="I5" s="1165"/>
      <c r="J5" s="1165"/>
      <c r="K5" s="1165" t="s">
        <v>18</v>
      </c>
      <c r="L5" s="1165"/>
      <c r="M5" s="1165"/>
      <c r="N5" s="1165" t="s">
        <v>19</v>
      </c>
      <c r="O5" s="1165"/>
      <c r="P5" s="1165"/>
      <c r="Q5" s="734" t="s">
        <v>777</v>
      </c>
      <c r="R5" s="1199"/>
      <c r="S5" s="16"/>
      <c r="T5" s="16"/>
      <c r="U5" s="16"/>
    </row>
    <row r="6" spans="1:21" ht="14.25" customHeight="1">
      <c r="B6" s="21" t="s">
        <v>20</v>
      </c>
      <c r="C6" s="1202"/>
      <c r="D6" s="581"/>
      <c r="E6" s="22" t="s">
        <v>21</v>
      </c>
      <c r="F6" s="23" t="s">
        <v>22</v>
      </c>
      <c r="G6" s="23" t="s">
        <v>23</v>
      </c>
      <c r="H6" s="24" t="s">
        <v>21</v>
      </c>
      <c r="I6" s="25" t="s">
        <v>22</v>
      </c>
      <c r="J6" s="25" t="s">
        <v>23</v>
      </c>
      <c r="K6" s="24" t="s">
        <v>21</v>
      </c>
      <c r="L6" s="25" t="s">
        <v>22</v>
      </c>
      <c r="M6" s="25" t="s">
        <v>23</v>
      </c>
      <c r="N6" s="24" t="s">
        <v>21</v>
      </c>
      <c r="O6" s="25" t="s">
        <v>22</v>
      </c>
      <c r="P6" s="25" t="s">
        <v>23</v>
      </c>
      <c r="Q6" s="397"/>
      <c r="R6" s="26"/>
      <c r="S6" s="16"/>
      <c r="T6" s="16"/>
      <c r="U6" s="16"/>
    </row>
    <row r="7" spans="1:21" s="32" customFormat="1" ht="14.25" customHeight="1">
      <c r="A7" s="27"/>
      <c r="B7" s="21"/>
      <c r="C7" s="581"/>
      <c r="D7" s="735"/>
      <c r="E7" s="28" t="s">
        <v>24</v>
      </c>
      <c r="F7" s="29" t="s">
        <v>25</v>
      </c>
      <c r="G7" s="29" t="s">
        <v>26</v>
      </c>
      <c r="H7" s="30" t="s">
        <v>24</v>
      </c>
      <c r="I7" s="31" t="s">
        <v>25</v>
      </c>
      <c r="J7" s="31" t="s">
        <v>26</v>
      </c>
      <c r="K7" s="30" t="s">
        <v>24</v>
      </c>
      <c r="L7" s="31" t="s">
        <v>25</v>
      </c>
      <c r="M7" s="31" t="s">
        <v>26</v>
      </c>
      <c r="N7" s="30" t="s">
        <v>24</v>
      </c>
      <c r="O7" s="31" t="s">
        <v>25</v>
      </c>
      <c r="P7" s="31" t="s">
        <v>26</v>
      </c>
      <c r="Q7" s="397"/>
      <c r="R7" s="26"/>
      <c r="S7" s="16"/>
      <c r="T7" s="16"/>
      <c r="U7" s="16"/>
    </row>
    <row r="8" spans="1:21" s="32" customFormat="1" ht="12.75" customHeight="1">
      <c r="A8" s="27"/>
      <c r="B8" s="33"/>
      <c r="C8" s="736"/>
      <c r="D8" s="736"/>
      <c r="E8" s="35" t="s">
        <v>27</v>
      </c>
      <c r="F8" s="35" t="s">
        <v>27</v>
      </c>
      <c r="G8" s="35" t="s">
        <v>27</v>
      </c>
      <c r="H8" s="36" t="s">
        <v>28</v>
      </c>
      <c r="I8" s="36" t="s">
        <v>28</v>
      </c>
      <c r="J8" s="36" t="s">
        <v>28</v>
      </c>
      <c r="K8" s="36" t="s">
        <v>28</v>
      </c>
      <c r="L8" s="36" t="s">
        <v>28</v>
      </c>
      <c r="M8" s="36" t="s">
        <v>28</v>
      </c>
      <c r="N8" s="36" t="s">
        <v>29</v>
      </c>
      <c r="O8" s="36" t="s">
        <v>29</v>
      </c>
      <c r="P8" s="36" t="s">
        <v>29</v>
      </c>
      <c r="Q8" s="396"/>
      <c r="R8" s="37"/>
      <c r="S8" s="16"/>
      <c r="T8" s="16"/>
      <c r="U8" s="16"/>
    </row>
    <row r="9" spans="1:21" s="47" customFormat="1" ht="16.5" customHeight="1">
      <c r="A9" s="38">
        <v>31</v>
      </c>
      <c r="B9" s="737" t="s">
        <v>776</v>
      </c>
      <c r="C9" s="738"/>
      <c r="D9" s="739"/>
      <c r="E9" s="740"/>
      <c r="F9" s="740"/>
      <c r="G9" s="740"/>
      <c r="H9" s="741"/>
      <c r="I9" s="741"/>
      <c r="J9" s="741"/>
      <c r="K9" s="1195"/>
      <c r="L9" s="1196"/>
      <c r="M9" s="1197"/>
      <c r="N9" s="741"/>
      <c r="O9" s="741"/>
      <c r="P9" s="741"/>
      <c r="Q9" s="741"/>
      <c r="R9" s="742" t="s">
        <v>775</v>
      </c>
      <c r="S9" s="16"/>
      <c r="T9" s="16"/>
      <c r="U9" s="16"/>
    </row>
    <row r="10" spans="1:21" s="47" customFormat="1" ht="12.75" customHeight="1">
      <c r="A10" s="48">
        <f t="shared" ref="A10:A24" si="0">A9+0.001</f>
        <v>31.001000000000001</v>
      </c>
      <c r="B10" s="743" t="s">
        <v>774</v>
      </c>
      <c r="C10" s="744" t="s">
        <v>721</v>
      </c>
      <c r="D10" s="51" t="s">
        <v>115</v>
      </c>
      <c r="E10" s="676">
        <v>1100.3457725488693</v>
      </c>
      <c r="F10" s="745">
        <v>1088.136492329538</v>
      </c>
      <c r="G10" s="746">
        <v>12.209280219331369</v>
      </c>
      <c r="H10" s="747">
        <v>9.4174245694034724</v>
      </c>
      <c r="I10" s="748">
        <v>9.3500447546430205</v>
      </c>
      <c r="J10" s="749">
        <v>6.7379814760451517E-2</v>
      </c>
      <c r="K10" s="747">
        <v>8.7849140200688414</v>
      </c>
      <c r="L10" s="748">
        <v>8.7185103820653929</v>
      </c>
      <c r="M10" s="57">
        <v>6.640363800344902E-2</v>
      </c>
      <c r="N10" s="54">
        <v>0.53488567810502119</v>
      </c>
      <c r="O10" s="55">
        <v>0.52474789005418787</v>
      </c>
      <c r="P10" s="57">
        <v>1.0137788050833334E-2</v>
      </c>
      <c r="Q10" s="750" t="s">
        <v>720</v>
      </c>
      <c r="R10" s="751" t="s">
        <v>773</v>
      </c>
      <c r="S10" s="16"/>
      <c r="T10" s="16"/>
      <c r="U10" s="16"/>
    </row>
    <row r="11" spans="1:21" s="47" customFormat="1" ht="15.75" customHeight="1">
      <c r="A11" s="48">
        <f t="shared" si="0"/>
        <v>31.002000000000002</v>
      </c>
      <c r="B11" s="752" t="s">
        <v>772</v>
      </c>
      <c r="C11" s="744" t="s">
        <v>721</v>
      </c>
      <c r="D11" s="51" t="s">
        <v>115</v>
      </c>
      <c r="E11" s="753">
        <v>3300</v>
      </c>
      <c r="F11" s="754">
        <v>3260</v>
      </c>
      <c r="G11" s="755">
        <v>36.627840657994106</v>
      </c>
      <c r="H11" s="756">
        <v>28.252273708210407</v>
      </c>
      <c r="I11" s="757">
        <v>28.050134263929053</v>
      </c>
      <c r="J11" s="758">
        <v>0.20213944428135455</v>
      </c>
      <c r="K11" s="756">
        <v>26.354742060206515</v>
      </c>
      <c r="L11" s="757">
        <v>26.155531146196168</v>
      </c>
      <c r="M11" s="759">
        <v>0.19921091401034705</v>
      </c>
      <c r="N11" s="760">
        <v>1.6046570343150637</v>
      </c>
      <c r="O11" s="761">
        <v>1.5742436701625637</v>
      </c>
      <c r="P11" s="762">
        <v>3.04133641525E-2</v>
      </c>
      <c r="Q11" s="763" t="s">
        <v>720</v>
      </c>
      <c r="R11" s="764" t="s">
        <v>771</v>
      </c>
      <c r="S11" s="16"/>
      <c r="T11" s="16"/>
      <c r="U11" s="16"/>
    </row>
    <row r="12" spans="1:21" s="47" customFormat="1" ht="15.75" customHeight="1">
      <c r="A12" s="48">
        <f t="shared" si="0"/>
        <v>31.003000000000004</v>
      </c>
      <c r="B12" s="752" t="s">
        <v>770</v>
      </c>
      <c r="C12" s="744" t="s">
        <v>721</v>
      </c>
      <c r="D12" s="51" t="s">
        <v>115</v>
      </c>
      <c r="E12" s="753">
        <v>5500</v>
      </c>
      <c r="F12" s="754">
        <v>5440</v>
      </c>
      <c r="G12" s="755">
        <v>61.046401096656837</v>
      </c>
      <c r="H12" s="756">
        <v>47.087122847017355</v>
      </c>
      <c r="I12" s="757">
        <v>46.750223773215097</v>
      </c>
      <c r="J12" s="758">
        <v>0.33689907380225759</v>
      </c>
      <c r="K12" s="756">
        <v>43.924570100344205</v>
      </c>
      <c r="L12" s="757">
        <v>43.592551910326961</v>
      </c>
      <c r="M12" s="759">
        <v>0.33201819001724509</v>
      </c>
      <c r="N12" s="760">
        <v>2.6744283905251067</v>
      </c>
      <c r="O12" s="761">
        <v>2.6237394502709401</v>
      </c>
      <c r="P12" s="762">
        <v>5.0688940254166662E-2</v>
      </c>
      <c r="Q12" s="763" t="s">
        <v>720</v>
      </c>
      <c r="R12" s="764" t="s">
        <v>769</v>
      </c>
      <c r="S12" s="16"/>
      <c r="T12" s="16"/>
      <c r="U12" s="16"/>
    </row>
    <row r="13" spans="1:21" s="47" customFormat="1" ht="15.75" customHeight="1">
      <c r="A13" s="48">
        <f t="shared" si="0"/>
        <v>31.004000000000005</v>
      </c>
      <c r="B13" s="752" t="s">
        <v>768</v>
      </c>
      <c r="C13" s="744" t="s">
        <v>721</v>
      </c>
      <c r="D13" s="51" t="s">
        <v>115</v>
      </c>
      <c r="E13" s="753">
        <v>4369.5111719425076</v>
      </c>
      <c r="F13" s="754">
        <v>4080</v>
      </c>
      <c r="G13" s="754">
        <v>288.19788633500087</v>
      </c>
      <c r="H13" s="756">
        <v>69.394165810666664</v>
      </c>
      <c r="I13" s="757">
        <v>68.868195581930664</v>
      </c>
      <c r="J13" s="758">
        <v>0.52597022873599997</v>
      </c>
      <c r="K13" s="756">
        <v>68.566462637333331</v>
      </c>
      <c r="L13" s="757">
        <v>68.114954510997336</v>
      </c>
      <c r="M13" s="759">
        <v>0.45150812633599996</v>
      </c>
      <c r="N13" s="760">
        <v>3.8061333333333329</v>
      </c>
      <c r="O13" s="761">
        <v>3.4697373333333328</v>
      </c>
      <c r="P13" s="759">
        <v>0.33639599999999997</v>
      </c>
      <c r="Q13" s="763" t="s">
        <v>720</v>
      </c>
      <c r="R13" s="764" t="s">
        <v>767</v>
      </c>
      <c r="S13" s="16"/>
      <c r="T13" s="16"/>
      <c r="U13" s="16"/>
    </row>
    <row r="14" spans="1:21" s="47" customFormat="1" ht="15.75" customHeight="1">
      <c r="A14" s="48">
        <f t="shared" si="0"/>
        <v>31.005000000000006</v>
      </c>
      <c r="B14" s="752" t="s">
        <v>766</v>
      </c>
      <c r="C14" s="744" t="s">
        <v>721</v>
      </c>
      <c r="D14" s="51" t="s">
        <v>115</v>
      </c>
      <c r="E14" s="753">
        <v>13100</v>
      </c>
      <c r="F14" s="754">
        <v>12200</v>
      </c>
      <c r="G14" s="754">
        <v>864.59365900500268</v>
      </c>
      <c r="H14" s="765">
        <v>208.18249743200002</v>
      </c>
      <c r="I14" s="766">
        <v>206.60458674579201</v>
      </c>
      <c r="J14" s="767">
        <v>1.5779106862079999</v>
      </c>
      <c r="K14" s="765">
        <v>205.69938791200002</v>
      </c>
      <c r="L14" s="766">
        <v>204.34486353299201</v>
      </c>
      <c r="M14" s="761">
        <v>1.3545243790079999</v>
      </c>
      <c r="N14" s="768">
        <v>11.4184</v>
      </c>
      <c r="O14" s="769">
        <v>10.409212</v>
      </c>
      <c r="P14" s="761">
        <v>1.009188</v>
      </c>
      <c r="Q14" s="763" t="s">
        <v>720</v>
      </c>
      <c r="R14" s="764" t="s">
        <v>765</v>
      </c>
      <c r="S14" s="16"/>
      <c r="T14" s="16"/>
      <c r="U14" s="16"/>
    </row>
    <row r="15" spans="1:21" s="47" customFormat="1" ht="15.75" customHeight="1">
      <c r="A15" s="48">
        <f t="shared" si="0"/>
        <v>31.006000000000007</v>
      </c>
      <c r="B15" s="752" t="s">
        <v>764</v>
      </c>
      <c r="C15" s="744" t="s">
        <v>721</v>
      </c>
      <c r="D15" s="51" t="s">
        <v>115</v>
      </c>
      <c r="E15" s="753">
        <v>21800</v>
      </c>
      <c r="F15" s="754">
        <v>20400</v>
      </c>
      <c r="G15" s="754">
        <v>1440</v>
      </c>
      <c r="H15" s="765">
        <v>346.97082905333338</v>
      </c>
      <c r="I15" s="766">
        <v>344.34097790965336</v>
      </c>
      <c r="J15" s="767">
        <v>2.6298511436799998</v>
      </c>
      <c r="K15" s="765">
        <v>342.83231318666668</v>
      </c>
      <c r="L15" s="766">
        <v>340.57477255498668</v>
      </c>
      <c r="M15" s="761">
        <v>2.25754063168</v>
      </c>
      <c r="N15" s="768">
        <v>19.030666666666669</v>
      </c>
      <c r="O15" s="769">
        <v>17.348686666666669</v>
      </c>
      <c r="P15" s="761">
        <v>1.68198</v>
      </c>
      <c r="Q15" s="763" t="s">
        <v>720</v>
      </c>
      <c r="R15" s="764" t="s">
        <v>763</v>
      </c>
      <c r="S15" s="16"/>
      <c r="T15" s="16"/>
      <c r="U15" s="16"/>
    </row>
    <row r="16" spans="1:21" s="47" customFormat="1" ht="15.75" customHeight="1">
      <c r="A16" s="48">
        <f t="shared" si="0"/>
        <v>31.007000000000009</v>
      </c>
      <c r="B16" s="770" t="s">
        <v>762</v>
      </c>
      <c r="C16" s="744" t="s">
        <v>755</v>
      </c>
      <c r="D16" s="51" t="s">
        <v>115</v>
      </c>
      <c r="E16" s="753">
        <f>ROUND(638906.2,-3)</f>
        <v>639000</v>
      </c>
      <c r="F16" s="754">
        <f>E16</f>
        <v>639000</v>
      </c>
      <c r="G16" s="754" t="s">
        <v>710</v>
      </c>
      <c r="H16" s="765">
        <f>ROUND(5064.683,-1)</f>
        <v>5060</v>
      </c>
      <c r="I16" s="766">
        <f>H16</f>
        <v>5060</v>
      </c>
      <c r="J16" s="766" t="s">
        <v>710</v>
      </c>
      <c r="K16" s="765">
        <f>ROUND(4521.927278,-1)</f>
        <v>4520</v>
      </c>
      <c r="L16" s="766">
        <f>K16</f>
        <v>4520</v>
      </c>
      <c r="M16" s="766" t="s">
        <v>710</v>
      </c>
      <c r="N16" s="771">
        <v>289.03696000000002</v>
      </c>
      <c r="O16" s="772">
        <f>N16</f>
        <v>289.03696000000002</v>
      </c>
      <c r="P16" s="769" t="s">
        <v>710</v>
      </c>
      <c r="Q16" s="763" t="s">
        <v>754</v>
      </c>
      <c r="R16" s="773" t="s">
        <v>761</v>
      </c>
      <c r="S16" s="16"/>
      <c r="T16" s="16"/>
      <c r="U16" s="16"/>
    </row>
    <row r="17" spans="1:21" s="47" customFormat="1" ht="15.75" customHeight="1">
      <c r="A17" s="48">
        <f t="shared" si="0"/>
        <v>31.00800000000001</v>
      </c>
      <c r="B17" s="770" t="s">
        <v>760</v>
      </c>
      <c r="C17" s="744" t="s">
        <v>755</v>
      </c>
      <c r="D17" s="51" t="s">
        <v>115</v>
      </c>
      <c r="E17" s="753">
        <f>ROUND(431907.55,-3)</f>
        <v>432000</v>
      </c>
      <c r="F17" s="754">
        <f>E17</f>
        <v>432000</v>
      </c>
      <c r="G17" s="754" t="s">
        <v>710</v>
      </c>
      <c r="H17" s="765">
        <f>ROUND(3738.52983333333,-1)</f>
        <v>3740</v>
      </c>
      <c r="I17" s="766">
        <f>H17</f>
        <v>3740</v>
      </c>
      <c r="J17" s="766" t="s">
        <v>710</v>
      </c>
      <c r="K17" s="765">
        <f>ROUND(3331.59915833333,-1)</f>
        <v>3330</v>
      </c>
      <c r="L17" s="766">
        <f>K17</f>
        <v>3330</v>
      </c>
      <c r="M17" s="766" t="s">
        <v>710</v>
      </c>
      <c r="N17" s="771">
        <v>214.75246666666666</v>
      </c>
      <c r="O17" s="772">
        <f>N17</f>
        <v>214.75246666666666</v>
      </c>
      <c r="P17" s="769" t="s">
        <v>710</v>
      </c>
      <c r="Q17" s="763" t="s">
        <v>754</v>
      </c>
      <c r="R17" s="773" t="s">
        <v>759</v>
      </c>
      <c r="S17" s="16"/>
      <c r="T17" s="16"/>
      <c r="U17" s="16"/>
    </row>
    <row r="18" spans="1:21" s="47" customFormat="1" ht="15.75" customHeight="1">
      <c r="A18" s="48">
        <f t="shared" si="0"/>
        <v>31.009000000000011</v>
      </c>
      <c r="B18" s="770" t="s">
        <v>758</v>
      </c>
      <c r="C18" s="744" t="s">
        <v>755</v>
      </c>
      <c r="D18" s="51" t="s">
        <v>115</v>
      </c>
      <c r="E18" s="753">
        <f>ROUND(356590.133333333,-3)</f>
        <v>357000</v>
      </c>
      <c r="F18" s="754">
        <f>E18</f>
        <v>357000</v>
      </c>
      <c r="G18" s="754" t="s">
        <v>710</v>
      </c>
      <c r="H18" s="765">
        <f>ROUND(2900.62103333333,-1)</f>
        <v>2900</v>
      </c>
      <c r="I18" s="766">
        <f>H18</f>
        <v>2900</v>
      </c>
      <c r="J18" s="766" t="s">
        <v>710</v>
      </c>
      <c r="K18" s="765">
        <f>ROUND(2597.78983,-1)</f>
        <v>2600</v>
      </c>
      <c r="L18" s="766">
        <f>K18</f>
        <v>2600</v>
      </c>
      <c r="M18" s="766" t="s">
        <v>710</v>
      </c>
      <c r="N18" s="771">
        <v>168.50367999999997</v>
      </c>
      <c r="O18" s="772">
        <f>N18</f>
        <v>168.50367999999997</v>
      </c>
      <c r="P18" s="769" t="s">
        <v>710</v>
      </c>
      <c r="Q18" s="763" t="s">
        <v>754</v>
      </c>
      <c r="R18" s="773" t="s">
        <v>757</v>
      </c>
      <c r="S18" s="16"/>
      <c r="T18" s="16"/>
      <c r="U18" s="16"/>
    </row>
    <row r="19" spans="1:21" s="47" customFormat="1" ht="15.75" customHeight="1">
      <c r="A19" s="48">
        <f t="shared" si="0"/>
        <v>31.010000000000012</v>
      </c>
      <c r="B19" s="770" t="s">
        <v>756</v>
      </c>
      <c r="C19" s="744" t="s">
        <v>755</v>
      </c>
      <c r="D19" s="51" t="s">
        <v>115</v>
      </c>
      <c r="E19" s="753">
        <f>ROUND(437154.942857143,-3)</f>
        <v>437000</v>
      </c>
      <c r="F19" s="754">
        <f>E19</f>
        <v>437000</v>
      </c>
      <c r="G19" s="754" t="s">
        <v>710</v>
      </c>
      <c r="H19" s="765">
        <f>ROUND(3854.11247619048,-1)</f>
        <v>3850</v>
      </c>
      <c r="I19" s="766">
        <f>H19</f>
        <v>3850</v>
      </c>
      <c r="J19" s="766" t="s">
        <v>710</v>
      </c>
      <c r="K19" s="765">
        <f>ROUND(3499.65549238095,-1)</f>
        <v>3500</v>
      </c>
      <c r="L19" s="766">
        <f>K19</f>
        <v>3500</v>
      </c>
      <c r="M19" s="766" t="s">
        <v>710</v>
      </c>
      <c r="N19" s="771">
        <v>216.44321904761904</v>
      </c>
      <c r="O19" s="772">
        <f>N19</f>
        <v>216.44321904761904</v>
      </c>
      <c r="P19" s="769" t="s">
        <v>710</v>
      </c>
      <c r="Q19" s="763" t="s">
        <v>754</v>
      </c>
      <c r="R19" s="773" t="s">
        <v>753</v>
      </c>
      <c r="S19" s="16"/>
      <c r="T19" s="16"/>
      <c r="U19" s="16"/>
    </row>
    <row r="20" spans="1:21" s="47" customFormat="1" ht="15.75" customHeight="1">
      <c r="A20" s="48">
        <f t="shared" si="0"/>
        <v>31.011000000000013</v>
      </c>
      <c r="B20" s="752" t="s">
        <v>752</v>
      </c>
      <c r="C20" s="744" t="s">
        <v>721</v>
      </c>
      <c r="D20" s="51" t="s">
        <v>115</v>
      </c>
      <c r="E20" s="753">
        <v>8180</v>
      </c>
      <c r="F20" s="754">
        <v>8100</v>
      </c>
      <c r="G20" s="755">
        <v>79.937233444398672</v>
      </c>
      <c r="H20" s="756">
        <v>94.218611463040759</v>
      </c>
      <c r="I20" s="757">
        <v>94.164996254940689</v>
      </c>
      <c r="J20" s="774">
        <v>5.3615208100064975E-2</v>
      </c>
      <c r="K20" s="756">
        <v>91.005845010565835</v>
      </c>
      <c r="L20" s="757">
        <v>90.953542919356295</v>
      </c>
      <c r="M20" s="762">
        <v>5.2302091209543204E-2</v>
      </c>
      <c r="N20" s="760">
        <v>5.4974862312005621</v>
      </c>
      <c r="O20" s="761">
        <v>5.376598809193962</v>
      </c>
      <c r="P20" s="759">
        <v>0.12088742200660006</v>
      </c>
      <c r="Q20" s="763" t="s">
        <v>720</v>
      </c>
      <c r="R20" s="773" t="s">
        <v>751</v>
      </c>
      <c r="S20" s="16"/>
      <c r="T20" s="16"/>
      <c r="U20" s="16"/>
    </row>
    <row r="21" spans="1:21" s="47" customFormat="1" ht="15.75" customHeight="1">
      <c r="A21" s="48">
        <f t="shared" si="0"/>
        <v>31.012000000000015</v>
      </c>
      <c r="B21" s="752" t="s">
        <v>750</v>
      </c>
      <c r="C21" s="744" t="s">
        <v>721</v>
      </c>
      <c r="D21" s="51" t="s">
        <v>115</v>
      </c>
      <c r="E21" s="753">
        <v>13400</v>
      </c>
      <c r="F21" s="754">
        <v>13300</v>
      </c>
      <c r="G21" s="754">
        <v>130.80638199992509</v>
      </c>
      <c r="H21" s="765">
        <v>154.17590966679398</v>
      </c>
      <c r="I21" s="766">
        <v>154.08817568990298</v>
      </c>
      <c r="J21" s="774">
        <v>8.7733976891015406E-2</v>
      </c>
      <c r="K21" s="765">
        <v>148.91865547183502</v>
      </c>
      <c r="L21" s="766">
        <v>148.83307023167396</v>
      </c>
      <c r="M21" s="762">
        <v>8.5585240161070691E-2</v>
      </c>
      <c r="N21" s="760">
        <v>8.9958865601463724</v>
      </c>
      <c r="O21" s="761">
        <v>8.7980707786810264</v>
      </c>
      <c r="P21" s="759">
        <v>0.19781578146534556</v>
      </c>
      <c r="Q21" s="763" t="s">
        <v>720</v>
      </c>
      <c r="R21" s="773" t="s">
        <v>749</v>
      </c>
      <c r="S21" s="16"/>
      <c r="T21" s="16"/>
      <c r="U21" s="16"/>
    </row>
    <row r="22" spans="1:21" s="47" customFormat="1" ht="15.75" customHeight="1">
      <c r="A22" s="48">
        <f t="shared" si="0"/>
        <v>31.013000000000016</v>
      </c>
      <c r="B22" s="752" t="s">
        <v>748</v>
      </c>
      <c r="C22" s="744" t="s">
        <v>721</v>
      </c>
      <c r="D22" s="51" t="s">
        <v>115</v>
      </c>
      <c r="E22" s="753">
        <v>18600.15282640946</v>
      </c>
      <c r="F22" s="754">
        <v>18400</v>
      </c>
      <c r="G22" s="754">
        <v>181.67553055545153</v>
      </c>
      <c r="H22" s="765">
        <v>214.13320787054724</v>
      </c>
      <c r="I22" s="766">
        <v>214.01135512486528</v>
      </c>
      <c r="J22" s="758">
        <v>0.12185274568196586</v>
      </c>
      <c r="K22" s="765">
        <v>206.83146593310423</v>
      </c>
      <c r="L22" s="766">
        <v>206.71259754399162</v>
      </c>
      <c r="M22" s="759">
        <v>0.1188683891125982</v>
      </c>
      <c r="N22" s="768">
        <v>12.494286889092187</v>
      </c>
      <c r="O22" s="769">
        <v>12.219542748168097</v>
      </c>
      <c r="P22" s="759">
        <v>0.27474414092409105</v>
      </c>
      <c r="Q22" s="763" t="s">
        <v>720</v>
      </c>
      <c r="R22" s="773" t="s">
        <v>747</v>
      </c>
      <c r="S22" s="16"/>
      <c r="T22" s="16"/>
      <c r="U22" s="16"/>
    </row>
    <row r="23" spans="1:21" s="47" customFormat="1" ht="15.75" customHeight="1">
      <c r="A23" s="48">
        <f t="shared" si="0"/>
        <v>31.014000000000017</v>
      </c>
      <c r="B23" s="752" t="s">
        <v>746</v>
      </c>
      <c r="C23" s="744" t="s">
        <v>721</v>
      </c>
      <c r="D23" s="51" t="s">
        <v>115</v>
      </c>
      <c r="E23" s="753">
        <v>8390</v>
      </c>
      <c r="F23" s="754">
        <v>6249.8177731595806</v>
      </c>
      <c r="G23" s="754">
        <v>2140</v>
      </c>
      <c r="H23" s="765">
        <v>132.22138257543813</v>
      </c>
      <c r="I23" s="766">
        <v>131.86722374438608</v>
      </c>
      <c r="J23" s="758">
        <v>0.35415883105205975</v>
      </c>
      <c r="K23" s="765">
        <v>127.53453280292628</v>
      </c>
      <c r="L23" s="766">
        <v>127.1889009158601</v>
      </c>
      <c r="M23" s="759">
        <v>0.34563188706617798</v>
      </c>
      <c r="N23" s="760">
        <v>8.5667804586306975</v>
      </c>
      <c r="O23" s="761">
        <v>5.2279454064181365</v>
      </c>
      <c r="P23" s="761">
        <v>3.3388350522125614</v>
      </c>
      <c r="Q23" s="763" t="s">
        <v>720</v>
      </c>
      <c r="R23" s="764" t="s">
        <v>745</v>
      </c>
      <c r="S23" s="16"/>
      <c r="T23" s="16"/>
      <c r="U23" s="16"/>
    </row>
    <row r="24" spans="1:21" s="47" customFormat="1" ht="15.75" customHeight="1">
      <c r="A24" s="48">
        <f t="shared" si="0"/>
        <v>31.015000000000018</v>
      </c>
      <c r="B24" s="752" t="s">
        <v>744</v>
      </c>
      <c r="C24" s="744" t="s">
        <v>721</v>
      </c>
      <c r="D24" s="51" t="s">
        <v>115</v>
      </c>
      <c r="E24" s="753">
        <v>2700</v>
      </c>
      <c r="F24" s="754">
        <v>2660</v>
      </c>
      <c r="G24" s="755">
        <v>42.84156158521899</v>
      </c>
      <c r="H24" s="756">
        <v>30.846694697563777</v>
      </c>
      <c r="I24" s="757">
        <v>30.827894884192013</v>
      </c>
      <c r="J24" s="774">
        <v>1.8799813371765207E-2</v>
      </c>
      <c r="K24" s="756">
        <v>29.966170574058417</v>
      </c>
      <c r="L24" s="757">
        <v>29.947604970091838</v>
      </c>
      <c r="M24" s="762">
        <v>1.856560396657745E-2</v>
      </c>
      <c r="N24" s="760">
        <v>1.7156420810933011</v>
      </c>
      <c r="O24" s="761">
        <v>1.6492272856334413</v>
      </c>
      <c r="P24" s="762">
        <v>6.6414795459859677E-2</v>
      </c>
      <c r="Q24" s="763" t="s">
        <v>720</v>
      </c>
      <c r="R24" s="764" t="s">
        <v>743</v>
      </c>
      <c r="S24" s="16"/>
      <c r="T24" s="16"/>
      <c r="U24" s="16"/>
    </row>
    <row r="25" spans="1:21" s="47" customFormat="1" ht="15.75" customHeight="1">
      <c r="A25" s="38">
        <v>32</v>
      </c>
      <c r="B25" s="775" t="s">
        <v>455</v>
      </c>
      <c r="C25" s="776"/>
      <c r="D25" s="777"/>
      <c r="E25" s="778"/>
      <c r="F25" s="779"/>
      <c r="G25" s="779"/>
      <c r="H25" s="780"/>
      <c r="I25" s="781"/>
      <c r="J25" s="781"/>
      <c r="K25" s="780"/>
      <c r="L25" s="781"/>
      <c r="M25" s="781"/>
      <c r="N25" s="780"/>
      <c r="O25" s="781"/>
      <c r="P25" s="781"/>
      <c r="Q25" s="780"/>
      <c r="R25" s="782" t="s">
        <v>742</v>
      </c>
      <c r="S25" s="16"/>
      <c r="T25" s="16"/>
      <c r="U25" s="16"/>
    </row>
    <row r="26" spans="1:21" s="47" customFormat="1" ht="15.75" customHeight="1">
      <c r="A26" s="48">
        <f t="shared" ref="A26:A34" si="1">A25+0.001</f>
        <v>32.000999999999998</v>
      </c>
      <c r="B26" s="752" t="s">
        <v>741</v>
      </c>
      <c r="C26" s="744" t="s">
        <v>721</v>
      </c>
      <c r="D26" s="51" t="s">
        <v>115</v>
      </c>
      <c r="E26" s="753">
        <v>39700</v>
      </c>
      <c r="F26" s="754">
        <v>39500</v>
      </c>
      <c r="G26" s="754">
        <v>227.93154401056881</v>
      </c>
      <c r="H26" s="765">
        <v>226.59139543472847</v>
      </c>
      <c r="I26" s="766">
        <v>226.04978238597701</v>
      </c>
      <c r="J26" s="758">
        <v>0.54161304875145966</v>
      </c>
      <c r="K26" s="765">
        <v>212.97440357353267</v>
      </c>
      <c r="L26" s="766">
        <v>212.46333215224956</v>
      </c>
      <c r="M26" s="758">
        <v>0.51107142128310468</v>
      </c>
      <c r="N26" s="768">
        <v>13.267291380408336</v>
      </c>
      <c r="O26" s="769">
        <v>12.96238208999808</v>
      </c>
      <c r="P26" s="759">
        <v>0.30490929041025616</v>
      </c>
      <c r="Q26" s="763" t="s">
        <v>720</v>
      </c>
      <c r="R26" s="764" t="s">
        <v>740</v>
      </c>
      <c r="S26" s="16"/>
      <c r="T26" s="16"/>
      <c r="U26" s="16"/>
    </row>
    <row r="27" spans="1:21" s="47" customFormat="1" ht="15.75" customHeight="1">
      <c r="A27" s="48">
        <f t="shared" si="1"/>
        <v>32.001999999999995</v>
      </c>
      <c r="B27" s="752" t="s">
        <v>739</v>
      </c>
      <c r="C27" s="744" t="s">
        <v>721</v>
      </c>
      <c r="D27" s="51" t="s">
        <v>115</v>
      </c>
      <c r="E27" s="753">
        <v>20000</v>
      </c>
      <c r="F27" s="754">
        <v>19500</v>
      </c>
      <c r="G27" s="754">
        <v>491.85519292867025</v>
      </c>
      <c r="H27" s="765">
        <v>139.35461756293358</v>
      </c>
      <c r="I27" s="766">
        <v>138.79909159397067</v>
      </c>
      <c r="J27" s="758">
        <v>0.55552596896292517</v>
      </c>
      <c r="K27" s="765">
        <v>130.88126897096856</v>
      </c>
      <c r="L27" s="766">
        <v>130.35606667713029</v>
      </c>
      <c r="M27" s="758">
        <v>0.52520229383828809</v>
      </c>
      <c r="N27" s="760">
        <v>8.1857208675878219</v>
      </c>
      <c r="O27" s="761">
        <v>7.4585842848698727</v>
      </c>
      <c r="P27" s="759">
        <v>0.72713658271794901</v>
      </c>
      <c r="Q27" s="763" t="s">
        <v>720</v>
      </c>
      <c r="R27" s="764" t="s">
        <v>738</v>
      </c>
      <c r="S27" s="16"/>
      <c r="T27" s="16"/>
      <c r="U27" s="16"/>
    </row>
    <row r="28" spans="1:21" s="47" customFormat="1" ht="15.75" customHeight="1">
      <c r="A28" s="48">
        <f t="shared" si="1"/>
        <v>32.002999999999993</v>
      </c>
      <c r="B28" s="752" t="s">
        <v>737</v>
      </c>
      <c r="C28" s="744" t="s">
        <v>721</v>
      </c>
      <c r="D28" s="51" t="s">
        <v>115</v>
      </c>
      <c r="E28" s="753">
        <v>11400</v>
      </c>
      <c r="F28" s="754">
        <v>11300</v>
      </c>
      <c r="G28" s="755">
        <v>82.871359628555155</v>
      </c>
      <c r="H28" s="756">
        <v>60.704498747358336</v>
      </c>
      <c r="I28" s="757">
        <v>60.653175284808192</v>
      </c>
      <c r="J28" s="774">
        <v>5.1323462550146401E-2</v>
      </c>
      <c r="K28" s="756">
        <v>57.545368808637654</v>
      </c>
      <c r="L28" s="757">
        <v>57.494652540590138</v>
      </c>
      <c r="M28" s="774">
        <v>5.0716268047516819E-2</v>
      </c>
      <c r="N28" s="760">
        <v>3.5888926580469711</v>
      </c>
      <c r="O28" s="761">
        <v>3.46438279673474</v>
      </c>
      <c r="P28" s="759">
        <v>0.12450986131223118</v>
      </c>
      <c r="Q28" s="763" t="s">
        <v>720</v>
      </c>
      <c r="R28" s="764" t="s">
        <v>736</v>
      </c>
      <c r="S28" s="16"/>
      <c r="T28" s="16"/>
      <c r="U28" s="16"/>
    </row>
    <row r="29" spans="1:21" s="47" customFormat="1" ht="15.75" customHeight="1">
      <c r="A29" s="48">
        <f t="shared" si="1"/>
        <v>32.003999999999991</v>
      </c>
      <c r="B29" s="752" t="s">
        <v>735</v>
      </c>
      <c r="C29" s="744" t="s">
        <v>721</v>
      </c>
      <c r="D29" s="51" t="s">
        <v>115</v>
      </c>
      <c r="E29" s="753">
        <v>4530</v>
      </c>
      <c r="F29" s="754">
        <v>3040</v>
      </c>
      <c r="G29" s="754">
        <v>1490</v>
      </c>
      <c r="H29" s="756">
        <v>61.004685809306878</v>
      </c>
      <c r="I29" s="757">
        <v>56.343119598624426</v>
      </c>
      <c r="J29" s="767">
        <v>4.6615662106824498</v>
      </c>
      <c r="K29" s="756">
        <v>59.143356321191781</v>
      </c>
      <c r="L29" s="757">
        <v>54.650668907473268</v>
      </c>
      <c r="M29" s="767">
        <v>4.4926874137185111</v>
      </c>
      <c r="N29" s="760">
        <v>4.5559843971015104</v>
      </c>
      <c r="O29" s="761">
        <v>2.9461771515630488</v>
      </c>
      <c r="P29" s="761">
        <v>1.6098072455384618</v>
      </c>
      <c r="Q29" s="763" t="s">
        <v>720</v>
      </c>
      <c r="R29" s="764" t="s">
        <v>734</v>
      </c>
      <c r="S29" s="16"/>
      <c r="T29" s="16"/>
      <c r="U29" s="16"/>
    </row>
    <row r="30" spans="1:21" s="47" customFormat="1" ht="15.75" customHeight="1">
      <c r="A30" s="48">
        <f t="shared" si="1"/>
        <v>32.004999999999988</v>
      </c>
      <c r="B30" s="752" t="s">
        <v>733</v>
      </c>
      <c r="C30" s="744" t="s">
        <v>721</v>
      </c>
      <c r="D30" s="51" t="s">
        <v>115</v>
      </c>
      <c r="E30" s="753">
        <v>42400</v>
      </c>
      <c r="F30" s="754">
        <v>42300</v>
      </c>
      <c r="G30" s="755">
        <v>11.708836191176026</v>
      </c>
      <c r="H30" s="765">
        <v>211.77511945316721</v>
      </c>
      <c r="I30" s="766">
        <v>211.7329294941145</v>
      </c>
      <c r="J30" s="774">
        <v>4.2189959052696645E-2</v>
      </c>
      <c r="K30" s="765">
        <v>199.44412116531512</v>
      </c>
      <c r="L30" s="766">
        <v>199.40230189982609</v>
      </c>
      <c r="M30" s="774">
        <v>4.1819265489030713E-2</v>
      </c>
      <c r="N30" s="768">
        <v>12.191774986985138</v>
      </c>
      <c r="O30" s="769">
        <v>12.17872419367766</v>
      </c>
      <c r="P30" s="762">
        <v>1.3050793307477545E-2</v>
      </c>
      <c r="Q30" s="763" t="s">
        <v>720</v>
      </c>
      <c r="R30" s="764" t="s">
        <v>732</v>
      </c>
      <c r="S30" s="16"/>
      <c r="T30" s="16"/>
      <c r="U30" s="16"/>
    </row>
    <row r="31" spans="1:21" s="47" customFormat="1" ht="15.75" customHeight="1">
      <c r="A31" s="48">
        <f t="shared" si="1"/>
        <v>32.005999999999986</v>
      </c>
      <c r="B31" s="752" t="s">
        <v>731</v>
      </c>
      <c r="C31" s="744" t="s">
        <v>721</v>
      </c>
      <c r="D31" s="51" t="s">
        <v>115</v>
      </c>
      <c r="E31" s="753">
        <v>53800</v>
      </c>
      <c r="F31" s="754">
        <v>53800</v>
      </c>
      <c r="G31" s="755">
        <v>14.864363475086948</v>
      </c>
      <c r="H31" s="765">
        <v>268.84844053964531</v>
      </c>
      <c r="I31" s="766">
        <v>268.79488040129178</v>
      </c>
      <c r="J31" s="774">
        <v>5.3560138353539455E-2</v>
      </c>
      <c r="K31" s="765">
        <v>253.19424249907144</v>
      </c>
      <c r="L31" s="766">
        <v>253.14115295606814</v>
      </c>
      <c r="M31" s="774">
        <v>5.3089543003306594E-2</v>
      </c>
      <c r="N31" s="768">
        <v>15.477454108512779</v>
      </c>
      <c r="O31" s="769">
        <v>15.460886130944967</v>
      </c>
      <c r="P31" s="762">
        <v>1.6567977567811032E-2</v>
      </c>
      <c r="Q31" s="763" t="s">
        <v>720</v>
      </c>
      <c r="R31" s="764" t="s">
        <v>730</v>
      </c>
      <c r="S31" s="16"/>
      <c r="T31" s="16"/>
      <c r="U31" s="16"/>
    </row>
    <row r="32" spans="1:21" s="47" customFormat="1" ht="15.75" customHeight="1">
      <c r="A32" s="48">
        <f t="shared" si="1"/>
        <v>32.006999999999984</v>
      </c>
      <c r="B32" s="752" t="s">
        <v>729</v>
      </c>
      <c r="C32" s="744" t="s">
        <v>721</v>
      </c>
      <c r="D32" s="51" t="s">
        <v>115</v>
      </c>
      <c r="E32" s="753">
        <v>61800</v>
      </c>
      <c r="F32" s="754">
        <v>61800</v>
      </c>
      <c r="G32" s="755">
        <v>17.091000753825728</v>
      </c>
      <c r="H32" s="765">
        <v>309.12113442523798</v>
      </c>
      <c r="I32" s="766">
        <v>309.05955113803503</v>
      </c>
      <c r="J32" s="774">
        <v>6.1583287202952267E-2</v>
      </c>
      <c r="K32" s="765">
        <v>291.12198424565588</v>
      </c>
      <c r="L32" s="766">
        <v>291.06094204758193</v>
      </c>
      <c r="M32" s="774">
        <v>6.1042198073972279E-2</v>
      </c>
      <c r="N32" s="768">
        <v>17.795930534075403</v>
      </c>
      <c r="O32" s="769">
        <v>17.776880722923018</v>
      </c>
      <c r="P32" s="762">
        <v>1.9049811152385708E-2</v>
      </c>
      <c r="Q32" s="763" t="s">
        <v>720</v>
      </c>
      <c r="R32" s="764" t="s">
        <v>728</v>
      </c>
      <c r="S32" s="16"/>
      <c r="T32" s="16"/>
      <c r="U32" s="16"/>
    </row>
    <row r="33" spans="1:21" s="47" customFormat="1" ht="15.75" customHeight="1">
      <c r="A33" s="48">
        <f t="shared" si="1"/>
        <v>32.007999999999981</v>
      </c>
      <c r="B33" s="752" t="s">
        <v>727</v>
      </c>
      <c r="C33" s="744" t="s">
        <v>721</v>
      </c>
      <c r="D33" s="51" t="s">
        <v>115</v>
      </c>
      <c r="E33" s="753">
        <v>7850</v>
      </c>
      <c r="F33" s="754">
        <v>5260</v>
      </c>
      <c r="G33" s="754">
        <v>2590</v>
      </c>
      <c r="H33" s="765">
        <v>105.74145540279856</v>
      </c>
      <c r="I33" s="757">
        <v>97.661407304282321</v>
      </c>
      <c r="J33" s="767">
        <v>8.0800480985162437</v>
      </c>
      <c r="K33" s="765">
        <v>102.5151509567324</v>
      </c>
      <c r="L33" s="757">
        <v>94.727826106286983</v>
      </c>
      <c r="M33" s="767">
        <v>7.787324850445418</v>
      </c>
      <c r="N33" s="760">
        <v>7.8970396216426177</v>
      </c>
      <c r="O33" s="761">
        <v>5.1067070627092841</v>
      </c>
      <c r="P33" s="761">
        <v>2.7903325589333337</v>
      </c>
      <c r="Q33" s="763" t="s">
        <v>720</v>
      </c>
      <c r="R33" s="764" t="s">
        <v>726</v>
      </c>
      <c r="S33" s="16"/>
      <c r="T33" s="16"/>
      <c r="U33" s="16"/>
    </row>
    <row r="34" spans="1:21" s="47" customFormat="1" ht="15.75" customHeight="1">
      <c r="A34" s="48">
        <f t="shared" si="1"/>
        <v>32.008999999999979</v>
      </c>
      <c r="B34" s="752" t="s">
        <v>725</v>
      </c>
      <c r="C34" s="744" t="s">
        <v>721</v>
      </c>
      <c r="D34" s="51" t="s">
        <v>115</v>
      </c>
      <c r="E34" s="753">
        <v>19600</v>
      </c>
      <c r="F34" s="754">
        <v>13200</v>
      </c>
      <c r="G34" s="754">
        <v>6470</v>
      </c>
      <c r="H34" s="765">
        <v>264.35363850699645</v>
      </c>
      <c r="I34" s="766">
        <v>244.15351826070582</v>
      </c>
      <c r="J34" s="757">
        <v>20.200120246290616</v>
      </c>
      <c r="K34" s="765">
        <v>256.28787739183105</v>
      </c>
      <c r="L34" s="766">
        <v>236.8195652657175</v>
      </c>
      <c r="M34" s="757">
        <v>19.468312126113549</v>
      </c>
      <c r="N34" s="768">
        <v>19.742599054106549</v>
      </c>
      <c r="O34" s="769">
        <v>12.766767656773215</v>
      </c>
      <c r="P34" s="761">
        <v>6.9758313973333346</v>
      </c>
      <c r="Q34" s="763" t="s">
        <v>720</v>
      </c>
      <c r="R34" s="764" t="s">
        <v>724</v>
      </c>
      <c r="S34" s="16"/>
      <c r="T34" s="16"/>
      <c r="U34" s="16"/>
    </row>
    <row r="35" spans="1:21" s="47" customFormat="1" ht="15.75" customHeight="1">
      <c r="A35" s="38">
        <v>33</v>
      </c>
      <c r="B35" s="775" t="s">
        <v>422</v>
      </c>
      <c r="C35" s="776"/>
      <c r="D35" s="777"/>
      <c r="E35" s="778"/>
      <c r="F35" s="779"/>
      <c r="G35" s="779"/>
      <c r="H35" s="780"/>
      <c r="I35" s="781"/>
      <c r="J35" s="781"/>
      <c r="K35" s="780"/>
      <c r="L35" s="781"/>
      <c r="M35" s="781"/>
      <c r="N35" s="780"/>
      <c r="O35" s="781"/>
      <c r="P35" s="781"/>
      <c r="Q35" s="780"/>
      <c r="R35" s="782" t="s">
        <v>723</v>
      </c>
      <c r="S35" s="16"/>
      <c r="T35" s="16"/>
      <c r="U35" s="16"/>
    </row>
    <row r="36" spans="1:21" s="94" customFormat="1" ht="15.75" customHeight="1">
      <c r="A36" s="48">
        <f>A35+0.001</f>
        <v>33.000999999999998</v>
      </c>
      <c r="B36" s="783" t="s">
        <v>909</v>
      </c>
      <c r="C36" s="784" t="s">
        <v>721</v>
      </c>
      <c r="D36" s="50" t="s">
        <v>262</v>
      </c>
      <c r="E36" s="785">
        <v>6450</v>
      </c>
      <c r="F36" s="786">
        <v>5660</v>
      </c>
      <c r="G36" s="786">
        <v>787</v>
      </c>
      <c r="H36" s="787">
        <v>79.599999999999994</v>
      </c>
      <c r="I36" s="788">
        <v>79.2</v>
      </c>
      <c r="J36" s="788">
        <v>0.42699999999999999</v>
      </c>
      <c r="K36" s="787">
        <v>76</v>
      </c>
      <c r="L36" s="788">
        <v>75</v>
      </c>
      <c r="M36" s="788">
        <v>0.41</v>
      </c>
      <c r="N36" s="787">
        <v>4.71</v>
      </c>
      <c r="O36" s="788">
        <v>3.53</v>
      </c>
      <c r="P36" s="788">
        <v>1.18</v>
      </c>
      <c r="Q36" s="401" t="s">
        <v>720</v>
      </c>
      <c r="R36" s="103" t="s">
        <v>908</v>
      </c>
      <c r="S36" s="93"/>
      <c r="T36" s="93"/>
      <c r="U36" s="93"/>
    </row>
    <row r="37" spans="1:21" s="94" customFormat="1" ht="15.75" customHeight="1">
      <c r="A37" s="48">
        <f t="shared" ref="A37:A72" si="2">A36+0.001</f>
        <v>33.001999999999995</v>
      </c>
      <c r="B37" s="783" t="s">
        <v>907</v>
      </c>
      <c r="C37" s="784" t="s">
        <v>721</v>
      </c>
      <c r="D37" s="50" t="s">
        <v>262</v>
      </c>
      <c r="E37" s="785">
        <v>15000</v>
      </c>
      <c r="F37" s="786">
        <v>12300</v>
      </c>
      <c r="G37" s="786">
        <v>2640</v>
      </c>
      <c r="H37" s="787">
        <v>192</v>
      </c>
      <c r="I37" s="788">
        <v>190</v>
      </c>
      <c r="J37" s="788">
        <v>1.56</v>
      </c>
      <c r="K37" s="787">
        <v>180</v>
      </c>
      <c r="L37" s="788">
        <v>179</v>
      </c>
      <c r="M37" s="789">
        <v>1.5</v>
      </c>
      <c r="N37" s="787">
        <v>12.3</v>
      </c>
      <c r="O37" s="788">
        <v>8.49</v>
      </c>
      <c r="P37" s="788">
        <v>3.86</v>
      </c>
      <c r="Q37" s="401" t="s">
        <v>720</v>
      </c>
      <c r="R37" s="103" t="s">
        <v>906</v>
      </c>
      <c r="S37" s="93"/>
      <c r="T37" s="93"/>
      <c r="U37" s="93"/>
    </row>
    <row r="38" spans="1:21" s="94" customFormat="1" ht="15.75" customHeight="1">
      <c r="A38" s="48">
        <f t="shared" si="2"/>
        <v>33.002999999999993</v>
      </c>
      <c r="B38" s="783" t="s">
        <v>905</v>
      </c>
      <c r="C38" s="784" t="s">
        <v>1120</v>
      </c>
      <c r="D38" s="50" t="s">
        <v>262</v>
      </c>
      <c r="E38" s="785">
        <v>15800</v>
      </c>
      <c r="F38" s="786">
        <v>15000</v>
      </c>
      <c r="G38" s="786">
        <v>811</v>
      </c>
      <c r="H38" s="787">
        <v>148</v>
      </c>
      <c r="I38" s="788">
        <v>147</v>
      </c>
      <c r="J38" s="788">
        <v>0.96299999999999997</v>
      </c>
      <c r="K38" s="787">
        <v>140</v>
      </c>
      <c r="L38" s="788">
        <v>139</v>
      </c>
      <c r="M38" s="788">
        <v>0.91600000000000004</v>
      </c>
      <c r="N38" s="787">
        <v>8.91</v>
      </c>
      <c r="O38" s="788">
        <v>7.76</v>
      </c>
      <c r="P38" s="788">
        <v>1.1499999999999999</v>
      </c>
      <c r="Q38" s="401" t="s">
        <v>720</v>
      </c>
      <c r="R38" s="103" t="s">
        <v>904</v>
      </c>
      <c r="S38" s="93"/>
      <c r="T38" s="93"/>
      <c r="U38" s="93"/>
    </row>
    <row r="39" spans="1:21" s="94" customFormat="1" ht="17.25" customHeight="1">
      <c r="A39" s="48">
        <f t="shared" si="2"/>
        <v>33.003999999999991</v>
      </c>
      <c r="B39" s="783" t="s">
        <v>903</v>
      </c>
      <c r="C39" s="784" t="s">
        <v>892</v>
      </c>
      <c r="D39" s="790" t="s">
        <v>891</v>
      </c>
      <c r="E39" s="785">
        <v>858000</v>
      </c>
      <c r="F39" s="786">
        <v>815000</v>
      </c>
      <c r="G39" s="786">
        <v>43000</v>
      </c>
      <c r="H39" s="787">
        <v>8010</v>
      </c>
      <c r="I39" s="788">
        <v>7960</v>
      </c>
      <c r="J39" s="788">
        <v>49.9</v>
      </c>
      <c r="K39" s="787">
        <v>7540</v>
      </c>
      <c r="L39" s="788">
        <v>7500</v>
      </c>
      <c r="M39" s="788">
        <v>47.5</v>
      </c>
      <c r="N39" s="787">
        <v>481</v>
      </c>
      <c r="O39" s="788">
        <v>420</v>
      </c>
      <c r="P39" s="788">
        <v>61.2</v>
      </c>
      <c r="Q39" s="401" t="s">
        <v>890</v>
      </c>
      <c r="R39" s="103" t="s">
        <v>902</v>
      </c>
      <c r="S39" s="93"/>
      <c r="T39" s="93"/>
      <c r="U39" s="93"/>
    </row>
    <row r="40" spans="1:21" s="94" customFormat="1" ht="15.75" customHeight="1">
      <c r="A40" s="48">
        <f t="shared" si="2"/>
        <v>33.004999999999988</v>
      </c>
      <c r="B40" s="783" t="s">
        <v>901</v>
      </c>
      <c r="C40" s="784" t="s">
        <v>892</v>
      </c>
      <c r="D40" s="790" t="s">
        <v>891</v>
      </c>
      <c r="E40" s="785">
        <v>1210000</v>
      </c>
      <c r="F40" s="786">
        <v>1150000</v>
      </c>
      <c r="G40" s="786">
        <v>59400</v>
      </c>
      <c r="H40" s="787">
        <v>11300</v>
      </c>
      <c r="I40" s="788">
        <v>11200</v>
      </c>
      <c r="J40" s="788">
        <v>64.7</v>
      </c>
      <c r="K40" s="787">
        <v>10600</v>
      </c>
      <c r="L40" s="788">
        <v>10500</v>
      </c>
      <c r="M40" s="788">
        <v>61.7</v>
      </c>
      <c r="N40" s="787">
        <v>674</v>
      </c>
      <c r="O40" s="788">
        <v>589</v>
      </c>
      <c r="P40" s="788">
        <v>85.2</v>
      </c>
      <c r="Q40" s="401" t="s">
        <v>890</v>
      </c>
      <c r="R40" s="103" t="s">
        <v>900</v>
      </c>
      <c r="S40" s="93"/>
      <c r="T40" s="93"/>
      <c r="U40" s="93"/>
    </row>
    <row r="41" spans="1:21" s="94" customFormat="1" ht="15.75" customHeight="1">
      <c r="A41" s="48">
        <f t="shared" si="2"/>
        <v>33.005999999999986</v>
      </c>
      <c r="B41" s="783" t="s">
        <v>899</v>
      </c>
      <c r="C41" s="784" t="s">
        <v>892</v>
      </c>
      <c r="D41" s="790" t="s">
        <v>891</v>
      </c>
      <c r="E41" s="785">
        <v>1570000</v>
      </c>
      <c r="F41" s="786">
        <v>1490000</v>
      </c>
      <c r="G41" s="786">
        <v>75900</v>
      </c>
      <c r="H41" s="787">
        <v>14500</v>
      </c>
      <c r="I41" s="788">
        <v>14400</v>
      </c>
      <c r="J41" s="788">
        <v>79.400000000000006</v>
      </c>
      <c r="K41" s="787">
        <v>13700</v>
      </c>
      <c r="L41" s="788">
        <v>13600</v>
      </c>
      <c r="M41" s="788">
        <v>75.900000000000006</v>
      </c>
      <c r="N41" s="787">
        <v>868</v>
      </c>
      <c r="O41" s="788">
        <v>759</v>
      </c>
      <c r="P41" s="788">
        <v>109</v>
      </c>
      <c r="Q41" s="401" t="s">
        <v>890</v>
      </c>
      <c r="R41" s="103" t="s">
        <v>898</v>
      </c>
      <c r="S41" s="93"/>
      <c r="T41" s="93"/>
      <c r="U41" s="93"/>
    </row>
    <row r="42" spans="1:21" s="94" customFormat="1" ht="15.75" customHeight="1">
      <c r="A42" s="48">
        <f t="shared" si="2"/>
        <v>33.006999999999984</v>
      </c>
      <c r="B42" s="783" t="s">
        <v>897</v>
      </c>
      <c r="C42" s="784" t="s">
        <v>892</v>
      </c>
      <c r="D42" s="790" t="s">
        <v>891</v>
      </c>
      <c r="E42" s="785">
        <v>1190000</v>
      </c>
      <c r="F42" s="786">
        <v>1120000</v>
      </c>
      <c r="G42" s="786">
        <v>65100</v>
      </c>
      <c r="H42" s="787">
        <v>11400</v>
      </c>
      <c r="I42" s="788">
        <v>11300</v>
      </c>
      <c r="J42" s="788">
        <v>94.5</v>
      </c>
      <c r="K42" s="787">
        <v>10700</v>
      </c>
      <c r="L42" s="788">
        <v>10600</v>
      </c>
      <c r="M42" s="788">
        <v>89.3</v>
      </c>
      <c r="N42" s="787">
        <v>687</v>
      </c>
      <c r="O42" s="788">
        <v>597</v>
      </c>
      <c r="P42" s="788">
        <v>90.1</v>
      </c>
      <c r="Q42" s="401" t="s">
        <v>890</v>
      </c>
      <c r="R42" s="103" t="s">
        <v>896</v>
      </c>
      <c r="S42" s="93"/>
      <c r="T42" s="93"/>
      <c r="U42" s="93"/>
    </row>
    <row r="43" spans="1:21" s="94" customFormat="1" ht="15.75" customHeight="1">
      <c r="A43" s="48">
        <f t="shared" si="2"/>
        <v>33.007999999999981</v>
      </c>
      <c r="B43" s="783" t="s">
        <v>895</v>
      </c>
      <c r="C43" s="784" t="s">
        <v>892</v>
      </c>
      <c r="D43" s="790" t="s">
        <v>891</v>
      </c>
      <c r="E43" s="785">
        <v>1540000</v>
      </c>
      <c r="F43" s="786">
        <v>1460000</v>
      </c>
      <c r="G43" s="786">
        <v>81500</v>
      </c>
      <c r="H43" s="787">
        <v>14600</v>
      </c>
      <c r="I43" s="788">
        <v>14500</v>
      </c>
      <c r="J43" s="788">
        <v>109</v>
      </c>
      <c r="K43" s="787">
        <v>13800</v>
      </c>
      <c r="L43" s="788">
        <v>13600</v>
      </c>
      <c r="M43" s="788">
        <v>103</v>
      </c>
      <c r="N43" s="787">
        <v>880</v>
      </c>
      <c r="O43" s="788">
        <v>766</v>
      </c>
      <c r="P43" s="788">
        <v>114</v>
      </c>
      <c r="Q43" s="401" t="s">
        <v>890</v>
      </c>
      <c r="R43" s="103" t="s">
        <v>894</v>
      </c>
      <c r="S43" s="93"/>
      <c r="T43" s="93"/>
      <c r="U43" s="93"/>
    </row>
    <row r="44" spans="1:21" s="94" customFormat="1" ht="15.75" customHeight="1">
      <c r="A44" s="48">
        <f t="shared" si="2"/>
        <v>33.008999999999979</v>
      </c>
      <c r="B44" s="783" t="s">
        <v>893</v>
      </c>
      <c r="C44" s="784" t="s">
        <v>892</v>
      </c>
      <c r="D44" s="790" t="s">
        <v>891</v>
      </c>
      <c r="E44" s="785">
        <v>1890000</v>
      </c>
      <c r="F44" s="786">
        <v>1800000</v>
      </c>
      <c r="G44" s="786">
        <v>98000</v>
      </c>
      <c r="H44" s="787">
        <v>17900</v>
      </c>
      <c r="I44" s="788">
        <v>17700</v>
      </c>
      <c r="J44" s="788">
        <v>124</v>
      </c>
      <c r="K44" s="787">
        <v>16800</v>
      </c>
      <c r="L44" s="788">
        <v>16700</v>
      </c>
      <c r="M44" s="788">
        <v>118</v>
      </c>
      <c r="N44" s="787">
        <v>1070</v>
      </c>
      <c r="O44" s="788">
        <v>936</v>
      </c>
      <c r="P44" s="788">
        <v>138</v>
      </c>
      <c r="Q44" s="401" t="s">
        <v>890</v>
      </c>
      <c r="R44" s="103" t="s">
        <v>889</v>
      </c>
      <c r="S44" s="93"/>
      <c r="T44" s="93"/>
      <c r="U44" s="93"/>
    </row>
    <row r="45" spans="1:21" s="94" customFormat="1" ht="15.75" customHeight="1">
      <c r="A45" s="48">
        <f t="shared" si="2"/>
        <v>33.009999999999977</v>
      </c>
      <c r="B45" s="783" t="s">
        <v>1121</v>
      </c>
      <c r="C45" s="784" t="s">
        <v>1122</v>
      </c>
      <c r="D45" s="784" t="s">
        <v>1123</v>
      </c>
      <c r="E45" s="785">
        <v>210000</v>
      </c>
      <c r="F45" s="786">
        <v>210000</v>
      </c>
      <c r="G45" s="786">
        <v>241</v>
      </c>
      <c r="H45" s="787">
        <v>2060</v>
      </c>
      <c r="I45" s="788">
        <v>2050</v>
      </c>
      <c r="J45" s="788">
        <v>4.2</v>
      </c>
      <c r="K45" s="787">
        <v>1950</v>
      </c>
      <c r="L45" s="788">
        <v>1940</v>
      </c>
      <c r="M45" s="788">
        <v>3.96</v>
      </c>
      <c r="N45" s="787">
        <v>126</v>
      </c>
      <c r="O45" s="788">
        <v>125</v>
      </c>
      <c r="P45" s="788">
        <v>0.17799999999999999</v>
      </c>
      <c r="Q45" s="401" t="s">
        <v>784</v>
      </c>
      <c r="R45" s="103" t="s">
        <v>888</v>
      </c>
      <c r="S45" s="93"/>
      <c r="T45" s="93"/>
      <c r="U45" s="93"/>
    </row>
    <row r="46" spans="1:21" s="94" customFormat="1" ht="15.75" customHeight="1">
      <c r="A46" s="48">
        <f t="shared" si="2"/>
        <v>33.010999999999974</v>
      </c>
      <c r="B46" s="783" t="s">
        <v>1124</v>
      </c>
      <c r="C46" s="784" t="s">
        <v>1122</v>
      </c>
      <c r="D46" s="784" t="s">
        <v>1123</v>
      </c>
      <c r="E46" s="785">
        <v>82500</v>
      </c>
      <c r="F46" s="786">
        <v>82400</v>
      </c>
      <c r="G46" s="786">
        <v>98.6</v>
      </c>
      <c r="H46" s="787">
        <v>788</v>
      </c>
      <c r="I46" s="788">
        <v>786</v>
      </c>
      <c r="J46" s="788">
        <v>1.72</v>
      </c>
      <c r="K46" s="787">
        <v>746</v>
      </c>
      <c r="L46" s="788">
        <v>744</v>
      </c>
      <c r="M46" s="788">
        <v>1.62</v>
      </c>
      <c r="N46" s="787">
        <v>48.8</v>
      </c>
      <c r="O46" s="788">
        <v>48.7</v>
      </c>
      <c r="P46" s="788">
        <v>7.2599999999999998E-2</v>
      </c>
      <c r="Q46" s="401" t="s">
        <v>784</v>
      </c>
      <c r="R46" s="103" t="s">
        <v>887</v>
      </c>
      <c r="S46" s="93"/>
      <c r="T46" s="93"/>
      <c r="U46" s="93"/>
    </row>
    <row r="47" spans="1:21" s="94" customFormat="1" ht="15.75" customHeight="1">
      <c r="A47" s="48">
        <f>A45+0.001</f>
        <v>33.010999999999974</v>
      </c>
      <c r="B47" s="783" t="s">
        <v>886</v>
      </c>
      <c r="C47" s="784" t="s">
        <v>1122</v>
      </c>
      <c r="D47" s="784" t="s">
        <v>1123</v>
      </c>
      <c r="E47" s="785">
        <v>41100</v>
      </c>
      <c r="F47" s="786">
        <v>40900</v>
      </c>
      <c r="G47" s="786">
        <v>249</v>
      </c>
      <c r="H47" s="787">
        <v>607</v>
      </c>
      <c r="I47" s="788">
        <v>603</v>
      </c>
      <c r="J47" s="788">
        <v>4.22</v>
      </c>
      <c r="K47" s="787">
        <v>591</v>
      </c>
      <c r="L47" s="788">
        <v>587</v>
      </c>
      <c r="M47" s="788">
        <v>4.12</v>
      </c>
      <c r="N47" s="787">
        <v>33</v>
      </c>
      <c r="O47" s="788">
        <v>32.799999999999997</v>
      </c>
      <c r="P47" s="788">
        <v>0.16900000000000001</v>
      </c>
      <c r="Q47" s="401" t="s">
        <v>784</v>
      </c>
      <c r="R47" s="103" t="s">
        <v>885</v>
      </c>
      <c r="S47" s="93"/>
      <c r="T47" s="93"/>
      <c r="U47" s="93"/>
    </row>
    <row r="48" spans="1:21" s="94" customFormat="1" ht="15.75" customHeight="1">
      <c r="A48" s="48">
        <f>A46+0.001</f>
        <v>33.011999999999972</v>
      </c>
      <c r="B48" s="783" t="s">
        <v>884</v>
      </c>
      <c r="C48" s="784" t="s">
        <v>1122</v>
      </c>
      <c r="D48" s="784" t="s">
        <v>1123</v>
      </c>
      <c r="E48" s="785">
        <v>62600</v>
      </c>
      <c r="F48" s="786">
        <v>61800</v>
      </c>
      <c r="G48" s="786">
        <v>876</v>
      </c>
      <c r="H48" s="787">
        <v>924</v>
      </c>
      <c r="I48" s="788">
        <v>910</v>
      </c>
      <c r="J48" s="788">
        <v>14</v>
      </c>
      <c r="K48" s="787">
        <v>901</v>
      </c>
      <c r="L48" s="788">
        <v>887</v>
      </c>
      <c r="M48" s="788">
        <v>13.8</v>
      </c>
      <c r="N48" s="787">
        <v>50.3</v>
      </c>
      <c r="O48" s="788">
        <v>49.6</v>
      </c>
      <c r="P48" s="788">
        <v>0.70899999999999996</v>
      </c>
      <c r="Q48" s="401" t="s">
        <v>784</v>
      </c>
      <c r="R48" s="103" t="s">
        <v>884</v>
      </c>
      <c r="S48" s="93"/>
      <c r="T48" s="93"/>
      <c r="U48" s="93"/>
    </row>
    <row r="49" spans="1:21" s="94" customFormat="1" ht="15.75" customHeight="1">
      <c r="A49" s="48">
        <f t="shared" si="2"/>
        <v>33.01299999999997</v>
      </c>
      <c r="B49" s="783" t="s">
        <v>883</v>
      </c>
      <c r="C49" s="784" t="s">
        <v>1125</v>
      </c>
      <c r="D49" s="784" t="s">
        <v>1126</v>
      </c>
      <c r="E49" s="785">
        <v>72400</v>
      </c>
      <c r="F49" s="786">
        <v>64800</v>
      </c>
      <c r="G49" s="786">
        <v>7600</v>
      </c>
      <c r="H49" s="787">
        <v>751</v>
      </c>
      <c r="I49" s="788">
        <v>747</v>
      </c>
      <c r="J49" s="788">
        <v>4.7300000000000004</v>
      </c>
      <c r="K49" s="787">
        <v>724</v>
      </c>
      <c r="L49" s="788">
        <v>720</v>
      </c>
      <c r="M49" s="788">
        <v>4.51</v>
      </c>
      <c r="N49" s="787">
        <v>47</v>
      </c>
      <c r="O49" s="788">
        <v>36.200000000000003</v>
      </c>
      <c r="P49" s="788">
        <v>10.8</v>
      </c>
      <c r="Q49" s="401" t="s">
        <v>784</v>
      </c>
      <c r="R49" s="103" t="s">
        <v>882</v>
      </c>
      <c r="S49" s="93"/>
      <c r="T49" s="93"/>
      <c r="U49" s="93"/>
    </row>
    <row r="50" spans="1:21" s="94" customFormat="1" ht="15.75" customHeight="1">
      <c r="A50" s="48">
        <f t="shared" si="2"/>
        <v>33.013999999999967</v>
      </c>
      <c r="B50" s="783" t="s">
        <v>881</v>
      </c>
      <c r="C50" s="784" t="s">
        <v>1122</v>
      </c>
      <c r="D50" s="784" t="s">
        <v>1123</v>
      </c>
      <c r="E50" s="785">
        <v>55100</v>
      </c>
      <c r="F50" s="786">
        <v>54900</v>
      </c>
      <c r="G50" s="786">
        <v>210</v>
      </c>
      <c r="H50" s="787">
        <v>813</v>
      </c>
      <c r="I50" s="788">
        <v>809</v>
      </c>
      <c r="J50" s="788">
        <v>3.55</v>
      </c>
      <c r="K50" s="787">
        <v>792</v>
      </c>
      <c r="L50" s="788">
        <v>788</v>
      </c>
      <c r="M50" s="788">
        <v>3.44</v>
      </c>
      <c r="N50" s="787">
        <v>44.2</v>
      </c>
      <c r="O50" s="788">
        <v>44.1</v>
      </c>
      <c r="P50" s="788">
        <v>0.151</v>
      </c>
      <c r="Q50" s="401" t="s">
        <v>784</v>
      </c>
      <c r="R50" s="103" t="s">
        <v>880</v>
      </c>
      <c r="S50" s="93"/>
      <c r="T50" s="93"/>
      <c r="U50" s="93"/>
    </row>
    <row r="51" spans="1:21" s="94" customFormat="1" ht="15.75" customHeight="1">
      <c r="A51" s="48">
        <f t="shared" si="2"/>
        <v>33.014999999999965</v>
      </c>
      <c r="B51" s="783" t="s">
        <v>879</v>
      </c>
      <c r="C51" s="784" t="s">
        <v>1122</v>
      </c>
      <c r="D51" s="784" t="s">
        <v>1126</v>
      </c>
      <c r="E51" s="785">
        <v>95900</v>
      </c>
      <c r="F51" s="786">
        <v>95300</v>
      </c>
      <c r="G51" s="786">
        <v>579</v>
      </c>
      <c r="H51" s="787">
        <v>1410</v>
      </c>
      <c r="I51" s="788">
        <v>1400</v>
      </c>
      <c r="J51" s="788">
        <v>9.83</v>
      </c>
      <c r="K51" s="787">
        <v>1380</v>
      </c>
      <c r="L51" s="788">
        <v>1370</v>
      </c>
      <c r="M51" s="788">
        <v>9.61</v>
      </c>
      <c r="N51" s="787">
        <v>76.900000000000006</v>
      </c>
      <c r="O51" s="788">
        <v>76.5</v>
      </c>
      <c r="P51" s="788">
        <v>0.39300000000000002</v>
      </c>
      <c r="Q51" s="401" t="s">
        <v>784</v>
      </c>
      <c r="R51" s="103" t="s">
        <v>878</v>
      </c>
      <c r="S51" s="93"/>
      <c r="T51" s="93"/>
      <c r="U51" s="93"/>
    </row>
    <row r="52" spans="1:21" s="94" customFormat="1" ht="15.75" customHeight="1">
      <c r="A52" s="48">
        <f t="shared" si="2"/>
        <v>33.015999999999963</v>
      </c>
      <c r="B52" s="783" t="s">
        <v>877</v>
      </c>
      <c r="C52" s="784" t="s">
        <v>1122</v>
      </c>
      <c r="D52" s="784" t="s">
        <v>1126</v>
      </c>
      <c r="E52" s="785">
        <v>115000</v>
      </c>
      <c r="F52" s="786">
        <v>115000</v>
      </c>
      <c r="G52" s="786">
        <v>12.3</v>
      </c>
      <c r="H52" s="787">
        <v>111</v>
      </c>
      <c r="I52" s="788">
        <v>110</v>
      </c>
      <c r="J52" s="788">
        <v>0.215</v>
      </c>
      <c r="K52" s="787">
        <v>95.6</v>
      </c>
      <c r="L52" s="788">
        <v>95.4</v>
      </c>
      <c r="M52" s="788">
        <v>0.20200000000000001</v>
      </c>
      <c r="N52" s="787">
        <v>6.37</v>
      </c>
      <c r="O52" s="788">
        <v>6.36</v>
      </c>
      <c r="P52" s="788">
        <v>9.0799999999999995E-3</v>
      </c>
      <c r="Q52" s="401" t="s">
        <v>784</v>
      </c>
      <c r="R52" s="103" t="s">
        <v>876</v>
      </c>
      <c r="S52" s="93"/>
      <c r="T52" s="93"/>
      <c r="U52" s="93"/>
    </row>
    <row r="53" spans="1:21" s="94" customFormat="1" ht="15.75" customHeight="1">
      <c r="A53" s="48">
        <f t="shared" si="2"/>
        <v>33.01699999999996</v>
      </c>
      <c r="B53" s="783" t="s">
        <v>875</v>
      </c>
      <c r="C53" s="784" t="s">
        <v>1122</v>
      </c>
      <c r="D53" s="784" t="s">
        <v>1126</v>
      </c>
      <c r="E53" s="785">
        <v>161000</v>
      </c>
      <c r="F53" s="786">
        <v>161000</v>
      </c>
      <c r="G53" s="786">
        <v>17.2</v>
      </c>
      <c r="H53" s="787">
        <v>155</v>
      </c>
      <c r="I53" s="788">
        <v>155</v>
      </c>
      <c r="J53" s="788">
        <v>0.30099999999999999</v>
      </c>
      <c r="K53" s="787">
        <v>134</v>
      </c>
      <c r="L53" s="788">
        <v>134</v>
      </c>
      <c r="M53" s="788">
        <v>0.28299999999999997</v>
      </c>
      <c r="N53" s="787">
        <v>8.92</v>
      </c>
      <c r="O53" s="788">
        <v>8.91</v>
      </c>
      <c r="P53" s="788">
        <v>1.2699999999999999E-2</v>
      </c>
      <c r="Q53" s="401" t="s">
        <v>784</v>
      </c>
      <c r="R53" s="103" t="s">
        <v>874</v>
      </c>
      <c r="S53" s="93"/>
      <c r="T53" s="93"/>
      <c r="U53" s="93"/>
    </row>
    <row r="54" spans="1:21" s="94" customFormat="1" ht="15.75" customHeight="1">
      <c r="A54" s="48">
        <f t="shared" si="2"/>
        <v>33.017999999999958</v>
      </c>
      <c r="B54" s="783" t="s">
        <v>873</v>
      </c>
      <c r="C54" s="784" t="s">
        <v>1122</v>
      </c>
      <c r="D54" s="784" t="s">
        <v>1126</v>
      </c>
      <c r="E54" s="785">
        <v>527000</v>
      </c>
      <c r="F54" s="786">
        <v>492000</v>
      </c>
      <c r="G54" s="786">
        <v>35500</v>
      </c>
      <c r="H54" s="787">
        <v>5410</v>
      </c>
      <c r="I54" s="788">
        <v>5340</v>
      </c>
      <c r="J54" s="788">
        <v>72.099999999999994</v>
      </c>
      <c r="K54" s="787">
        <v>5060</v>
      </c>
      <c r="L54" s="788">
        <v>5000</v>
      </c>
      <c r="M54" s="788">
        <v>67.7</v>
      </c>
      <c r="N54" s="787">
        <v>331</v>
      </c>
      <c r="O54" s="788">
        <v>284</v>
      </c>
      <c r="P54" s="788">
        <v>46.5</v>
      </c>
      <c r="Q54" s="401" t="s">
        <v>784</v>
      </c>
      <c r="R54" s="103" t="s">
        <v>872</v>
      </c>
      <c r="S54" s="93"/>
      <c r="T54" s="93"/>
      <c r="U54" s="93"/>
    </row>
    <row r="55" spans="1:21" s="94" customFormat="1" ht="15.75" customHeight="1">
      <c r="A55" s="48">
        <f t="shared" si="2"/>
        <v>33.018999999999956</v>
      </c>
      <c r="B55" s="783" t="s">
        <v>871</v>
      </c>
      <c r="C55" s="784" t="s">
        <v>1122</v>
      </c>
      <c r="D55" s="784" t="s">
        <v>1123</v>
      </c>
      <c r="E55" s="785">
        <v>398000</v>
      </c>
      <c r="F55" s="786">
        <v>371000</v>
      </c>
      <c r="G55" s="786">
        <v>26800</v>
      </c>
      <c r="H55" s="787">
        <v>4080</v>
      </c>
      <c r="I55" s="788">
        <v>4030</v>
      </c>
      <c r="J55" s="788">
        <v>54.4</v>
      </c>
      <c r="K55" s="787">
        <v>3820</v>
      </c>
      <c r="L55" s="788">
        <v>3770</v>
      </c>
      <c r="M55" s="791">
        <v>51</v>
      </c>
      <c r="N55" s="787">
        <v>249</v>
      </c>
      <c r="O55" s="788">
        <v>214</v>
      </c>
      <c r="P55" s="788">
        <v>35.1</v>
      </c>
      <c r="Q55" s="401" t="s">
        <v>784</v>
      </c>
      <c r="R55" s="103" t="s">
        <v>870</v>
      </c>
      <c r="S55" s="93"/>
      <c r="T55" s="93"/>
      <c r="U55" s="93"/>
    </row>
    <row r="56" spans="1:21" s="94" customFormat="1" ht="15.75" customHeight="1">
      <c r="A56" s="48">
        <f t="shared" si="2"/>
        <v>33.019999999999953</v>
      </c>
      <c r="B56" s="783" t="s">
        <v>869</v>
      </c>
      <c r="C56" s="784" t="s">
        <v>1127</v>
      </c>
      <c r="D56" s="784" t="s">
        <v>1128</v>
      </c>
      <c r="E56" s="785">
        <v>2840</v>
      </c>
      <c r="F56" s="786">
        <v>1840</v>
      </c>
      <c r="G56" s="786">
        <v>1010</v>
      </c>
      <c r="H56" s="787">
        <v>88.4</v>
      </c>
      <c r="I56" s="788">
        <v>88.1</v>
      </c>
      <c r="J56" s="788">
        <v>0.249</v>
      </c>
      <c r="K56" s="787">
        <v>86.4</v>
      </c>
      <c r="L56" s="788">
        <v>86.2</v>
      </c>
      <c r="M56" s="788">
        <v>0.24099999999999999</v>
      </c>
      <c r="N56" s="787">
        <v>4.01</v>
      </c>
      <c r="O56" s="788">
        <v>2.44</v>
      </c>
      <c r="P56" s="788">
        <v>1.57</v>
      </c>
      <c r="Q56" s="109" t="s">
        <v>788</v>
      </c>
      <c r="R56" s="103" t="s">
        <v>868</v>
      </c>
      <c r="S56" s="93"/>
      <c r="T56" s="93"/>
      <c r="U56" s="93"/>
    </row>
    <row r="57" spans="1:21" s="94" customFormat="1" ht="15.75" customHeight="1">
      <c r="A57" s="48">
        <f t="shared" si="2"/>
        <v>33.020999999999951</v>
      </c>
      <c r="B57" s="783" t="s">
        <v>867</v>
      </c>
      <c r="C57" s="784" t="s">
        <v>1127</v>
      </c>
      <c r="D57" s="784" t="s">
        <v>1129</v>
      </c>
      <c r="E57" s="785">
        <v>5520</v>
      </c>
      <c r="F57" s="786">
        <v>3570</v>
      </c>
      <c r="G57" s="786">
        <v>1950</v>
      </c>
      <c r="H57" s="787">
        <v>172</v>
      </c>
      <c r="I57" s="788">
        <v>171</v>
      </c>
      <c r="J57" s="788">
        <v>0.48399999999999999</v>
      </c>
      <c r="K57" s="787">
        <v>168</v>
      </c>
      <c r="L57" s="788">
        <v>167</v>
      </c>
      <c r="M57" s="788">
        <v>0.46800000000000003</v>
      </c>
      <c r="N57" s="787">
        <v>7.79</v>
      </c>
      <c r="O57" s="788">
        <v>4.74</v>
      </c>
      <c r="P57" s="788">
        <v>3.05</v>
      </c>
      <c r="Q57" s="109" t="s">
        <v>788</v>
      </c>
      <c r="R57" s="103" t="s">
        <v>866</v>
      </c>
      <c r="S57" s="93"/>
      <c r="T57" s="93"/>
      <c r="U57" s="93"/>
    </row>
    <row r="58" spans="1:21" s="94" customFormat="1" ht="15.75" customHeight="1">
      <c r="A58" s="48">
        <f t="shared" si="2"/>
        <v>33.021999999999949</v>
      </c>
      <c r="B58" s="783" t="s">
        <v>865</v>
      </c>
      <c r="C58" s="784" t="s">
        <v>1127</v>
      </c>
      <c r="D58" s="784" t="s">
        <v>1129</v>
      </c>
      <c r="E58" s="785">
        <v>8940</v>
      </c>
      <c r="F58" s="786">
        <v>5780</v>
      </c>
      <c r="G58" s="786">
        <v>3160</v>
      </c>
      <c r="H58" s="787">
        <v>278</v>
      </c>
      <c r="I58" s="788">
        <v>277</v>
      </c>
      <c r="J58" s="788">
        <v>0.78400000000000003</v>
      </c>
      <c r="K58" s="787">
        <v>272</v>
      </c>
      <c r="L58" s="788">
        <v>271</v>
      </c>
      <c r="M58" s="788">
        <v>0.75700000000000001</v>
      </c>
      <c r="N58" s="787">
        <v>12.6</v>
      </c>
      <c r="O58" s="788">
        <v>7.67</v>
      </c>
      <c r="P58" s="788">
        <v>4.9400000000000004</v>
      </c>
      <c r="Q58" s="109" t="s">
        <v>788</v>
      </c>
      <c r="R58" s="103" t="s">
        <v>864</v>
      </c>
      <c r="S58" s="93"/>
      <c r="T58" s="93"/>
      <c r="U58" s="93"/>
    </row>
    <row r="59" spans="1:21" s="94" customFormat="1" ht="15.75" customHeight="1">
      <c r="A59" s="48">
        <f t="shared" si="2"/>
        <v>33.022999999999946</v>
      </c>
      <c r="B59" s="783" t="s">
        <v>863</v>
      </c>
      <c r="C59" s="784" t="s">
        <v>1127</v>
      </c>
      <c r="D59" s="784" t="s">
        <v>1129</v>
      </c>
      <c r="E59" s="785">
        <v>11200</v>
      </c>
      <c r="F59" s="786">
        <v>7260</v>
      </c>
      <c r="G59" s="786">
        <v>3970</v>
      </c>
      <c r="H59" s="787">
        <v>349</v>
      </c>
      <c r="I59" s="788">
        <v>348</v>
      </c>
      <c r="J59" s="788">
        <v>0.98499999999999999</v>
      </c>
      <c r="K59" s="787">
        <v>342</v>
      </c>
      <c r="L59" s="788">
        <v>341</v>
      </c>
      <c r="M59" s="788">
        <v>0.95099999999999996</v>
      </c>
      <c r="N59" s="787">
        <v>15.8</v>
      </c>
      <c r="O59" s="788">
        <v>9.64</v>
      </c>
      <c r="P59" s="788">
        <v>6.21</v>
      </c>
      <c r="Q59" s="109" t="s">
        <v>788</v>
      </c>
      <c r="R59" s="103" t="s">
        <v>862</v>
      </c>
      <c r="S59" s="93"/>
      <c r="T59" s="93"/>
      <c r="U59" s="93"/>
    </row>
    <row r="60" spans="1:21" s="94" customFormat="1" ht="15.75" customHeight="1">
      <c r="A60" s="48">
        <f t="shared" si="2"/>
        <v>33.023999999999944</v>
      </c>
      <c r="B60" s="783" t="s">
        <v>861</v>
      </c>
      <c r="C60" s="784" t="s">
        <v>1127</v>
      </c>
      <c r="D60" s="784" t="s">
        <v>1129</v>
      </c>
      <c r="E60" s="785">
        <v>5110</v>
      </c>
      <c r="F60" s="786">
        <v>2780</v>
      </c>
      <c r="G60" s="786">
        <v>2330</v>
      </c>
      <c r="H60" s="787">
        <v>108</v>
      </c>
      <c r="I60" s="788">
        <v>107</v>
      </c>
      <c r="J60" s="788">
        <v>0.57799999999999996</v>
      </c>
      <c r="K60" s="787">
        <v>104</v>
      </c>
      <c r="L60" s="788">
        <v>103</v>
      </c>
      <c r="M60" s="788">
        <v>0.55800000000000005</v>
      </c>
      <c r="N60" s="787">
        <v>6.96</v>
      </c>
      <c r="O60" s="788">
        <v>3.32</v>
      </c>
      <c r="P60" s="788">
        <v>3.64</v>
      </c>
      <c r="Q60" s="109" t="s">
        <v>788</v>
      </c>
      <c r="R60" s="103" t="s">
        <v>860</v>
      </c>
      <c r="S60" s="93"/>
      <c r="T60" s="93"/>
      <c r="U60" s="93"/>
    </row>
    <row r="61" spans="1:21" s="94" customFormat="1" ht="15.75" customHeight="1">
      <c r="A61" s="48">
        <f t="shared" si="2"/>
        <v>33.024999999999942</v>
      </c>
      <c r="B61" s="783" t="s">
        <v>859</v>
      </c>
      <c r="C61" s="784" t="s">
        <v>1127</v>
      </c>
      <c r="D61" s="784" t="s">
        <v>1128</v>
      </c>
      <c r="E61" s="785">
        <v>333</v>
      </c>
      <c r="F61" s="786">
        <v>159</v>
      </c>
      <c r="G61" s="786">
        <v>174</v>
      </c>
      <c r="H61" s="787">
        <v>7.67</v>
      </c>
      <c r="I61" s="788">
        <v>7.62</v>
      </c>
      <c r="J61" s="788">
        <v>4.2599999999999999E-2</v>
      </c>
      <c r="K61" s="787">
        <v>7.5</v>
      </c>
      <c r="L61" s="788">
        <v>7.46</v>
      </c>
      <c r="M61" s="788">
        <v>4.1500000000000002E-2</v>
      </c>
      <c r="N61" s="787">
        <v>0.48299999999999998</v>
      </c>
      <c r="O61" s="788">
        <v>0.21099999999999999</v>
      </c>
      <c r="P61" s="788">
        <v>0.27200000000000002</v>
      </c>
      <c r="Q61" s="109" t="s">
        <v>788</v>
      </c>
      <c r="R61" s="103" t="s">
        <v>858</v>
      </c>
      <c r="S61" s="93"/>
      <c r="T61" s="93"/>
      <c r="U61" s="93"/>
    </row>
    <row r="62" spans="1:21" s="94" customFormat="1" ht="15.75" customHeight="1">
      <c r="A62" s="48">
        <f t="shared" si="2"/>
        <v>33.025999999999939</v>
      </c>
      <c r="B62" s="783" t="s">
        <v>857</v>
      </c>
      <c r="C62" s="784" t="s">
        <v>1127</v>
      </c>
      <c r="D62" s="784" t="s">
        <v>1129</v>
      </c>
      <c r="E62" s="785">
        <v>518</v>
      </c>
      <c r="F62" s="786">
        <v>247</v>
      </c>
      <c r="G62" s="786">
        <v>271</v>
      </c>
      <c r="H62" s="787">
        <v>11.9</v>
      </c>
      <c r="I62" s="788">
        <v>11.9</v>
      </c>
      <c r="J62" s="788">
        <v>6.6299999999999998E-2</v>
      </c>
      <c r="K62" s="787">
        <v>11.7</v>
      </c>
      <c r="L62" s="788">
        <v>11.6</v>
      </c>
      <c r="M62" s="788">
        <v>6.4500000000000002E-2</v>
      </c>
      <c r="N62" s="787">
        <v>0.751</v>
      </c>
      <c r="O62" s="788">
        <v>0.32800000000000001</v>
      </c>
      <c r="P62" s="788">
        <v>0.42299999999999999</v>
      </c>
      <c r="Q62" s="109" t="s">
        <v>788</v>
      </c>
      <c r="R62" s="103" t="s">
        <v>856</v>
      </c>
      <c r="S62" s="93"/>
      <c r="T62" s="93"/>
      <c r="U62" s="93"/>
    </row>
    <row r="63" spans="1:21" s="94" customFormat="1" ht="15.75" customHeight="1">
      <c r="A63" s="48">
        <f t="shared" si="2"/>
        <v>33.026999999999937</v>
      </c>
      <c r="B63" s="783" t="s">
        <v>855</v>
      </c>
      <c r="C63" s="784" t="s">
        <v>1127</v>
      </c>
      <c r="D63" s="784" t="s">
        <v>1129</v>
      </c>
      <c r="E63" s="785">
        <v>4080</v>
      </c>
      <c r="F63" s="786">
        <v>4080</v>
      </c>
      <c r="G63" s="786">
        <v>2.0699999999999998</v>
      </c>
      <c r="H63" s="787">
        <v>33.5</v>
      </c>
      <c r="I63" s="788">
        <v>33.5</v>
      </c>
      <c r="J63" s="788">
        <v>3.61E-2</v>
      </c>
      <c r="K63" s="787">
        <v>28.8</v>
      </c>
      <c r="L63" s="788">
        <v>28.8</v>
      </c>
      <c r="M63" s="788">
        <v>3.4000000000000002E-2</v>
      </c>
      <c r="N63" s="787">
        <v>2.0099999999999998</v>
      </c>
      <c r="O63" s="788">
        <v>2.0099999999999998</v>
      </c>
      <c r="P63" s="788">
        <v>1.5299999999999999E-3</v>
      </c>
      <c r="Q63" s="109" t="s">
        <v>788</v>
      </c>
      <c r="R63" s="792" t="s">
        <v>854</v>
      </c>
      <c r="S63" s="93"/>
      <c r="T63" s="93"/>
      <c r="U63" s="93"/>
    </row>
    <row r="64" spans="1:21" s="94" customFormat="1" ht="15.75" customHeight="1">
      <c r="A64" s="48">
        <f t="shared" si="2"/>
        <v>33.027999999999935</v>
      </c>
      <c r="B64" s="783" t="s">
        <v>853</v>
      </c>
      <c r="C64" s="784" t="s">
        <v>1127</v>
      </c>
      <c r="D64" s="784" t="s">
        <v>1129</v>
      </c>
      <c r="E64" s="785">
        <v>6030</v>
      </c>
      <c r="F64" s="786">
        <v>6020</v>
      </c>
      <c r="G64" s="786">
        <v>3.06</v>
      </c>
      <c r="H64" s="787">
        <v>49.5</v>
      </c>
      <c r="I64" s="788">
        <v>49.5</v>
      </c>
      <c r="J64" s="788">
        <v>5.33E-2</v>
      </c>
      <c r="K64" s="787">
        <v>42.6</v>
      </c>
      <c r="L64" s="788">
        <v>42.5</v>
      </c>
      <c r="M64" s="788">
        <v>5.0200000000000002E-2</v>
      </c>
      <c r="N64" s="787">
        <v>2.97</v>
      </c>
      <c r="O64" s="788">
        <v>2.97</v>
      </c>
      <c r="P64" s="788">
        <v>2.2499999999999998E-3</v>
      </c>
      <c r="Q64" s="109" t="s">
        <v>788</v>
      </c>
      <c r="R64" s="792" t="s">
        <v>852</v>
      </c>
      <c r="S64" s="93"/>
      <c r="T64" s="93"/>
      <c r="U64" s="93"/>
    </row>
    <row r="65" spans="1:21" s="94" customFormat="1" ht="15.75" customHeight="1">
      <c r="A65" s="48">
        <f t="shared" si="2"/>
        <v>33.028999999999932</v>
      </c>
      <c r="B65" s="783" t="s">
        <v>851</v>
      </c>
      <c r="C65" s="784" t="s">
        <v>1127</v>
      </c>
      <c r="D65" s="784" t="s">
        <v>1129</v>
      </c>
      <c r="E65" s="785">
        <v>7780</v>
      </c>
      <c r="F65" s="786">
        <v>7770</v>
      </c>
      <c r="G65" s="786">
        <v>3.94</v>
      </c>
      <c r="H65" s="787">
        <v>63.9</v>
      </c>
      <c r="I65" s="788">
        <v>63.8</v>
      </c>
      <c r="J65" s="788">
        <v>6.88E-2</v>
      </c>
      <c r="K65" s="787">
        <v>54.9</v>
      </c>
      <c r="L65" s="788">
        <v>54.9</v>
      </c>
      <c r="M65" s="788">
        <v>6.4699999999999994E-2</v>
      </c>
      <c r="N65" s="787">
        <v>3.83</v>
      </c>
      <c r="O65" s="788">
        <v>3.83</v>
      </c>
      <c r="P65" s="788">
        <v>2.9099999999999998E-3</v>
      </c>
      <c r="Q65" s="109" t="s">
        <v>788</v>
      </c>
      <c r="R65" s="792" t="s">
        <v>850</v>
      </c>
      <c r="S65" s="93"/>
      <c r="T65" s="93"/>
      <c r="U65" s="93"/>
    </row>
    <row r="66" spans="1:21" s="94" customFormat="1" ht="15.75" customHeight="1">
      <c r="A66" s="48">
        <f t="shared" si="2"/>
        <v>33.02999999999993</v>
      </c>
      <c r="B66" s="783" t="s">
        <v>849</v>
      </c>
      <c r="C66" s="784" t="s">
        <v>1127</v>
      </c>
      <c r="D66" s="784" t="s">
        <v>1129</v>
      </c>
      <c r="E66" s="785">
        <v>12200</v>
      </c>
      <c r="F66" s="786">
        <v>12100</v>
      </c>
      <c r="G66" s="786">
        <v>6.16</v>
      </c>
      <c r="H66" s="787">
        <v>99.8</v>
      </c>
      <c r="I66" s="788">
        <v>99.7</v>
      </c>
      <c r="J66" s="788">
        <v>0.107</v>
      </c>
      <c r="K66" s="787">
        <v>85.8</v>
      </c>
      <c r="L66" s="788">
        <v>85.7</v>
      </c>
      <c r="M66" s="788">
        <v>0.10100000000000001</v>
      </c>
      <c r="N66" s="787">
        <v>5.99</v>
      </c>
      <c r="O66" s="788">
        <v>5.98</v>
      </c>
      <c r="P66" s="788">
        <v>4.5399999999999998E-3</v>
      </c>
      <c r="Q66" s="109" t="s">
        <v>788</v>
      </c>
      <c r="R66" s="792" t="s">
        <v>848</v>
      </c>
      <c r="S66" s="93"/>
      <c r="T66" s="93"/>
      <c r="U66" s="93"/>
    </row>
    <row r="67" spans="1:21" s="94" customFormat="1" ht="15.75" customHeight="1">
      <c r="A67" s="48">
        <f t="shared" si="2"/>
        <v>33.030999999999928</v>
      </c>
      <c r="B67" s="783" t="s">
        <v>847</v>
      </c>
      <c r="C67" s="784" t="s">
        <v>1127</v>
      </c>
      <c r="D67" s="784" t="s">
        <v>1129</v>
      </c>
      <c r="E67" s="785">
        <v>21600</v>
      </c>
      <c r="F67" s="786">
        <v>21600</v>
      </c>
      <c r="G67" s="793">
        <v>11</v>
      </c>
      <c r="H67" s="787">
        <v>177</v>
      </c>
      <c r="I67" s="788">
        <v>177</v>
      </c>
      <c r="J67" s="788">
        <v>0.191</v>
      </c>
      <c r="K67" s="787">
        <v>153</v>
      </c>
      <c r="L67" s="788">
        <v>152</v>
      </c>
      <c r="M67" s="794">
        <v>0.18</v>
      </c>
      <c r="N67" s="787">
        <v>10.7</v>
      </c>
      <c r="O67" s="788">
        <v>10.6</v>
      </c>
      <c r="P67" s="788">
        <v>8.0700000000000008E-3</v>
      </c>
      <c r="Q67" s="109" t="s">
        <v>788</v>
      </c>
      <c r="R67" s="792" t="s">
        <v>846</v>
      </c>
      <c r="S67" s="93"/>
      <c r="T67" s="93"/>
      <c r="U67" s="93"/>
    </row>
    <row r="68" spans="1:21" s="94" customFormat="1" ht="15.75" customHeight="1">
      <c r="A68" s="48">
        <f>A67+0.001</f>
        <v>33.031999999999925</v>
      </c>
      <c r="B68" s="783" t="s">
        <v>845</v>
      </c>
      <c r="C68" s="784" t="s">
        <v>1130</v>
      </c>
      <c r="D68" s="784" t="s">
        <v>1129</v>
      </c>
      <c r="E68" s="785">
        <v>2570</v>
      </c>
      <c r="F68" s="786">
        <v>2340</v>
      </c>
      <c r="G68" s="786">
        <v>230</v>
      </c>
      <c r="H68" s="787">
        <v>29</v>
      </c>
      <c r="I68" s="788">
        <v>28.5</v>
      </c>
      <c r="J68" s="788">
        <v>0.44600000000000001</v>
      </c>
      <c r="K68" s="787">
        <v>27.8</v>
      </c>
      <c r="L68" s="788">
        <v>27.4</v>
      </c>
      <c r="M68" s="788">
        <v>0.434</v>
      </c>
      <c r="N68" s="787">
        <v>1.73</v>
      </c>
      <c r="O68" s="788">
        <v>1.41</v>
      </c>
      <c r="P68" s="788">
        <v>0.313</v>
      </c>
      <c r="Q68" s="109" t="s">
        <v>788</v>
      </c>
      <c r="R68" s="103" t="s">
        <v>844</v>
      </c>
      <c r="S68" s="93"/>
      <c r="T68" s="93"/>
      <c r="U68" s="93"/>
    </row>
    <row r="69" spans="1:21" s="94" customFormat="1" ht="15.75" customHeight="1">
      <c r="A69" s="48">
        <f>A68+0.001</f>
        <v>33.032999999999923</v>
      </c>
      <c r="B69" s="783" t="s">
        <v>843</v>
      </c>
      <c r="C69" s="784" t="s">
        <v>1130</v>
      </c>
      <c r="D69" s="784" t="s">
        <v>1129</v>
      </c>
      <c r="E69" s="785">
        <v>3100</v>
      </c>
      <c r="F69" s="786">
        <v>2840</v>
      </c>
      <c r="G69" s="786">
        <v>263</v>
      </c>
      <c r="H69" s="787">
        <v>34.700000000000003</v>
      </c>
      <c r="I69" s="788">
        <v>34.1</v>
      </c>
      <c r="J69" s="788">
        <v>0.53500000000000003</v>
      </c>
      <c r="K69" s="787">
        <v>33.299999999999997</v>
      </c>
      <c r="L69" s="788">
        <v>32.700000000000003</v>
      </c>
      <c r="M69" s="788">
        <v>0.52100000000000002</v>
      </c>
      <c r="N69" s="787">
        <v>2.06</v>
      </c>
      <c r="O69" s="789">
        <v>1.7</v>
      </c>
      <c r="P69" s="788">
        <v>0.35699999999999998</v>
      </c>
      <c r="Q69" s="109" t="s">
        <v>788</v>
      </c>
      <c r="R69" s="103" t="s">
        <v>842</v>
      </c>
      <c r="S69" s="93"/>
      <c r="T69" s="93"/>
      <c r="U69" s="93"/>
    </row>
    <row r="70" spans="1:21" s="94" customFormat="1" ht="15.75" customHeight="1">
      <c r="A70" s="48">
        <f>A69+0.001</f>
        <v>33.033999999999921</v>
      </c>
      <c r="B70" s="783" t="s">
        <v>841</v>
      </c>
      <c r="C70" s="784" t="s">
        <v>1127</v>
      </c>
      <c r="D70" s="784" t="s">
        <v>1128</v>
      </c>
      <c r="E70" s="785">
        <v>2660</v>
      </c>
      <c r="F70" s="786">
        <v>1810</v>
      </c>
      <c r="G70" s="786">
        <v>858</v>
      </c>
      <c r="H70" s="787">
        <v>45.7</v>
      </c>
      <c r="I70" s="788">
        <v>45</v>
      </c>
      <c r="J70" s="788">
        <v>0.65100000000000002</v>
      </c>
      <c r="K70" s="787">
        <v>44.5</v>
      </c>
      <c r="L70" s="788">
        <v>43.8</v>
      </c>
      <c r="M70" s="788">
        <v>0.628</v>
      </c>
      <c r="N70" s="787">
        <v>3.04</v>
      </c>
      <c r="O70" s="788">
        <v>1.85</v>
      </c>
      <c r="P70" s="788">
        <v>1.19</v>
      </c>
      <c r="Q70" s="109" t="s">
        <v>788</v>
      </c>
      <c r="R70" s="103" t="s">
        <v>840</v>
      </c>
      <c r="S70" s="93"/>
      <c r="T70" s="93"/>
      <c r="U70" s="93"/>
    </row>
    <row r="71" spans="1:21" s="94" customFormat="1" ht="15.75" customHeight="1">
      <c r="A71" s="48">
        <f t="shared" si="2"/>
        <v>33.034999999999918</v>
      </c>
      <c r="B71" s="783" t="s">
        <v>839</v>
      </c>
      <c r="C71" s="784" t="s">
        <v>1130</v>
      </c>
      <c r="D71" s="784" t="s">
        <v>1128</v>
      </c>
      <c r="E71" s="785">
        <v>3280</v>
      </c>
      <c r="F71" s="786">
        <v>2230</v>
      </c>
      <c r="G71" s="786">
        <v>1050</v>
      </c>
      <c r="H71" s="787">
        <v>56.2</v>
      </c>
      <c r="I71" s="788">
        <v>55.4</v>
      </c>
      <c r="J71" s="788">
        <v>0.80100000000000005</v>
      </c>
      <c r="K71" s="787">
        <v>54.7</v>
      </c>
      <c r="L71" s="788">
        <v>53.9</v>
      </c>
      <c r="M71" s="788">
        <v>0.77300000000000002</v>
      </c>
      <c r="N71" s="787">
        <v>3.73</v>
      </c>
      <c r="O71" s="788">
        <v>2.2799999999999998</v>
      </c>
      <c r="P71" s="788">
        <v>1.45</v>
      </c>
      <c r="Q71" s="109" t="s">
        <v>788</v>
      </c>
      <c r="R71" s="103" t="s">
        <v>838</v>
      </c>
      <c r="S71" s="93"/>
      <c r="T71" s="93"/>
      <c r="U71" s="93"/>
    </row>
    <row r="72" spans="1:21" s="94" customFormat="1" ht="15.75" customHeight="1">
      <c r="A72" s="48">
        <f t="shared" si="2"/>
        <v>33.035999999999916</v>
      </c>
      <c r="B72" s="783" t="s">
        <v>837</v>
      </c>
      <c r="C72" s="784" t="s">
        <v>1130</v>
      </c>
      <c r="D72" s="784" t="s">
        <v>1129</v>
      </c>
      <c r="E72" s="785">
        <v>3510</v>
      </c>
      <c r="F72" s="786">
        <v>2390</v>
      </c>
      <c r="G72" s="786">
        <v>1120</v>
      </c>
      <c r="H72" s="787">
        <v>60.1</v>
      </c>
      <c r="I72" s="788">
        <v>59.3</v>
      </c>
      <c r="J72" s="788">
        <v>0.85699999999999998</v>
      </c>
      <c r="K72" s="787">
        <v>58.5</v>
      </c>
      <c r="L72" s="788">
        <v>57.7</v>
      </c>
      <c r="M72" s="788">
        <v>0.82699999999999996</v>
      </c>
      <c r="N72" s="787">
        <v>3.99</v>
      </c>
      <c r="O72" s="788">
        <v>2.44</v>
      </c>
      <c r="P72" s="788">
        <v>1.55</v>
      </c>
      <c r="Q72" s="109" t="s">
        <v>788</v>
      </c>
      <c r="R72" s="103" t="s">
        <v>836</v>
      </c>
      <c r="S72" s="93"/>
      <c r="T72" s="93"/>
      <c r="U72" s="93"/>
    </row>
    <row r="73" spans="1:21" s="94" customFormat="1" ht="15.75" customHeight="1">
      <c r="A73" s="48">
        <f>A72+0.001</f>
        <v>33.036999999999914</v>
      </c>
      <c r="B73" s="783" t="s">
        <v>835</v>
      </c>
      <c r="C73" s="784" t="s">
        <v>1130</v>
      </c>
      <c r="D73" s="784" t="s">
        <v>1129</v>
      </c>
      <c r="E73" s="785">
        <v>520</v>
      </c>
      <c r="F73" s="786">
        <v>308</v>
      </c>
      <c r="G73" s="786">
        <v>212</v>
      </c>
      <c r="H73" s="787">
        <v>10.9</v>
      </c>
      <c r="I73" s="788">
        <v>10.8</v>
      </c>
      <c r="J73" s="788">
        <v>0.11</v>
      </c>
      <c r="K73" s="787">
        <v>10.6</v>
      </c>
      <c r="L73" s="788">
        <v>10.5</v>
      </c>
      <c r="M73" s="788">
        <v>0.105</v>
      </c>
      <c r="N73" s="787">
        <v>0.63400000000000001</v>
      </c>
      <c r="O73" s="788">
        <v>0.33200000000000002</v>
      </c>
      <c r="P73" s="788">
        <v>0.30199999999999999</v>
      </c>
      <c r="Q73" s="109" t="s">
        <v>788</v>
      </c>
      <c r="R73" s="103" t="s">
        <v>834</v>
      </c>
      <c r="S73" s="93"/>
      <c r="T73" s="93"/>
      <c r="U73" s="93"/>
    </row>
    <row r="74" spans="1:21" s="94" customFormat="1" ht="15.75" customHeight="1">
      <c r="A74" s="48">
        <f>A73+0.001</f>
        <v>33.037999999999911</v>
      </c>
      <c r="B74" s="783" t="s">
        <v>833</v>
      </c>
      <c r="C74" s="784" t="s">
        <v>1130</v>
      </c>
      <c r="D74" s="784" t="s">
        <v>1129</v>
      </c>
      <c r="E74" s="785">
        <v>1310</v>
      </c>
      <c r="F74" s="786">
        <v>778</v>
      </c>
      <c r="G74" s="786">
        <v>535</v>
      </c>
      <c r="H74" s="787">
        <v>27.6</v>
      </c>
      <c r="I74" s="788">
        <v>27.4</v>
      </c>
      <c r="J74" s="788">
        <v>0.27700000000000002</v>
      </c>
      <c r="K74" s="787">
        <v>26.8</v>
      </c>
      <c r="L74" s="788">
        <v>26.5</v>
      </c>
      <c r="M74" s="788">
        <v>0.26400000000000001</v>
      </c>
      <c r="N74" s="795">
        <v>1.6</v>
      </c>
      <c r="O74" s="788">
        <v>0.83799999999999997</v>
      </c>
      <c r="P74" s="788">
        <v>0.76300000000000001</v>
      </c>
      <c r="Q74" s="109" t="s">
        <v>788</v>
      </c>
      <c r="R74" s="103" t="s">
        <v>832</v>
      </c>
      <c r="S74" s="93"/>
      <c r="T74" s="93"/>
      <c r="U74" s="93"/>
    </row>
    <row r="75" spans="1:21" s="94" customFormat="1" ht="15.75" customHeight="1">
      <c r="A75" s="48">
        <f>A74+0.001</f>
        <v>33.038999999999909</v>
      </c>
      <c r="B75" s="783" t="s">
        <v>831</v>
      </c>
      <c r="C75" s="784" t="s">
        <v>1130</v>
      </c>
      <c r="D75" s="784" t="s">
        <v>1129</v>
      </c>
      <c r="E75" s="785">
        <v>2230</v>
      </c>
      <c r="F75" s="786">
        <v>1320</v>
      </c>
      <c r="G75" s="786">
        <v>909</v>
      </c>
      <c r="H75" s="787">
        <v>46.9</v>
      </c>
      <c r="I75" s="788">
        <v>46.5</v>
      </c>
      <c r="J75" s="788">
        <v>0.47</v>
      </c>
      <c r="K75" s="787">
        <v>45.5</v>
      </c>
      <c r="L75" s="788">
        <v>45.1</v>
      </c>
      <c r="M75" s="788">
        <v>0.44900000000000001</v>
      </c>
      <c r="N75" s="787">
        <v>2.72</v>
      </c>
      <c r="O75" s="788">
        <v>1.42</v>
      </c>
      <c r="P75" s="789">
        <v>1.3</v>
      </c>
      <c r="Q75" s="109" t="s">
        <v>788</v>
      </c>
      <c r="R75" s="103" t="s">
        <v>830</v>
      </c>
      <c r="S75" s="93"/>
      <c r="T75" s="93"/>
      <c r="U75" s="93"/>
    </row>
    <row r="76" spans="1:21" s="47" customFormat="1" ht="15.75" customHeight="1">
      <c r="A76" s="38">
        <v>34</v>
      </c>
      <c r="B76" s="775" t="s">
        <v>421</v>
      </c>
      <c r="C76" s="777"/>
      <c r="D76" s="777"/>
      <c r="E76" s="796"/>
      <c r="F76" s="797"/>
      <c r="G76" s="797"/>
      <c r="H76" s="798"/>
      <c r="I76" s="799"/>
      <c r="J76" s="799"/>
      <c r="K76" s="798"/>
      <c r="L76" s="799"/>
      <c r="M76" s="799"/>
      <c r="N76" s="798"/>
      <c r="O76" s="799"/>
      <c r="P76" s="799"/>
      <c r="Q76" s="780"/>
      <c r="R76" s="782" t="s">
        <v>722</v>
      </c>
      <c r="S76" s="16"/>
      <c r="T76" s="16"/>
      <c r="U76" s="16"/>
    </row>
    <row r="77" spans="1:21" s="94" customFormat="1" ht="15.75" customHeight="1">
      <c r="A77" s="48">
        <f>A76+0.001</f>
        <v>34.000999999999998</v>
      </c>
      <c r="B77" s="783" t="s">
        <v>829</v>
      </c>
      <c r="C77" s="784" t="s">
        <v>721</v>
      </c>
      <c r="D77" s="50" t="s">
        <v>262</v>
      </c>
      <c r="E77" s="785">
        <v>47100</v>
      </c>
      <c r="F77" s="786">
        <v>44600</v>
      </c>
      <c r="G77" s="786">
        <v>2590</v>
      </c>
      <c r="H77" s="787">
        <v>230</v>
      </c>
      <c r="I77" s="788">
        <v>224</v>
      </c>
      <c r="J77" s="788">
        <v>5.91</v>
      </c>
      <c r="K77" s="787">
        <v>199</v>
      </c>
      <c r="L77" s="788">
        <v>194</v>
      </c>
      <c r="M77" s="788">
        <v>5.56</v>
      </c>
      <c r="N77" s="787">
        <v>12.7</v>
      </c>
      <c r="O77" s="788">
        <v>9.08</v>
      </c>
      <c r="P77" s="788">
        <v>3.59</v>
      </c>
      <c r="Q77" s="401" t="s">
        <v>720</v>
      </c>
      <c r="R77" s="103" t="s">
        <v>828</v>
      </c>
      <c r="S77" s="93"/>
      <c r="T77" s="93"/>
      <c r="U77" s="93"/>
    </row>
    <row r="78" spans="1:21" s="94" customFormat="1" ht="15.75" customHeight="1">
      <c r="A78" s="48">
        <f t="shared" ref="A78:A103" si="3">A77+0.001</f>
        <v>34.001999999999995</v>
      </c>
      <c r="B78" s="783" t="s">
        <v>827</v>
      </c>
      <c r="C78" s="784" t="s">
        <v>721</v>
      </c>
      <c r="D78" s="50" t="s">
        <v>262</v>
      </c>
      <c r="E78" s="785">
        <v>161000</v>
      </c>
      <c r="F78" s="786">
        <v>155000</v>
      </c>
      <c r="G78" s="786">
        <v>6870</v>
      </c>
      <c r="H78" s="787">
        <v>529</v>
      </c>
      <c r="I78" s="788">
        <v>517</v>
      </c>
      <c r="J78" s="788">
        <v>11.8</v>
      </c>
      <c r="K78" s="787">
        <v>501</v>
      </c>
      <c r="L78" s="788">
        <v>490</v>
      </c>
      <c r="M78" s="788">
        <v>11.1</v>
      </c>
      <c r="N78" s="787">
        <v>31.3</v>
      </c>
      <c r="O78" s="788">
        <v>21.4</v>
      </c>
      <c r="P78" s="788">
        <v>9.94</v>
      </c>
      <c r="Q78" s="401" t="s">
        <v>720</v>
      </c>
      <c r="R78" s="103" t="s">
        <v>826</v>
      </c>
      <c r="S78" s="93"/>
      <c r="T78" s="93"/>
      <c r="U78" s="93"/>
    </row>
    <row r="79" spans="1:21" s="94" customFormat="1" ht="15.75" customHeight="1">
      <c r="A79" s="48">
        <f t="shared" si="3"/>
        <v>34.002999999999993</v>
      </c>
      <c r="B79" s="783" t="s">
        <v>825</v>
      </c>
      <c r="C79" s="784" t="s">
        <v>1127</v>
      </c>
      <c r="D79" s="790" t="s">
        <v>1128</v>
      </c>
      <c r="E79" s="785">
        <v>386</v>
      </c>
      <c r="F79" s="786">
        <v>183</v>
      </c>
      <c r="G79" s="786">
        <v>203</v>
      </c>
      <c r="H79" s="787">
        <v>9.0500000000000007</v>
      </c>
      <c r="I79" s="788">
        <v>9</v>
      </c>
      <c r="J79" s="788">
        <v>4.9700000000000001E-2</v>
      </c>
      <c r="K79" s="787">
        <v>8.85</v>
      </c>
      <c r="L79" s="788">
        <v>8.81</v>
      </c>
      <c r="M79" s="788">
        <v>4.8399999999999999E-2</v>
      </c>
      <c r="N79" s="787">
        <v>0.56399999999999995</v>
      </c>
      <c r="O79" s="788">
        <v>0.246</v>
      </c>
      <c r="P79" s="788">
        <v>0.317</v>
      </c>
      <c r="Q79" s="109" t="s">
        <v>788</v>
      </c>
      <c r="R79" s="103" t="s">
        <v>824</v>
      </c>
      <c r="S79" s="93"/>
      <c r="T79" s="93"/>
      <c r="U79" s="93"/>
    </row>
    <row r="80" spans="1:21" s="94" customFormat="1" ht="15.75" customHeight="1">
      <c r="A80" s="48">
        <f t="shared" si="3"/>
        <v>34.003999999999991</v>
      </c>
      <c r="B80" s="783" t="s">
        <v>823</v>
      </c>
      <c r="C80" s="784" t="s">
        <v>1127</v>
      </c>
      <c r="D80" s="790" t="s">
        <v>1129</v>
      </c>
      <c r="E80" s="785">
        <v>596</v>
      </c>
      <c r="F80" s="786">
        <v>283</v>
      </c>
      <c r="G80" s="786">
        <v>313</v>
      </c>
      <c r="H80" s="787">
        <v>14</v>
      </c>
      <c r="I80" s="788">
        <v>13.9</v>
      </c>
      <c r="J80" s="788">
        <v>7.6700000000000004E-2</v>
      </c>
      <c r="K80" s="787">
        <v>13.7</v>
      </c>
      <c r="L80" s="788">
        <v>13.6</v>
      </c>
      <c r="M80" s="788">
        <v>7.46E-2</v>
      </c>
      <c r="N80" s="787">
        <v>0.87</v>
      </c>
      <c r="O80" s="788">
        <v>0.38</v>
      </c>
      <c r="P80" s="788">
        <v>0.48899999999999999</v>
      </c>
      <c r="Q80" s="109" t="s">
        <v>788</v>
      </c>
      <c r="R80" s="103" t="s">
        <v>822</v>
      </c>
      <c r="S80" s="93"/>
      <c r="T80" s="93"/>
      <c r="U80" s="93"/>
    </row>
    <row r="81" spans="1:21" s="94" customFormat="1" ht="15.75" customHeight="1">
      <c r="A81" s="48">
        <f t="shared" si="3"/>
        <v>34.004999999999988</v>
      </c>
      <c r="B81" s="783" t="s">
        <v>821</v>
      </c>
      <c r="C81" s="784" t="s">
        <v>1130</v>
      </c>
      <c r="D81" s="790" t="s">
        <v>1129</v>
      </c>
      <c r="E81" s="785">
        <v>2120</v>
      </c>
      <c r="F81" s="786">
        <v>1010</v>
      </c>
      <c r="G81" s="786">
        <v>1110</v>
      </c>
      <c r="H81" s="787">
        <v>49.6</v>
      </c>
      <c r="I81" s="788">
        <v>49.4</v>
      </c>
      <c r="J81" s="788">
        <v>0.27300000000000002</v>
      </c>
      <c r="K81" s="787">
        <v>48.6</v>
      </c>
      <c r="L81" s="788">
        <v>48.3</v>
      </c>
      <c r="M81" s="788">
        <v>0.26500000000000001</v>
      </c>
      <c r="N81" s="787">
        <v>3.09</v>
      </c>
      <c r="O81" s="788">
        <v>1.35</v>
      </c>
      <c r="P81" s="788">
        <v>1.74</v>
      </c>
      <c r="Q81" s="109" t="s">
        <v>788</v>
      </c>
      <c r="R81" s="103" t="s">
        <v>820</v>
      </c>
      <c r="S81" s="93"/>
      <c r="T81" s="93"/>
      <c r="U81" s="93"/>
    </row>
    <row r="82" spans="1:21" s="94" customFormat="1" ht="15.75" customHeight="1">
      <c r="A82" s="48">
        <f t="shared" si="3"/>
        <v>34.005999999999986</v>
      </c>
      <c r="B82" s="783" t="s">
        <v>819</v>
      </c>
      <c r="C82" s="784" t="s">
        <v>1127</v>
      </c>
      <c r="D82" s="790" t="s">
        <v>1129</v>
      </c>
      <c r="E82" s="785">
        <v>449</v>
      </c>
      <c r="F82" s="786">
        <v>213</v>
      </c>
      <c r="G82" s="786">
        <v>236</v>
      </c>
      <c r="H82" s="787">
        <v>10.5</v>
      </c>
      <c r="I82" s="788">
        <v>10.5</v>
      </c>
      <c r="J82" s="788">
        <v>5.7799999999999997E-2</v>
      </c>
      <c r="K82" s="787">
        <v>10.3</v>
      </c>
      <c r="L82" s="788">
        <v>10.199999999999999</v>
      </c>
      <c r="M82" s="788">
        <v>5.62E-2</v>
      </c>
      <c r="N82" s="787">
        <v>0.65500000000000003</v>
      </c>
      <c r="O82" s="788">
        <v>0.28599999999999998</v>
      </c>
      <c r="P82" s="788">
        <v>0.36899999999999999</v>
      </c>
      <c r="Q82" s="109" t="s">
        <v>788</v>
      </c>
      <c r="R82" s="103" t="s">
        <v>818</v>
      </c>
      <c r="S82" s="93"/>
      <c r="T82" s="93"/>
      <c r="U82" s="93"/>
    </row>
    <row r="83" spans="1:21" s="94" customFormat="1" ht="15.75" customHeight="1">
      <c r="A83" s="48">
        <f t="shared" si="3"/>
        <v>34.006999999999984</v>
      </c>
      <c r="B83" s="783" t="s">
        <v>817</v>
      </c>
      <c r="C83" s="784" t="s">
        <v>1130</v>
      </c>
      <c r="D83" s="790" t="s">
        <v>1129</v>
      </c>
      <c r="E83" s="785">
        <v>5920</v>
      </c>
      <c r="F83" s="786">
        <v>2810</v>
      </c>
      <c r="G83" s="786">
        <v>3110</v>
      </c>
      <c r="H83" s="787">
        <v>139</v>
      </c>
      <c r="I83" s="788">
        <v>138</v>
      </c>
      <c r="J83" s="788">
        <v>0.76300000000000001</v>
      </c>
      <c r="K83" s="787">
        <v>136</v>
      </c>
      <c r="L83" s="788">
        <v>135</v>
      </c>
      <c r="M83" s="788">
        <v>0.74199999999999999</v>
      </c>
      <c r="N83" s="787">
        <v>8.64</v>
      </c>
      <c r="O83" s="788">
        <v>3.78</v>
      </c>
      <c r="P83" s="788">
        <v>4.8600000000000003</v>
      </c>
      <c r="Q83" s="109" t="s">
        <v>788</v>
      </c>
      <c r="R83" s="103" t="s">
        <v>816</v>
      </c>
      <c r="S83" s="93"/>
      <c r="T83" s="93"/>
      <c r="U83" s="93"/>
    </row>
    <row r="84" spans="1:21" s="94" customFormat="1" ht="15.75" customHeight="1">
      <c r="A84" s="48">
        <f t="shared" si="3"/>
        <v>34.007999999999981</v>
      </c>
      <c r="B84" s="783" t="s">
        <v>815</v>
      </c>
      <c r="C84" s="784" t="s">
        <v>1127</v>
      </c>
      <c r="D84" s="790" t="s">
        <v>1129</v>
      </c>
      <c r="E84" s="785">
        <v>7280</v>
      </c>
      <c r="F84" s="786">
        <v>3460</v>
      </c>
      <c r="G84" s="786">
        <v>3830</v>
      </c>
      <c r="H84" s="787">
        <v>171</v>
      </c>
      <c r="I84" s="788">
        <v>170</v>
      </c>
      <c r="J84" s="788">
        <v>0.93799999999999994</v>
      </c>
      <c r="K84" s="787">
        <v>167</v>
      </c>
      <c r="L84" s="788">
        <v>166</v>
      </c>
      <c r="M84" s="788">
        <v>0.91200000000000003</v>
      </c>
      <c r="N84" s="787">
        <v>10.6</v>
      </c>
      <c r="O84" s="788">
        <v>4.6500000000000004</v>
      </c>
      <c r="P84" s="788">
        <v>5.98</v>
      </c>
      <c r="Q84" s="109" t="s">
        <v>788</v>
      </c>
      <c r="R84" s="103" t="s">
        <v>814</v>
      </c>
      <c r="S84" s="93"/>
      <c r="T84" s="93"/>
      <c r="U84" s="93"/>
    </row>
    <row r="85" spans="1:21" s="94" customFormat="1" ht="15.75" customHeight="1">
      <c r="A85" s="48">
        <f t="shared" si="3"/>
        <v>34.008999999999979</v>
      </c>
      <c r="B85" s="783" t="s">
        <v>813</v>
      </c>
      <c r="C85" s="784" t="s">
        <v>1130</v>
      </c>
      <c r="D85" s="790" t="s">
        <v>1129</v>
      </c>
      <c r="E85" s="785">
        <v>885</v>
      </c>
      <c r="F85" s="786">
        <v>869</v>
      </c>
      <c r="G85" s="786">
        <v>16.8</v>
      </c>
      <c r="H85" s="787">
        <v>2.96</v>
      </c>
      <c r="I85" s="788">
        <v>2.88</v>
      </c>
      <c r="J85" s="788">
        <v>8.2799999999999999E-2</v>
      </c>
      <c r="K85" s="787">
        <v>2.68</v>
      </c>
      <c r="L85" s="788">
        <v>2.61</v>
      </c>
      <c r="M85" s="788">
        <v>7.7600000000000002E-2</v>
      </c>
      <c r="N85" s="787">
        <v>0.154</v>
      </c>
      <c r="O85" s="788">
        <v>0.13500000000000001</v>
      </c>
      <c r="P85" s="788">
        <v>1.9599999999999999E-2</v>
      </c>
      <c r="Q85" s="109" t="s">
        <v>788</v>
      </c>
      <c r="R85" s="103" t="s">
        <v>812</v>
      </c>
      <c r="S85" s="93"/>
      <c r="T85" s="93"/>
      <c r="U85" s="93"/>
    </row>
    <row r="86" spans="1:21" s="94" customFormat="1" ht="15.75" customHeight="1">
      <c r="A86" s="48">
        <f t="shared" si="3"/>
        <v>34.009999999999977</v>
      </c>
      <c r="B86" s="783" t="s">
        <v>811</v>
      </c>
      <c r="C86" s="784" t="s">
        <v>1127</v>
      </c>
      <c r="D86" s="790" t="s">
        <v>1129</v>
      </c>
      <c r="E86" s="785">
        <v>3280</v>
      </c>
      <c r="F86" s="786">
        <v>3240</v>
      </c>
      <c r="G86" s="786">
        <v>37.700000000000003</v>
      </c>
      <c r="H86" s="787">
        <v>6.76</v>
      </c>
      <c r="I86" s="788">
        <v>6.68</v>
      </c>
      <c r="J86" s="788">
        <v>7.8399999999999997E-2</v>
      </c>
      <c r="K86" s="787">
        <v>5.99</v>
      </c>
      <c r="L86" s="788">
        <v>5.91</v>
      </c>
      <c r="M86" s="788">
        <v>7.3599999999999999E-2</v>
      </c>
      <c r="N86" s="787">
        <v>0.38300000000000001</v>
      </c>
      <c r="O86" s="788">
        <v>0.33300000000000002</v>
      </c>
      <c r="P86" s="788">
        <v>4.9099999999999998E-2</v>
      </c>
      <c r="Q86" s="109" t="s">
        <v>788</v>
      </c>
      <c r="R86" s="103" t="s">
        <v>810</v>
      </c>
      <c r="S86" s="93"/>
      <c r="T86" s="93"/>
      <c r="U86" s="93"/>
    </row>
    <row r="87" spans="1:21" s="94" customFormat="1" ht="15.75" customHeight="1">
      <c r="A87" s="48">
        <f t="shared" si="3"/>
        <v>34.010999999999974</v>
      </c>
      <c r="B87" s="783" t="s">
        <v>809</v>
      </c>
      <c r="C87" s="784" t="s">
        <v>1127</v>
      </c>
      <c r="D87" s="790" t="s">
        <v>1128</v>
      </c>
      <c r="E87" s="785">
        <v>2870</v>
      </c>
      <c r="F87" s="786">
        <v>2740</v>
      </c>
      <c r="G87" s="786">
        <v>126</v>
      </c>
      <c r="H87" s="787">
        <v>10.3</v>
      </c>
      <c r="I87" s="788">
        <v>9.69</v>
      </c>
      <c r="J87" s="788">
        <v>0.59</v>
      </c>
      <c r="K87" s="787">
        <v>9.3000000000000007</v>
      </c>
      <c r="L87" s="788">
        <v>8.75</v>
      </c>
      <c r="M87" s="788">
        <v>0.55400000000000005</v>
      </c>
      <c r="N87" s="787">
        <v>0.60699999999999998</v>
      </c>
      <c r="O87" s="788">
        <v>0.45600000000000002</v>
      </c>
      <c r="P87" s="788">
        <v>0.151</v>
      </c>
      <c r="Q87" s="109" t="s">
        <v>788</v>
      </c>
      <c r="R87" s="103" t="s">
        <v>808</v>
      </c>
      <c r="S87" s="93"/>
      <c r="T87" s="93"/>
      <c r="U87" s="93"/>
    </row>
    <row r="88" spans="1:21" s="94" customFormat="1" ht="15.75" customHeight="1">
      <c r="A88" s="48">
        <f t="shared" si="3"/>
        <v>34.011999999999972</v>
      </c>
      <c r="B88" s="783" t="s">
        <v>807</v>
      </c>
      <c r="C88" s="784" t="s">
        <v>1127</v>
      </c>
      <c r="D88" s="790" t="s">
        <v>1129</v>
      </c>
      <c r="E88" s="785">
        <v>4530</v>
      </c>
      <c r="F88" s="786">
        <v>4380</v>
      </c>
      <c r="G88" s="786">
        <v>158</v>
      </c>
      <c r="H88" s="787">
        <v>13.7</v>
      </c>
      <c r="I88" s="791">
        <v>13</v>
      </c>
      <c r="J88" s="788">
        <v>0.747</v>
      </c>
      <c r="K88" s="787">
        <v>12.3</v>
      </c>
      <c r="L88" s="788">
        <v>11.6</v>
      </c>
      <c r="M88" s="794">
        <v>0.7</v>
      </c>
      <c r="N88" s="787">
        <v>0.81100000000000005</v>
      </c>
      <c r="O88" s="788">
        <v>0.623</v>
      </c>
      <c r="P88" s="788">
        <v>0.188</v>
      </c>
      <c r="Q88" s="109" t="s">
        <v>788</v>
      </c>
      <c r="R88" s="103" t="s">
        <v>806</v>
      </c>
      <c r="S88" s="93"/>
      <c r="T88" s="93"/>
      <c r="U88" s="93"/>
    </row>
    <row r="89" spans="1:21" s="94" customFormat="1" ht="15.75" customHeight="1">
      <c r="A89" s="48">
        <f t="shared" si="3"/>
        <v>34.01299999999997</v>
      </c>
      <c r="B89" s="783" t="s">
        <v>805</v>
      </c>
      <c r="C89" s="784" t="s">
        <v>1130</v>
      </c>
      <c r="D89" s="790" t="s">
        <v>1129</v>
      </c>
      <c r="E89" s="785">
        <v>17000</v>
      </c>
      <c r="F89" s="786">
        <v>16600</v>
      </c>
      <c r="G89" s="786">
        <v>385</v>
      </c>
      <c r="H89" s="800">
        <v>39</v>
      </c>
      <c r="I89" s="788">
        <v>37.1</v>
      </c>
      <c r="J89" s="788">
        <v>1.88</v>
      </c>
      <c r="K89" s="787">
        <v>34.5</v>
      </c>
      <c r="L89" s="788">
        <v>32.799999999999997</v>
      </c>
      <c r="M89" s="788">
        <v>1.76</v>
      </c>
      <c r="N89" s="787">
        <v>2.31</v>
      </c>
      <c r="O89" s="788">
        <v>1.85</v>
      </c>
      <c r="P89" s="788">
        <v>0.45200000000000001</v>
      </c>
      <c r="Q89" s="109" t="s">
        <v>788</v>
      </c>
      <c r="R89" s="103" t="s">
        <v>804</v>
      </c>
      <c r="S89" s="93"/>
      <c r="T89" s="93"/>
      <c r="U89" s="93"/>
    </row>
    <row r="90" spans="1:21" s="94" customFormat="1" ht="15.75" customHeight="1">
      <c r="A90" s="48">
        <f t="shared" si="3"/>
        <v>34.013999999999967</v>
      </c>
      <c r="B90" s="783" t="s">
        <v>803</v>
      </c>
      <c r="C90" s="784" t="s">
        <v>1130</v>
      </c>
      <c r="D90" s="790" t="s">
        <v>1128</v>
      </c>
      <c r="E90" s="785">
        <v>95900</v>
      </c>
      <c r="F90" s="786">
        <v>94400</v>
      </c>
      <c r="G90" s="786">
        <v>1500</v>
      </c>
      <c r="H90" s="787">
        <v>184</v>
      </c>
      <c r="I90" s="788">
        <v>176</v>
      </c>
      <c r="J90" s="788">
        <v>7.6</v>
      </c>
      <c r="K90" s="787">
        <v>161</v>
      </c>
      <c r="L90" s="788">
        <v>154</v>
      </c>
      <c r="M90" s="788">
        <v>7.13</v>
      </c>
      <c r="N90" s="787">
        <v>10.8</v>
      </c>
      <c r="O90" s="789">
        <v>9.1</v>
      </c>
      <c r="P90" s="788">
        <v>1.74</v>
      </c>
      <c r="Q90" s="109" t="s">
        <v>788</v>
      </c>
      <c r="R90" s="103" t="s">
        <v>802</v>
      </c>
      <c r="S90" s="93"/>
      <c r="T90" s="93"/>
      <c r="U90" s="93"/>
    </row>
    <row r="91" spans="1:21" s="94" customFormat="1" ht="15.75" customHeight="1">
      <c r="A91" s="48">
        <f>A90+0.001</f>
        <v>34.014999999999965</v>
      </c>
      <c r="B91" s="783" t="s">
        <v>801</v>
      </c>
      <c r="C91" s="784" t="s">
        <v>1127</v>
      </c>
      <c r="D91" s="790" t="s">
        <v>1129</v>
      </c>
      <c r="E91" s="785">
        <v>993</v>
      </c>
      <c r="F91" s="786">
        <v>900</v>
      </c>
      <c r="G91" s="786">
        <v>93.2</v>
      </c>
      <c r="H91" s="787">
        <v>7.28</v>
      </c>
      <c r="I91" s="788">
        <v>6.85</v>
      </c>
      <c r="J91" s="788">
        <v>0.42499999999999999</v>
      </c>
      <c r="K91" s="787">
        <v>6.75</v>
      </c>
      <c r="L91" s="788">
        <v>6.35</v>
      </c>
      <c r="M91" s="788">
        <v>0.39800000000000002</v>
      </c>
      <c r="N91" s="787">
        <v>0.38300000000000001</v>
      </c>
      <c r="O91" s="788">
        <v>0.27100000000000002</v>
      </c>
      <c r="P91" s="788">
        <v>0.112</v>
      </c>
      <c r="Q91" s="109" t="s">
        <v>788</v>
      </c>
      <c r="R91" s="103" t="s">
        <v>800</v>
      </c>
      <c r="S91" s="93"/>
      <c r="T91" s="93"/>
      <c r="U91" s="93"/>
    </row>
    <row r="92" spans="1:21" s="94" customFormat="1" ht="15.75" customHeight="1">
      <c r="A92" s="48">
        <f>A91+0.001</f>
        <v>34.015999999999963</v>
      </c>
      <c r="B92" s="783" t="s">
        <v>799</v>
      </c>
      <c r="C92" s="784" t="s">
        <v>1127</v>
      </c>
      <c r="D92" s="790" t="s">
        <v>1128</v>
      </c>
      <c r="E92" s="785">
        <v>10300</v>
      </c>
      <c r="F92" s="786">
        <v>10300</v>
      </c>
      <c r="G92" s="786">
        <v>9.1199999999999992</v>
      </c>
      <c r="H92" s="787">
        <v>71.5</v>
      </c>
      <c r="I92" s="788">
        <v>71.3</v>
      </c>
      <c r="J92" s="788">
        <v>0.159</v>
      </c>
      <c r="K92" s="787">
        <v>67.3</v>
      </c>
      <c r="L92" s="788">
        <v>67.099999999999994</v>
      </c>
      <c r="M92" s="788">
        <v>0.15</v>
      </c>
      <c r="N92" s="787">
        <v>4.72</v>
      </c>
      <c r="O92" s="788">
        <v>4.71</v>
      </c>
      <c r="P92" s="788">
        <v>6.7200000000000003E-3</v>
      </c>
      <c r="Q92" s="109" t="s">
        <v>788</v>
      </c>
      <c r="R92" s="792" t="s">
        <v>798</v>
      </c>
      <c r="S92" s="93"/>
      <c r="T92" s="93"/>
      <c r="U92" s="93"/>
    </row>
    <row r="93" spans="1:21" s="94" customFormat="1" ht="15.75" customHeight="1">
      <c r="A93" s="48">
        <f t="shared" si="3"/>
        <v>34.01699999999996</v>
      </c>
      <c r="B93" s="783" t="s">
        <v>797</v>
      </c>
      <c r="C93" s="784" t="s">
        <v>1131</v>
      </c>
      <c r="D93" s="790" t="s">
        <v>1129</v>
      </c>
      <c r="E93" s="785">
        <v>8110</v>
      </c>
      <c r="F93" s="786">
        <v>8100</v>
      </c>
      <c r="G93" s="786">
        <v>7.15</v>
      </c>
      <c r="H93" s="787">
        <v>56</v>
      </c>
      <c r="I93" s="788">
        <v>55.9</v>
      </c>
      <c r="J93" s="788">
        <v>0.125</v>
      </c>
      <c r="K93" s="787">
        <v>52.7</v>
      </c>
      <c r="L93" s="788">
        <v>52.6</v>
      </c>
      <c r="M93" s="788">
        <v>0.11700000000000001</v>
      </c>
      <c r="N93" s="795">
        <v>3.7</v>
      </c>
      <c r="O93" s="788">
        <v>3.69</v>
      </c>
      <c r="P93" s="788">
        <v>5.2700000000000004E-3</v>
      </c>
      <c r="Q93" s="109" t="s">
        <v>788</v>
      </c>
      <c r="R93" s="792" t="s">
        <v>796</v>
      </c>
      <c r="S93" s="93"/>
      <c r="T93" s="93"/>
      <c r="U93" s="93"/>
    </row>
    <row r="94" spans="1:21" s="94" customFormat="1" ht="15.75" customHeight="1">
      <c r="A94" s="48">
        <f t="shared" si="3"/>
        <v>34.017999999999958</v>
      </c>
      <c r="B94" s="783" t="s">
        <v>795</v>
      </c>
      <c r="C94" s="784" t="s">
        <v>1130</v>
      </c>
      <c r="D94" s="790" t="s">
        <v>1129</v>
      </c>
      <c r="E94" s="785">
        <v>3920</v>
      </c>
      <c r="F94" s="786">
        <v>2170</v>
      </c>
      <c r="G94" s="786">
        <v>1750</v>
      </c>
      <c r="H94" s="787">
        <v>85.5</v>
      </c>
      <c r="I94" s="788">
        <v>74.7</v>
      </c>
      <c r="J94" s="788">
        <v>10.8</v>
      </c>
      <c r="K94" s="787">
        <v>82.8</v>
      </c>
      <c r="L94" s="788">
        <v>72.7</v>
      </c>
      <c r="M94" s="788">
        <v>10.1</v>
      </c>
      <c r="N94" s="787">
        <v>4.55</v>
      </c>
      <c r="O94" s="788">
        <v>2.59</v>
      </c>
      <c r="P94" s="788">
        <v>1.96</v>
      </c>
      <c r="Q94" s="109" t="s">
        <v>788</v>
      </c>
      <c r="R94" s="103" t="s">
        <v>794</v>
      </c>
      <c r="S94" s="93"/>
      <c r="T94" s="93"/>
      <c r="U94" s="93"/>
    </row>
    <row r="95" spans="1:21" s="94" customFormat="1" ht="15.75" customHeight="1">
      <c r="A95" s="48">
        <f t="shared" si="3"/>
        <v>34.018999999999956</v>
      </c>
      <c r="B95" s="783" t="s">
        <v>793</v>
      </c>
      <c r="C95" s="784" t="s">
        <v>1130</v>
      </c>
      <c r="D95" s="790" t="s">
        <v>1129</v>
      </c>
      <c r="E95" s="785">
        <v>7470</v>
      </c>
      <c r="F95" s="786">
        <v>4140</v>
      </c>
      <c r="G95" s="786">
        <v>3330</v>
      </c>
      <c r="H95" s="787">
        <v>163</v>
      </c>
      <c r="I95" s="788">
        <v>142</v>
      </c>
      <c r="J95" s="788">
        <v>20.5</v>
      </c>
      <c r="K95" s="787">
        <v>158</v>
      </c>
      <c r="L95" s="788">
        <v>139</v>
      </c>
      <c r="M95" s="788">
        <v>19.3</v>
      </c>
      <c r="N95" s="787">
        <v>8.68</v>
      </c>
      <c r="O95" s="788">
        <v>4.9400000000000004</v>
      </c>
      <c r="P95" s="788">
        <v>3.74</v>
      </c>
      <c r="Q95" s="109" t="s">
        <v>788</v>
      </c>
      <c r="R95" s="103" t="s">
        <v>792</v>
      </c>
      <c r="S95" s="93"/>
      <c r="T95" s="93"/>
      <c r="U95" s="93"/>
    </row>
    <row r="96" spans="1:21" s="94" customFormat="1" ht="15.75" customHeight="1">
      <c r="A96" s="48">
        <f t="shared" si="3"/>
        <v>34.019999999999953</v>
      </c>
      <c r="B96" s="783" t="s">
        <v>791</v>
      </c>
      <c r="C96" s="784" t="s">
        <v>1125</v>
      </c>
      <c r="D96" s="790" t="s">
        <v>1126</v>
      </c>
      <c r="E96" s="785">
        <v>482</v>
      </c>
      <c r="F96" s="786">
        <v>229</v>
      </c>
      <c r="G96" s="786">
        <v>253</v>
      </c>
      <c r="H96" s="787">
        <v>11.3</v>
      </c>
      <c r="I96" s="788">
        <v>11.2</v>
      </c>
      <c r="J96" s="788">
        <v>6.2100000000000002E-2</v>
      </c>
      <c r="K96" s="800">
        <v>11</v>
      </c>
      <c r="L96" s="791">
        <v>11</v>
      </c>
      <c r="M96" s="788">
        <v>6.0299999999999999E-2</v>
      </c>
      <c r="N96" s="787">
        <v>0.70299999999999996</v>
      </c>
      <c r="O96" s="788">
        <v>0.308</v>
      </c>
      <c r="P96" s="788">
        <v>0.39600000000000002</v>
      </c>
      <c r="Q96" s="401" t="s">
        <v>784</v>
      </c>
      <c r="R96" s="103" t="s">
        <v>790</v>
      </c>
      <c r="S96" s="93"/>
      <c r="T96" s="93"/>
      <c r="U96" s="93"/>
    </row>
    <row r="97" spans="1:21" s="94" customFormat="1" ht="15.75" customHeight="1">
      <c r="A97" s="48">
        <f t="shared" si="3"/>
        <v>34.020999999999951</v>
      </c>
      <c r="B97" s="783" t="s">
        <v>789</v>
      </c>
      <c r="C97" s="784" t="s">
        <v>1130</v>
      </c>
      <c r="D97" s="790" t="s">
        <v>1129</v>
      </c>
      <c r="E97" s="785">
        <v>3270</v>
      </c>
      <c r="F97" s="786">
        <v>3270</v>
      </c>
      <c r="G97" s="786">
        <v>2.88</v>
      </c>
      <c r="H97" s="787">
        <v>24</v>
      </c>
      <c r="I97" s="788">
        <v>24</v>
      </c>
      <c r="J97" s="788">
        <v>5.0299999999999997E-2</v>
      </c>
      <c r="K97" s="787">
        <v>22.7</v>
      </c>
      <c r="L97" s="788">
        <v>22.7</v>
      </c>
      <c r="M97" s="788">
        <v>4.7300000000000002E-2</v>
      </c>
      <c r="N97" s="787">
        <v>1.47</v>
      </c>
      <c r="O97" s="788">
        <v>1.47</v>
      </c>
      <c r="P97" s="788">
        <v>2.1299999999999999E-3</v>
      </c>
      <c r="Q97" s="401" t="s">
        <v>788</v>
      </c>
      <c r="R97" s="103" t="s">
        <v>787</v>
      </c>
      <c r="S97" s="93"/>
      <c r="T97" s="93"/>
      <c r="U97" s="93"/>
    </row>
    <row r="98" spans="1:21" s="94" customFormat="1" ht="15.75" customHeight="1">
      <c r="A98" s="48">
        <f>A97+0.001</f>
        <v>34.021999999999949</v>
      </c>
      <c r="B98" s="783" t="s">
        <v>1132</v>
      </c>
      <c r="C98" s="784" t="s">
        <v>1122</v>
      </c>
      <c r="D98" s="790" t="s">
        <v>1123</v>
      </c>
      <c r="E98" s="785">
        <v>350</v>
      </c>
      <c r="F98" s="786">
        <v>166</v>
      </c>
      <c r="G98" s="786">
        <v>184</v>
      </c>
      <c r="H98" s="787">
        <v>8.19</v>
      </c>
      <c r="I98" s="788">
        <v>8.14</v>
      </c>
      <c r="J98" s="788">
        <v>4.4999999999999998E-2</v>
      </c>
      <c r="K98" s="787">
        <v>8.01</v>
      </c>
      <c r="L98" s="788">
        <v>7.97</v>
      </c>
      <c r="M98" s="788">
        <v>4.3799999999999999E-2</v>
      </c>
      <c r="N98" s="787">
        <v>0.51</v>
      </c>
      <c r="O98" s="788">
        <v>0.223</v>
      </c>
      <c r="P98" s="788">
        <v>0.28699999999999998</v>
      </c>
      <c r="Q98" s="401" t="s">
        <v>784</v>
      </c>
      <c r="R98" s="103" t="s">
        <v>786</v>
      </c>
      <c r="S98" s="93"/>
      <c r="T98" s="93"/>
      <c r="U98" s="93"/>
    </row>
    <row r="99" spans="1:21" s="94" customFormat="1" ht="15.75" customHeight="1">
      <c r="A99" s="48">
        <f t="shared" si="3"/>
        <v>34.022999999999946</v>
      </c>
      <c r="B99" s="783" t="s">
        <v>785</v>
      </c>
      <c r="C99" s="784" t="s">
        <v>1122</v>
      </c>
      <c r="D99" s="790" t="s">
        <v>1126</v>
      </c>
      <c r="E99" s="785">
        <v>475000</v>
      </c>
      <c r="F99" s="786">
        <v>475000</v>
      </c>
      <c r="G99" s="786">
        <v>419</v>
      </c>
      <c r="H99" s="787">
        <v>3490</v>
      </c>
      <c r="I99" s="788">
        <v>3480</v>
      </c>
      <c r="J99" s="788">
        <v>7.31</v>
      </c>
      <c r="K99" s="787">
        <v>3300</v>
      </c>
      <c r="L99" s="788">
        <v>3290</v>
      </c>
      <c r="M99" s="788">
        <v>6.88</v>
      </c>
      <c r="N99" s="787">
        <v>214</v>
      </c>
      <c r="O99" s="788">
        <v>213</v>
      </c>
      <c r="P99" s="788">
        <v>0.309</v>
      </c>
      <c r="Q99" s="401" t="s">
        <v>784</v>
      </c>
      <c r="R99" s="792" t="s">
        <v>783</v>
      </c>
      <c r="S99" s="93"/>
      <c r="T99" s="93"/>
      <c r="U99" s="93"/>
    </row>
    <row r="100" spans="1:21" s="806" customFormat="1" ht="15.75" customHeight="1">
      <c r="A100" s="48">
        <f>A99+0.001</f>
        <v>34.023999999999944</v>
      </c>
      <c r="B100" s="783" t="s">
        <v>719</v>
      </c>
      <c r="C100" s="801" t="s">
        <v>712</v>
      </c>
      <c r="D100" s="802" t="s">
        <v>711</v>
      </c>
      <c r="E100" s="785">
        <v>2890000</v>
      </c>
      <c r="F100" s="786">
        <v>2890000</v>
      </c>
      <c r="G100" s="786" t="s">
        <v>710</v>
      </c>
      <c r="H100" s="787">
        <v>31600</v>
      </c>
      <c r="I100" s="788">
        <v>31600</v>
      </c>
      <c r="J100" s="788" t="s">
        <v>710</v>
      </c>
      <c r="K100" s="787">
        <v>27900</v>
      </c>
      <c r="L100" s="788">
        <v>27900</v>
      </c>
      <c r="M100" s="788" t="s">
        <v>710</v>
      </c>
      <c r="N100" s="787">
        <v>2030</v>
      </c>
      <c r="O100" s="788">
        <v>2030</v>
      </c>
      <c r="P100" s="788" t="s">
        <v>710</v>
      </c>
      <c r="Q100" s="803" t="s">
        <v>709</v>
      </c>
      <c r="R100" s="804" t="s">
        <v>718</v>
      </c>
      <c r="S100" s="805"/>
      <c r="T100" s="805"/>
      <c r="U100" s="805"/>
    </row>
    <row r="101" spans="1:21" s="806" customFormat="1" ht="15.75" customHeight="1">
      <c r="A101" s="48">
        <f t="shared" si="3"/>
        <v>34.024999999999942</v>
      </c>
      <c r="B101" s="783" t="s">
        <v>717</v>
      </c>
      <c r="C101" s="801" t="s">
        <v>712</v>
      </c>
      <c r="D101" s="802" t="s">
        <v>711</v>
      </c>
      <c r="E101" s="785">
        <v>2890000</v>
      </c>
      <c r="F101" s="786">
        <v>2890000</v>
      </c>
      <c r="G101" s="786" t="s">
        <v>710</v>
      </c>
      <c r="H101" s="787">
        <v>31300</v>
      </c>
      <c r="I101" s="788">
        <v>31300</v>
      </c>
      <c r="J101" s="788" t="s">
        <v>710</v>
      </c>
      <c r="K101" s="787">
        <v>27700</v>
      </c>
      <c r="L101" s="788">
        <v>27700</v>
      </c>
      <c r="M101" s="788" t="s">
        <v>710</v>
      </c>
      <c r="N101" s="787">
        <v>2010</v>
      </c>
      <c r="O101" s="788">
        <v>2010</v>
      </c>
      <c r="P101" s="788" t="s">
        <v>710</v>
      </c>
      <c r="Q101" s="803" t="s">
        <v>709</v>
      </c>
      <c r="R101" s="804" t="s">
        <v>716</v>
      </c>
      <c r="S101" s="805"/>
      <c r="T101" s="805"/>
      <c r="U101" s="805"/>
    </row>
    <row r="102" spans="1:21" s="806" customFormat="1" ht="15.75" customHeight="1">
      <c r="A102" s="48">
        <f t="shared" si="3"/>
        <v>34.025999999999939</v>
      </c>
      <c r="B102" s="783" t="s">
        <v>715</v>
      </c>
      <c r="C102" s="801" t="s">
        <v>712</v>
      </c>
      <c r="D102" s="802" t="s">
        <v>711</v>
      </c>
      <c r="E102" s="785">
        <v>2820000</v>
      </c>
      <c r="F102" s="786">
        <v>2820000</v>
      </c>
      <c r="G102" s="786" t="s">
        <v>710</v>
      </c>
      <c r="H102" s="787">
        <v>32700</v>
      </c>
      <c r="I102" s="788">
        <v>32700</v>
      </c>
      <c r="J102" s="788" t="s">
        <v>710</v>
      </c>
      <c r="K102" s="787">
        <v>28900</v>
      </c>
      <c r="L102" s="788">
        <v>28900</v>
      </c>
      <c r="M102" s="788" t="s">
        <v>710</v>
      </c>
      <c r="N102" s="787">
        <v>2130</v>
      </c>
      <c r="O102" s="788">
        <v>2130</v>
      </c>
      <c r="P102" s="788" t="s">
        <v>710</v>
      </c>
      <c r="Q102" s="803" t="s">
        <v>709</v>
      </c>
      <c r="R102" s="804" t="s">
        <v>714</v>
      </c>
      <c r="S102" s="805"/>
      <c r="T102" s="805"/>
      <c r="U102" s="805"/>
    </row>
    <row r="103" spans="1:21" s="806" customFormat="1" ht="15.75" customHeight="1">
      <c r="A103" s="48">
        <f t="shared" si="3"/>
        <v>34.026999999999937</v>
      </c>
      <c r="B103" s="783" t="s">
        <v>713</v>
      </c>
      <c r="C103" s="801" t="s">
        <v>712</v>
      </c>
      <c r="D103" s="802" t="s">
        <v>711</v>
      </c>
      <c r="E103" s="785">
        <v>3020000</v>
      </c>
      <c r="F103" s="786">
        <v>3020000</v>
      </c>
      <c r="G103" s="786" t="s">
        <v>710</v>
      </c>
      <c r="H103" s="787">
        <v>32100</v>
      </c>
      <c r="I103" s="788">
        <v>32100</v>
      </c>
      <c r="J103" s="788" t="s">
        <v>710</v>
      </c>
      <c r="K103" s="787">
        <v>28300</v>
      </c>
      <c r="L103" s="788">
        <v>28300</v>
      </c>
      <c r="M103" s="788" t="s">
        <v>710</v>
      </c>
      <c r="N103" s="787">
        <v>2060</v>
      </c>
      <c r="O103" s="788">
        <v>2060</v>
      </c>
      <c r="P103" s="788" t="s">
        <v>710</v>
      </c>
      <c r="Q103" s="803" t="s">
        <v>709</v>
      </c>
      <c r="R103" s="804" t="s">
        <v>708</v>
      </c>
      <c r="S103" s="805"/>
      <c r="T103" s="805"/>
      <c r="U103" s="805"/>
    </row>
    <row r="104" spans="1:21" s="47" customFormat="1" ht="12.75" customHeight="1">
      <c r="A104" s="82"/>
      <c r="B104" s="807"/>
      <c r="C104" s="808"/>
      <c r="D104" s="808"/>
      <c r="E104" s="714"/>
      <c r="F104" s="715"/>
      <c r="G104" s="715"/>
      <c r="H104" s="714"/>
      <c r="I104" s="715"/>
      <c r="J104" s="715"/>
      <c r="K104" s="714"/>
      <c r="L104" s="715"/>
      <c r="M104" s="715"/>
      <c r="N104" s="714"/>
      <c r="O104" s="715"/>
      <c r="P104" s="715"/>
      <c r="Q104" s="809"/>
      <c r="R104" s="810"/>
      <c r="S104" s="16"/>
      <c r="T104" s="16"/>
      <c r="U104" s="16"/>
    </row>
    <row r="105" spans="1:21" s="47" customFormat="1" ht="13.5" customHeight="1">
      <c r="A105" s="82"/>
      <c r="B105" s="807" t="s">
        <v>42</v>
      </c>
      <c r="C105" s="808"/>
      <c r="D105" s="808" t="s">
        <v>42</v>
      </c>
      <c r="E105" s="715" t="s">
        <v>42</v>
      </c>
      <c r="F105" s="715" t="s">
        <v>42</v>
      </c>
      <c r="G105" s="715" t="s">
        <v>42</v>
      </c>
      <c r="H105" s="715" t="s">
        <v>42</v>
      </c>
      <c r="I105" s="715" t="s">
        <v>42</v>
      </c>
      <c r="J105" s="715" t="s">
        <v>42</v>
      </c>
      <c r="K105" s="714" t="s">
        <v>42</v>
      </c>
      <c r="L105" s="715" t="s">
        <v>42</v>
      </c>
      <c r="M105" s="715" t="s">
        <v>42</v>
      </c>
      <c r="N105" s="715" t="s">
        <v>42</v>
      </c>
      <c r="O105" s="715" t="s">
        <v>42</v>
      </c>
      <c r="P105" s="715" t="s">
        <v>42</v>
      </c>
      <c r="Q105" s="809"/>
      <c r="R105" s="811" t="s">
        <v>42</v>
      </c>
      <c r="S105" s="46"/>
      <c r="T105" s="46"/>
      <c r="U105" s="46"/>
    </row>
    <row r="106" spans="1:21" s="47" customFormat="1" ht="13.5" customHeight="1">
      <c r="A106" s="82"/>
      <c r="B106" s="807" t="s">
        <v>42</v>
      </c>
      <c r="C106" s="808"/>
      <c r="D106" s="808" t="s">
        <v>42</v>
      </c>
      <c r="E106" s="715" t="s">
        <v>42</v>
      </c>
      <c r="F106" s="715" t="s">
        <v>42</v>
      </c>
      <c r="G106" s="715" t="s">
        <v>42</v>
      </c>
      <c r="H106" s="715" t="s">
        <v>42</v>
      </c>
      <c r="I106" s="715" t="s">
        <v>42</v>
      </c>
      <c r="J106" s="715" t="s">
        <v>42</v>
      </c>
      <c r="K106" s="714" t="s">
        <v>42</v>
      </c>
      <c r="L106" s="715" t="s">
        <v>42</v>
      </c>
      <c r="M106" s="715" t="s">
        <v>42</v>
      </c>
      <c r="N106" s="715" t="s">
        <v>42</v>
      </c>
      <c r="O106" s="715" t="s">
        <v>42</v>
      </c>
      <c r="P106" s="715" t="s">
        <v>42</v>
      </c>
      <c r="Q106" s="809"/>
      <c r="R106" s="811" t="s">
        <v>42</v>
      </c>
      <c r="S106" s="46"/>
      <c r="T106" s="46"/>
      <c r="U106" s="46"/>
    </row>
    <row r="107" spans="1:21" s="47" customFormat="1" ht="13.5" customHeight="1">
      <c r="A107" s="82"/>
      <c r="B107" s="807" t="s">
        <v>42</v>
      </c>
      <c r="C107" s="808"/>
      <c r="D107" s="808" t="s">
        <v>42</v>
      </c>
      <c r="E107" s="715" t="s">
        <v>42</v>
      </c>
      <c r="F107" s="715" t="s">
        <v>42</v>
      </c>
      <c r="G107" s="715" t="s">
        <v>42</v>
      </c>
      <c r="H107" s="715" t="s">
        <v>42</v>
      </c>
      <c r="I107" s="715" t="s">
        <v>42</v>
      </c>
      <c r="J107" s="715" t="s">
        <v>42</v>
      </c>
      <c r="K107" s="714" t="s">
        <v>42</v>
      </c>
      <c r="L107" s="715" t="s">
        <v>42</v>
      </c>
      <c r="M107" s="715" t="s">
        <v>42</v>
      </c>
      <c r="N107" s="715" t="s">
        <v>42</v>
      </c>
      <c r="O107" s="715" t="s">
        <v>42</v>
      </c>
      <c r="P107" s="715" t="s">
        <v>42</v>
      </c>
      <c r="Q107" s="809"/>
      <c r="R107" s="811" t="s">
        <v>42</v>
      </c>
      <c r="S107" s="46"/>
      <c r="T107" s="46"/>
      <c r="U107" s="46"/>
    </row>
    <row r="108" spans="1:21" s="47" customFormat="1" ht="13.5" customHeight="1">
      <c r="A108" s="82"/>
      <c r="B108" s="807" t="s">
        <v>42</v>
      </c>
      <c r="C108" s="808"/>
      <c r="D108" s="808" t="s">
        <v>42</v>
      </c>
      <c r="E108" s="715" t="s">
        <v>42</v>
      </c>
      <c r="F108" s="715" t="s">
        <v>42</v>
      </c>
      <c r="G108" s="715" t="s">
        <v>42</v>
      </c>
      <c r="H108" s="715" t="s">
        <v>42</v>
      </c>
      <c r="I108" s="715" t="s">
        <v>42</v>
      </c>
      <c r="J108" s="715" t="s">
        <v>42</v>
      </c>
      <c r="K108" s="714" t="s">
        <v>42</v>
      </c>
      <c r="L108" s="715" t="s">
        <v>42</v>
      </c>
      <c r="M108" s="715" t="s">
        <v>42</v>
      </c>
      <c r="N108" s="715" t="s">
        <v>42</v>
      </c>
      <c r="O108" s="715" t="s">
        <v>42</v>
      </c>
      <c r="P108" s="715" t="s">
        <v>42</v>
      </c>
      <c r="Q108" s="809"/>
      <c r="R108" s="811" t="s">
        <v>42</v>
      </c>
      <c r="S108" s="46"/>
      <c r="T108" s="46"/>
      <c r="U108" s="46"/>
    </row>
    <row r="109" spans="1:21" s="47" customFormat="1" ht="13.5" customHeight="1">
      <c r="A109" s="82"/>
      <c r="B109" s="807" t="s">
        <v>42</v>
      </c>
      <c r="C109" s="808"/>
      <c r="D109" s="808" t="s">
        <v>42</v>
      </c>
      <c r="E109" s="715" t="s">
        <v>42</v>
      </c>
      <c r="F109" s="715" t="s">
        <v>42</v>
      </c>
      <c r="G109" s="715" t="s">
        <v>42</v>
      </c>
      <c r="H109" s="715" t="s">
        <v>42</v>
      </c>
      <c r="I109" s="715" t="s">
        <v>42</v>
      </c>
      <c r="J109" s="715" t="s">
        <v>42</v>
      </c>
      <c r="K109" s="714" t="s">
        <v>42</v>
      </c>
      <c r="L109" s="715" t="s">
        <v>42</v>
      </c>
      <c r="M109" s="715" t="s">
        <v>42</v>
      </c>
      <c r="N109" s="715" t="s">
        <v>42</v>
      </c>
      <c r="O109" s="715" t="s">
        <v>42</v>
      </c>
      <c r="P109" s="715" t="s">
        <v>42</v>
      </c>
      <c r="Q109" s="809"/>
      <c r="R109" s="811" t="s">
        <v>42</v>
      </c>
      <c r="S109" s="46"/>
      <c r="T109" s="46"/>
      <c r="U109" s="46"/>
    </row>
    <row r="110" spans="1:21" s="47" customFormat="1" ht="13.5" customHeight="1">
      <c r="A110" s="82"/>
      <c r="B110" s="807" t="s">
        <v>42</v>
      </c>
      <c r="C110" s="808"/>
      <c r="D110" s="808" t="s">
        <v>42</v>
      </c>
      <c r="E110" s="715" t="s">
        <v>42</v>
      </c>
      <c r="F110" s="715" t="s">
        <v>42</v>
      </c>
      <c r="G110" s="715" t="s">
        <v>42</v>
      </c>
      <c r="H110" s="715" t="s">
        <v>42</v>
      </c>
      <c r="I110" s="715" t="s">
        <v>42</v>
      </c>
      <c r="J110" s="715" t="s">
        <v>42</v>
      </c>
      <c r="K110" s="714" t="s">
        <v>42</v>
      </c>
      <c r="L110" s="715" t="s">
        <v>42</v>
      </c>
      <c r="M110" s="715" t="s">
        <v>42</v>
      </c>
      <c r="N110" s="715" t="s">
        <v>42</v>
      </c>
      <c r="O110" s="715" t="s">
        <v>42</v>
      </c>
      <c r="P110" s="715" t="s">
        <v>42</v>
      </c>
      <c r="Q110" s="809"/>
      <c r="R110" s="811" t="s">
        <v>42</v>
      </c>
      <c r="S110" s="46"/>
      <c r="T110" s="46"/>
      <c r="U110" s="46"/>
    </row>
    <row r="111" spans="1:21" s="47" customFormat="1" ht="13.5" customHeight="1">
      <c r="A111" s="82"/>
      <c r="B111" s="807" t="s">
        <v>42</v>
      </c>
      <c r="C111" s="808"/>
      <c r="D111" s="808" t="s">
        <v>42</v>
      </c>
      <c r="E111" s="715" t="s">
        <v>42</v>
      </c>
      <c r="F111" s="715" t="s">
        <v>42</v>
      </c>
      <c r="G111" s="715" t="s">
        <v>42</v>
      </c>
      <c r="H111" s="715" t="s">
        <v>42</v>
      </c>
      <c r="I111" s="715" t="s">
        <v>42</v>
      </c>
      <c r="J111" s="715" t="s">
        <v>42</v>
      </c>
      <c r="K111" s="714" t="s">
        <v>42</v>
      </c>
      <c r="L111" s="715" t="s">
        <v>42</v>
      </c>
      <c r="M111" s="715" t="s">
        <v>42</v>
      </c>
      <c r="N111" s="715" t="s">
        <v>42</v>
      </c>
      <c r="O111" s="715" t="s">
        <v>42</v>
      </c>
      <c r="P111" s="715" t="s">
        <v>42</v>
      </c>
      <c r="Q111" s="809"/>
      <c r="R111" s="811" t="s">
        <v>42</v>
      </c>
      <c r="S111" s="46"/>
      <c r="T111" s="46"/>
      <c r="U111" s="46"/>
    </row>
    <row r="112" spans="1:21" s="47" customFormat="1" ht="13.5" customHeight="1">
      <c r="A112" s="82"/>
      <c r="B112" s="807" t="s">
        <v>42</v>
      </c>
      <c r="C112" s="808"/>
      <c r="D112" s="808" t="s">
        <v>42</v>
      </c>
      <c r="E112" s="715" t="s">
        <v>42</v>
      </c>
      <c r="F112" s="715" t="s">
        <v>42</v>
      </c>
      <c r="G112" s="715" t="s">
        <v>42</v>
      </c>
      <c r="H112" s="715" t="s">
        <v>42</v>
      </c>
      <c r="I112" s="715" t="s">
        <v>42</v>
      </c>
      <c r="J112" s="715" t="s">
        <v>42</v>
      </c>
      <c r="K112" s="714" t="s">
        <v>42</v>
      </c>
      <c r="L112" s="715" t="s">
        <v>42</v>
      </c>
      <c r="M112" s="715" t="s">
        <v>42</v>
      </c>
      <c r="N112" s="715" t="s">
        <v>42</v>
      </c>
      <c r="O112" s="715" t="s">
        <v>42</v>
      </c>
      <c r="P112" s="715" t="s">
        <v>42</v>
      </c>
      <c r="Q112" s="809"/>
      <c r="R112" s="811" t="s">
        <v>42</v>
      </c>
      <c r="S112" s="46"/>
      <c r="T112" s="46"/>
      <c r="U112" s="46"/>
    </row>
    <row r="113" spans="1:21" s="47" customFormat="1" ht="13.5" customHeight="1">
      <c r="A113" s="82"/>
      <c r="B113" s="807" t="s">
        <v>42</v>
      </c>
      <c r="C113" s="808"/>
      <c r="D113" s="808" t="s">
        <v>42</v>
      </c>
      <c r="E113" s="715" t="s">
        <v>42</v>
      </c>
      <c r="F113" s="715" t="s">
        <v>42</v>
      </c>
      <c r="G113" s="715" t="s">
        <v>42</v>
      </c>
      <c r="H113" s="715" t="s">
        <v>42</v>
      </c>
      <c r="I113" s="715" t="s">
        <v>42</v>
      </c>
      <c r="J113" s="715" t="s">
        <v>42</v>
      </c>
      <c r="K113" s="714" t="s">
        <v>42</v>
      </c>
      <c r="L113" s="715" t="s">
        <v>42</v>
      </c>
      <c r="M113" s="715" t="s">
        <v>42</v>
      </c>
      <c r="N113" s="715" t="s">
        <v>42</v>
      </c>
      <c r="O113" s="715" t="s">
        <v>42</v>
      </c>
      <c r="P113" s="715" t="s">
        <v>42</v>
      </c>
      <c r="Q113" s="809"/>
      <c r="R113" s="811" t="s">
        <v>42</v>
      </c>
      <c r="S113" s="46"/>
      <c r="T113" s="46"/>
      <c r="U113" s="46"/>
    </row>
    <row r="114" spans="1:21" s="47" customFormat="1" ht="13.5" customHeight="1">
      <c r="A114" s="82"/>
      <c r="B114" s="807" t="s">
        <v>42</v>
      </c>
      <c r="C114" s="808"/>
      <c r="D114" s="808" t="s">
        <v>42</v>
      </c>
      <c r="E114" s="715" t="s">
        <v>42</v>
      </c>
      <c r="F114" s="715" t="s">
        <v>42</v>
      </c>
      <c r="G114" s="715" t="s">
        <v>42</v>
      </c>
      <c r="H114" s="715" t="s">
        <v>42</v>
      </c>
      <c r="I114" s="715" t="s">
        <v>42</v>
      </c>
      <c r="J114" s="715" t="s">
        <v>42</v>
      </c>
      <c r="K114" s="714" t="s">
        <v>42</v>
      </c>
      <c r="L114" s="715" t="s">
        <v>42</v>
      </c>
      <c r="M114" s="715" t="s">
        <v>42</v>
      </c>
      <c r="N114" s="715" t="s">
        <v>42</v>
      </c>
      <c r="O114" s="715" t="s">
        <v>42</v>
      </c>
      <c r="P114" s="715" t="s">
        <v>42</v>
      </c>
      <c r="Q114" s="809"/>
      <c r="R114" s="811" t="s">
        <v>42</v>
      </c>
      <c r="S114" s="46"/>
      <c r="T114" s="46"/>
      <c r="U114" s="46"/>
    </row>
    <row r="115" spans="1:21" s="47" customFormat="1" ht="13.5" customHeight="1">
      <c r="A115" s="82"/>
      <c r="B115" s="807" t="s">
        <v>42</v>
      </c>
      <c r="C115" s="808"/>
      <c r="D115" s="808" t="s">
        <v>42</v>
      </c>
      <c r="E115" s="715" t="s">
        <v>42</v>
      </c>
      <c r="F115" s="715" t="s">
        <v>42</v>
      </c>
      <c r="G115" s="715" t="s">
        <v>42</v>
      </c>
      <c r="H115" s="715" t="s">
        <v>42</v>
      </c>
      <c r="I115" s="715" t="s">
        <v>42</v>
      </c>
      <c r="J115" s="715" t="s">
        <v>42</v>
      </c>
      <c r="K115" s="714" t="s">
        <v>42</v>
      </c>
      <c r="L115" s="715" t="s">
        <v>42</v>
      </c>
      <c r="M115" s="715" t="s">
        <v>42</v>
      </c>
      <c r="N115" s="715" t="s">
        <v>42</v>
      </c>
      <c r="O115" s="715" t="s">
        <v>42</v>
      </c>
      <c r="P115" s="715" t="s">
        <v>42</v>
      </c>
      <c r="Q115" s="809"/>
      <c r="R115" s="811" t="s">
        <v>42</v>
      </c>
      <c r="S115" s="46"/>
      <c r="T115" s="46"/>
      <c r="U115" s="46"/>
    </row>
    <row r="116" spans="1:21" s="47" customFormat="1" ht="13.5" customHeight="1">
      <c r="A116" s="82"/>
      <c r="B116" s="807" t="s">
        <v>42</v>
      </c>
      <c r="C116" s="808"/>
      <c r="D116" s="808" t="s">
        <v>42</v>
      </c>
      <c r="E116" s="715" t="s">
        <v>42</v>
      </c>
      <c r="F116" s="715" t="s">
        <v>42</v>
      </c>
      <c r="G116" s="715" t="s">
        <v>42</v>
      </c>
      <c r="H116" s="715" t="s">
        <v>42</v>
      </c>
      <c r="I116" s="715" t="s">
        <v>42</v>
      </c>
      <c r="J116" s="715" t="s">
        <v>42</v>
      </c>
      <c r="K116" s="714" t="s">
        <v>42</v>
      </c>
      <c r="L116" s="715" t="s">
        <v>42</v>
      </c>
      <c r="M116" s="715" t="s">
        <v>42</v>
      </c>
      <c r="N116" s="715" t="s">
        <v>42</v>
      </c>
      <c r="O116" s="715" t="s">
        <v>42</v>
      </c>
      <c r="P116" s="715" t="s">
        <v>42</v>
      </c>
      <c r="Q116" s="809"/>
      <c r="R116" s="811" t="s">
        <v>42</v>
      </c>
      <c r="S116" s="46"/>
      <c r="T116" s="46"/>
      <c r="U116" s="46"/>
    </row>
    <row r="117" spans="1:21" s="47" customFormat="1" ht="13.5" customHeight="1">
      <c r="A117" s="82"/>
      <c r="B117" s="807" t="s">
        <v>42</v>
      </c>
      <c r="C117" s="808"/>
      <c r="D117" s="808" t="s">
        <v>42</v>
      </c>
      <c r="E117" s="715" t="s">
        <v>42</v>
      </c>
      <c r="F117" s="715" t="s">
        <v>42</v>
      </c>
      <c r="G117" s="715" t="s">
        <v>42</v>
      </c>
      <c r="H117" s="715" t="s">
        <v>42</v>
      </c>
      <c r="I117" s="715" t="s">
        <v>42</v>
      </c>
      <c r="J117" s="715" t="s">
        <v>42</v>
      </c>
      <c r="K117" s="714" t="s">
        <v>42</v>
      </c>
      <c r="L117" s="715" t="s">
        <v>42</v>
      </c>
      <c r="M117" s="715" t="s">
        <v>42</v>
      </c>
      <c r="N117" s="715" t="s">
        <v>42</v>
      </c>
      <c r="O117" s="715" t="s">
        <v>42</v>
      </c>
      <c r="P117" s="715" t="s">
        <v>42</v>
      </c>
      <c r="Q117" s="809"/>
      <c r="R117" s="811" t="s">
        <v>42</v>
      </c>
      <c r="S117" s="46"/>
      <c r="T117" s="46"/>
      <c r="U117" s="46"/>
    </row>
    <row r="118" spans="1:21" s="47" customFormat="1" ht="13.5" customHeight="1">
      <c r="A118" s="82"/>
      <c r="B118" s="807" t="s">
        <v>42</v>
      </c>
      <c r="C118" s="808"/>
      <c r="D118" s="808" t="s">
        <v>42</v>
      </c>
      <c r="E118" s="715" t="s">
        <v>42</v>
      </c>
      <c r="F118" s="715" t="s">
        <v>42</v>
      </c>
      <c r="G118" s="715" t="s">
        <v>42</v>
      </c>
      <c r="H118" s="715" t="s">
        <v>42</v>
      </c>
      <c r="I118" s="715" t="s">
        <v>42</v>
      </c>
      <c r="J118" s="715" t="s">
        <v>42</v>
      </c>
      <c r="K118" s="714" t="s">
        <v>42</v>
      </c>
      <c r="L118" s="715" t="s">
        <v>42</v>
      </c>
      <c r="M118" s="715" t="s">
        <v>42</v>
      </c>
      <c r="N118" s="715" t="s">
        <v>42</v>
      </c>
      <c r="O118" s="715" t="s">
        <v>42</v>
      </c>
      <c r="P118" s="715" t="s">
        <v>42</v>
      </c>
      <c r="Q118" s="809"/>
      <c r="R118" s="811" t="s">
        <v>42</v>
      </c>
      <c r="S118" s="46"/>
      <c r="T118" s="46"/>
      <c r="U118" s="46"/>
    </row>
    <row r="119" spans="1:21" s="47" customFormat="1" ht="13.5" customHeight="1">
      <c r="A119" s="82"/>
      <c r="B119" s="807" t="s">
        <v>42</v>
      </c>
      <c r="C119" s="808"/>
      <c r="D119" s="808" t="s">
        <v>42</v>
      </c>
      <c r="E119" s="715" t="s">
        <v>42</v>
      </c>
      <c r="F119" s="715" t="s">
        <v>42</v>
      </c>
      <c r="G119" s="715" t="s">
        <v>42</v>
      </c>
      <c r="H119" s="715" t="s">
        <v>42</v>
      </c>
      <c r="I119" s="715" t="s">
        <v>42</v>
      </c>
      <c r="J119" s="715" t="s">
        <v>42</v>
      </c>
      <c r="K119" s="714" t="s">
        <v>42</v>
      </c>
      <c r="L119" s="715" t="s">
        <v>42</v>
      </c>
      <c r="M119" s="715" t="s">
        <v>42</v>
      </c>
      <c r="N119" s="715" t="s">
        <v>42</v>
      </c>
      <c r="O119" s="715" t="s">
        <v>42</v>
      </c>
      <c r="P119" s="715" t="s">
        <v>42</v>
      </c>
      <c r="Q119" s="809"/>
      <c r="R119" s="811" t="s">
        <v>42</v>
      </c>
      <c r="S119" s="46"/>
      <c r="T119" s="46"/>
      <c r="U119" s="46"/>
    </row>
    <row r="120" spans="1:21" s="47" customFormat="1" ht="13.5" customHeight="1">
      <c r="A120" s="82"/>
      <c r="B120" s="807" t="s">
        <v>42</v>
      </c>
      <c r="C120" s="808"/>
      <c r="D120" s="808" t="s">
        <v>42</v>
      </c>
      <c r="E120" s="715" t="s">
        <v>42</v>
      </c>
      <c r="F120" s="715" t="s">
        <v>42</v>
      </c>
      <c r="G120" s="715" t="s">
        <v>42</v>
      </c>
      <c r="H120" s="715" t="s">
        <v>42</v>
      </c>
      <c r="I120" s="715" t="s">
        <v>42</v>
      </c>
      <c r="J120" s="715" t="s">
        <v>42</v>
      </c>
      <c r="K120" s="714" t="s">
        <v>42</v>
      </c>
      <c r="L120" s="715" t="s">
        <v>42</v>
      </c>
      <c r="M120" s="715" t="s">
        <v>42</v>
      </c>
      <c r="N120" s="715" t="s">
        <v>42</v>
      </c>
      <c r="O120" s="715" t="s">
        <v>42</v>
      </c>
      <c r="P120" s="715" t="s">
        <v>42</v>
      </c>
      <c r="Q120" s="809"/>
      <c r="R120" s="811" t="s">
        <v>42</v>
      </c>
      <c r="S120" s="46"/>
      <c r="T120" s="46"/>
      <c r="U120" s="46"/>
    </row>
    <row r="121" spans="1:21" s="47" customFormat="1" ht="13.5" customHeight="1">
      <c r="A121" s="82"/>
      <c r="B121" s="807" t="s">
        <v>42</v>
      </c>
      <c r="C121" s="808"/>
      <c r="D121" s="808" t="s">
        <v>42</v>
      </c>
      <c r="E121" s="715" t="s">
        <v>42</v>
      </c>
      <c r="F121" s="715" t="s">
        <v>42</v>
      </c>
      <c r="G121" s="715" t="s">
        <v>42</v>
      </c>
      <c r="H121" s="715" t="s">
        <v>42</v>
      </c>
      <c r="I121" s="715" t="s">
        <v>42</v>
      </c>
      <c r="J121" s="715" t="s">
        <v>42</v>
      </c>
      <c r="K121" s="714" t="s">
        <v>42</v>
      </c>
      <c r="L121" s="715" t="s">
        <v>42</v>
      </c>
      <c r="M121" s="715" t="s">
        <v>42</v>
      </c>
      <c r="N121" s="715" t="s">
        <v>42</v>
      </c>
      <c r="O121" s="715" t="s">
        <v>42</v>
      </c>
      <c r="P121" s="715" t="s">
        <v>42</v>
      </c>
      <c r="Q121" s="809"/>
      <c r="R121" s="811" t="s">
        <v>42</v>
      </c>
      <c r="S121" s="46"/>
      <c r="T121" s="46"/>
      <c r="U121" s="46"/>
    </row>
    <row r="122" spans="1:21" s="47" customFormat="1" ht="13.5" customHeight="1">
      <c r="A122" s="82"/>
      <c r="B122" s="807" t="s">
        <v>42</v>
      </c>
      <c r="C122" s="808"/>
      <c r="D122" s="808" t="s">
        <v>42</v>
      </c>
      <c r="E122" s="715" t="s">
        <v>42</v>
      </c>
      <c r="F122" s="715" t="s">
        <v>42</v>
      </c>
      <c r="G122" s="715" t="s">
        <v>42</v>
      </c>
      <c r="H122" s="715" t="s">
        <v>42</v>
      </c>
      <c r="I122" s="715" t="s">
        <v>42</v>
      </c>
      <c r="J122" s="715" t="s">
        <v>42</v>
      </c>
      <c r="K122" s="714" t="s">
        <v>42</v>
      </c>
      <c r="L122" s="715" t="s">
        <v>42</v>
      </c>
      <c r="M122" s="715" t="s">
        <v>42</v>
      </c>
      <c r="N122" s="715" t="s">
        <v>42</v>
      </c>
      <c r="O122" s="715" t="s">
        <v>42</v>
      </c>
      <c r="P122" s="715" t="s">
        <v>42</v>
      </c>
      <c r="Q122" s="809"/>
      <c r="R122" s="811" t="s">
        <v>42</v>
      </c>
      <c r="S122" s="46"/>
      <c r="T122" s="46"/>
      <c r="U122" s="46"/>
    </row>
    <row r="123" spans="1:21" s="47" customFormat="1" ht="13.5" customHeight="1">
      <c r="A123" s="82"/>
      <c r="B123" s="807" t="s">
        <v>42</v>
      </c>
      <c r="C123" s="808"/>
      <c r="D123" s="808" t="s">
        <v>42</v>
      </c>
      <c r="E123" s="715" t="s">
        <v>42</v>
      </c>
      <c r="F123" s="715" t="s">
        <v>42</v>
      </c>
      <c r="G123" s="715" t="s">
        <v>42</v>
      </c>
      <c r="H123" s="715" t="s">
        <v>42</v>
      </c>
      <c r="I123" s="715" t="s">
        <v>42</v>
      </c>
      <c r="J123" s="715" t="s">
        <v>42</v>
      </c>
      <c r="K123" s="714" t="s">
        <v>42</v>
      </c>
      <c r="L123" s="715" t="s">
        <v>42</v>
      </c>
      <c r="M123" s="715" t="s">
        <v>42</v>
      </c>
      <c r="N123" s="715" t="s">
        <v>42</v>
      </c>
      <c r="O123" s="715" t="s">
        <v>42</v>
      </c>
      <c r="P123" s="715" t="s">
        <v>42</v>
      </c>
      <c r="Q123" s="809"/>
      <c r="R123" s="811" t="s">
        <v>42</v>
      </c>
      <c r="S123" s="46"/>
      <c r="T123" s="46"/>
      <c r="U123" s="46"/>
    </row>
    <row r="124" spans="1:21" s="47" customFormat="1" ht="13.5" customHeight="1">
      <c r="A124" s="82"/>
      <c r="B124" s="807" t="s">
        <v>42</v>
      </c>
      <c r="C124" s="808"/>
      <c r="D124" s="808" t="s">
        <v>42</v>
      </c>
      <c r="E124" s="715" t="s">
        <v>42</v>
      </c>
      <c r="F124" s="715" t="s">
        <v>42</v>
      </c>
      <c r="G124" s="715" t="s">
        <v>42</v>
      </c>
      <c r="H124" s="715" t="s">
        <v>42</v>
      </c>
      <c r="I124" s="715" t="s">
        <v>42</v>
      </c>
      <c r="J124" s="715" t="s">
        <v>42</v>
      </c>
      <c r="K124" s="714" t="s">
        <v>42</v>
      </c>
      <c r="L124" s="715" t="s">
        <v>42</v>
      </c>
      <c r="M124" s="715" t="s">
        <v>42</v>
      </c>
      <c r="N124" s="715" t="s">
        <v>42</v>
      </c>
      <c r="O124" s="715" t="s">
        <v>42</v>
      </c>
      <c r="P124" s="715" t="s">
        <v>42</v>
      </c>
      <c r="Q124" s="809"/>
      <c r="R124" s="811" t="s">
        <v>42</v>
      </c>
      <c r="S124" s="46"/>
      <c r="T124" s="46"/>
      <c r="U124" s="46"/>
    </row>
    <row r="125" spans="1:21" s="47" customFormat="1" ht="13.5" customHeight="1">
      <c r="A125" s="82"/>
      <c r="B125" s="807" t="s">
        <v>42</v>
      </c>
      <c r="C125" s="808"/>
      <c r="D125" s="808" t="s">
        <v>42</v>
      </c>
      <c r="E125" s="715" t="s">
        <v>42</v>
      </c>
      <c r="F125" s="715" t="s">
        <v>42</v>
      </c>
      <c r="G125" s="715" t="s">
        <v>42</v>
      </c>
      <c r="H125" s="715" t="s">
        <v>42</v>
      </c>
      <c r="I125" s="715" t="s">
        <v>42</v>
      </c>
      <c r="J125" s="715" t="s">
        <v>42</v>
      </c>
      <c r="K125" s="714" t="s">
        <v>42</v>
      </c>
      <c r="L125" s="715" t="s">
        <v>42</v>
      </c>
      <c r="M125" s="715" t="s">
        <v>42</v>
      </c>
      <c r="N125" s="715" t="s">
        <v>42</v>
      </c>
      <c r="O125" s="715" t="s">
        <v>42</v>
      </c>
      <c r="P125" s="715" t="s">
        <v>42</v>
      </c>
      <c r="Q125" s="809"/>
      <c r="R125" s="811" t="s">
        <v>42</v>
      </c>
      <c r="S125" s="46"/>
      <c r="T125" s="46"/>
      <c r="U125" s="46"/>
    </row>
    <row r="126" spans="1:21" s="47" customFormat="1" ht="13.5" customHeight="1">
      <c r="A126" s="82"/>
      <c r="B126" s="807" t="s">
        <v>42</v>
      </c>
      <c r="C126" s="808"/>
      <c r="D126" s="808" t="s">
        <v>42</v>
      </c>
      <c r="E126" s="715" t="s">
        <v>42</v>
      </c>
      <c r="F126" s="715" t="s">
        <v>42</v>
      </c>
      <c r="G126" s="715" t="s">
        <v>42</v>
      </c>
      <c r="H126" s="715" t="s">
        <v>42</v>
      </c>
      <c r="I126" s="715" t="s">
        <v>42</v>
      </c>
      <c r="J126" s="715" t="s">
        <v>42</v>
      </c>
      <c r="K126" s="714" t="s">
        <v>42</v>
      </c>
      <c r="L126" s="715" t="s">
        <v>42</v>
      </c>
      <c r="M126" s="715" t="s">
        <v>42</v>
      </c>
      <c r="N126" s="715" t="s">
        <v>42</v>
      </c>
      <c r="O126" s="715" t="s">
        <v>42</v>
      </c>
      <c r="P126" s="715" t="s">
        <v>42</v>
      </c>
      <c r="Q126" s="809"/>
      <c r="R126" s="811" t="s">
        <v>42</v>
      </c>
      <c r="S126" s="46"/>
      <c r="T126" s="46"/>
      <c r="U126" s="46"/>
    </row>
    <row r="127" spans="1:21" s="47" customFormat="1" ht="13.5" customHeight="1">
      <c r="A127" s="82"/>
      <c r="B127" s="807" t="s">
        <v>42</v>
      </c>
      <c r="C127" s="808"/>
      <c r="D127" s="808" t="s">
        <v>42</v>
      </c>
      <c r="E127" s="715" t="s">
        <v>42</v>
      </c>
      <c r="F127" s="715" t="s">
        <v>42</v>
      </c>
      <c r="G127" s="715" t="s">
        <v>42</v>
      </c>
      <c r="H127" s="715" t="s">
        <v>42</v>
      </c>
      <c r="I127" s="715" t="s">
        <v>42</v>
      </c>
      <c r="J127" s="715" t="s">
        <v>42</v>
      </c>
      <c r="K127" s="714" t="s">
        <v>42</v>
      </c>
      <c r="L127" s="715" t="s">
        <v>42</v>
      </c>
      <c r="M127" s="715" t="s">
        <v>42</v>
      </c>
      <c r="N127" s="715" t="s">
        <v>42</v>
      </c>
      <c r="O127" s="715" t="s">
        <v>42</v>
      </c>
      <c r="P127" s="715" t="s">
        <v>42</v>
      </c>
      <c r="Q127" s="809"/>
      <c r="R127" s="811" t="s">
        <v>42</v>
      </c>
      <c r="S127" s="46"/>
      <c r="T127" s="46"/>
      <c r="U127" s="46"/>
    </row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</sheetData>
  <mergeCells count="17">
    <mergeCell ref="K9:M9"/>
    <mergeCell ref="R3:R5"/>
    <mergeCell ref="A4:A5"/>
    <mergeCell ref="H4:J4"/>
    <mergeCell ref="K4:M4"/>
    <mergeCell ref="N4:P4"/>
    <mergeCell ref="C5:C6"/>
    <mergeCell ref="E5:G5"/>
    <mergeCell ref="H5:J5"/>
    <mergeCell ref="K5:M5"/>
    <mergeCell ref="N5:P5"/>
    <mergeCell ref="N3:P3"/>
    <mergeCell ref="B2:E2"/>
    <mergeCell ref="B3:B5"/>
    <mergeCell ref="C3:D3"/>
    <mergeCell ref="E3:G3"/>
    <mergeCell ref="H3:M3"/>
  </mergeCells>
  <pageMargins left="0.39370078740157483" right="0.39370078740157483" top="0.59055118110236227" bottom="0.43307086614173229" header="0.23622047244094491" footer="0.23622047244094491"/>
  <pageSetup paperSize="9" scale="57" fitToHeight="0" orientation="landscape" r:id="rId1"/>
  <headerFooter scaleWithDoc="0"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73"/>
  <sheetViews>
    <sheetView view="pageLayout" zoomScaleNormal="90" workbookViewId="0">
      <selection activeCell="B6" sqref="B6"/>
    </sheetView>
  </sheetViews>
  <sheetFormatPr baseColWidth="10" defaultRowHeight="14.25"/>
  <cols>
    <col min="1" max="1" width="20" style="464" customWidth="1"/>
    <col min="2" max="2" width="34.42578125" style="464" customWidth="1"/>
    <col min="3" max="3" width="4.28515625" style="464" customWidth="1"/>
    <col min="4" max="4" width="43.5703125" style="464" customWidth="1"/>
    <col min="5" max="5" width="17.7109375" style="464" customWidth="1"/>
    <col min="6" max="6" width="11.42578125" style="464"/>
    <col min="7" max="7" width="42.28515625" style="464" customWidth="1"/>
    <col min="8" max="16384" width="11.42578125" style="464"/>
  </cols>
  <sheetData>
    <row r="1" spans="1:6" ht="20.25">
      <c r="A1" s="120" t="s">
        <v>1062</v>
      </c>
    </row>
    <row r="2" spans="1:6">
      <c r="A2" s="1033" t="s">
        <v>1216</v>
      </c>
      <c r="B2" s="1034"/>
      <c r="C2" s="1034"/>
      <c r="D2" s="1034"/>
      <c r="E2" s="1034"/>
    </row>
    <row r="4" spans="1:6">
      <c r="A4" s="1027" t="s">
        <v>1029</v>
      </c>
      <c r="B4" s="1027"/>
      <c r="D4" s="1027" t="s">
        <v>438</v>
      </c>
      <c r="E4" s="1027"/>
      <c r="F4" s="16"/>
    </row>
    <row r="5" spans="1:6" ht="18" customHeight="1">
      <c r="F5" s="16"/>
    </row>
    <row r="6" spans="1:6" ht="18" customHeight="1">
      <c r="A6" s="464" t="s">
        <v>411</v>
      </c>
      <c r="B6" s="984"/>
      <c r="D6" s="464" t="s">
        <v>412</v>
      </c>
      <c r="E6" s="953" t="s">
        <v>408</v>
      </c>
      <c r="F6" s="16"/>
    </row>
    <row r="7" spans="1:6" ht="18" customHeight="1">
      <c r="B7" s="984"/>
      <c r="F7" s="16"/>
    </row>
    <row r="8" spans="1:6" ht="18" customHeight="1">
      <c r="B8" s="984"/>
      <c r="D8" s="464" t="s">
        <v>367</v>
      </c>
      <c r="E8" s="985"/>
      <c r="F8" s="16"/>
    </row>
    <row r="9" spans="1:6" ht="18" customHeight="1">
      <c r="A9" s="464" t="s">
        <v>1030</v>
      </c>
      <c r="B9" s="984"/>
      <c r="F9" s="16"/>
    </row>
    <row r="10" spans="1:6" ht="18" customHeight="1">
      <c r="A10" s="464" t="s">
        <v>1031</v>
      </c>
      <c r="B10" s="984"/>
      <c r="D10" s="464" t="s">
        <v>420</v>
      </c>
      <c r="E10" s="985"/>
      <c r="F10" s="16"/>
    </row>
    <row r="11" spans="1:6" ht="18" customHeight="1">
      <c r="A11" s="464" t="s">
        <v>1032</v>
      </c>
      <c r="B11" s="984"/>
      <c r="F11" s="16"/>
    </row>
    <row r="12" spans="1:6" ht="18" customHeight="1">
      <c r="A12" s="464" t="s">
        <v>1033</v>
      </c>
      <c r="B12" s="985"/>
      <c r="D12" s="464" t="s">
        <v>1024</v>
      </c>
      <c r="E12" s="984"/>
      <c r="F12" s="16"/>
    </row>
    <row r="13" spans="1:6" ht="18" customHeight="1">
      <c r="F13" s="16"/>
    </row>
    <row r="14" spans="1:6" ht="18" customHeight="1">
      <c r="A14" s="464" t="s">
        <v>413</v>
      </c>
      <c r="B14" s="984"/>
      <c r="D14" s="464" t="s">
        <v>1063</v>
      </c>
      <c r="E14" s="984"/>
      <c r="F14" s="16" t="str">
        <f>IF(Ae&gt;500,"Die Energiebezugsfläche darf maximal 500 m2 betragen","")</f>
        <v/>
      </c>
    </row>
    <row r="15" spans="1:6" ht="18" customHeight="1">
      <c r="B15" s="984"/>
      <c r="F15" s="16"/>
    </row>
    <row r="16" spans="1:6" ht="18" customHeight="1">
      <c r="D16" s="464" t="s">
        <v>1135</v>
      </c>
      <c r="E16" s="984"/>
      <c r="F16" s="20" t="str">
        <f>IF(Gf&lt;Ae,"Die Geschossfläche muss zwingend grösser als die Energiebezugsfläche sein","")</f>
        <v/>
      </c>
    </row>
    <row r="17" spans="1:6" ht="18" customHeight="1">
      <c r="A17" s="464" t="s">
        <v>414</v>
      </c>
      <c r="B17" s="984"/>
      <c r="F17" s="16"/>
    </row>
    <row r="18" spans="1:6" ht="18" customHeight="1">
      <c r="B18" s="984"/>
      <c r="D18" s="464" t="s">
        <v>437</v>
      </c>
      <c r="E18" s="984"/>
      <c r="F18" s="16"/>
    </row>
    <row r="19" spans="1:6" ht="18" customHeight="1">
      <c r="F19" s="16"/>
    </row>
    <row r="20" spans="1:6" ht="18" customHeight="1">
      <c r="A20" s="464" t="s">
        <v>415</v>
      </c>
      <c r="B20" s="984"/>
      <c r="D20" s="464" t="s">
        <v>436</v>
      </c>
      <c r="E20" s="984"/>
      <c r="F20" s="465"/>
    </row>
    <row r="21" spans="1:6" ht="18" customHeight="1">
      <c r="B21" s="984"/>
      <c r="F21" s="465"/>
    </row>
    <row r="22" spans="1:6" ht="18" customHeight="1">
      <c r="D22" s="464" t="s">
        <v>1027</v>
      </c>
      <c r="E22" s="984"/>
      <c r="F22" s="465"/>
    </row>
    <row r="23" spans="1:6" ht="18" customHeight="1">
      <c r="A23" s="464" t="s">
        <v>1060</v>
      </c>
      <c r="B23" s="1028"/>
      <c r="F23" s="465"/>
    </row>
    <row r="24" spans="1:6" ht="29.25" customHeight="1">
      <c r="B24" s="1029"/>
      <c r="D24" s="954" t="s">
        <v>1255</v>
      </c>
      <c r="E24" s="984"/>
      <c r="F24" s="465" t="str">
        <f>IF(AFU&gt;Ae,"Die Bodenfläche beheizt gegen unbeheizt muss zwingend kleiner oder gleich der Energiebezugsfläche sein","")</f>
        <v/>
      </c>
    </row>
    <row r="25" spans="1:6" ht="18" customHeight="1">
      <c r="B25" s="1029"/>
      <c r="F25" s="465"/>
    </row>
    <row r="26" spans="1:6" ht="18" customHeight="1">
      <c r="B26" s="1029"/>
      <c r="D26" s="464" t="s">
        <v>1064</v>
      </c>
      <c r="E26" s="984"/>
      <c r="F26" s="465"/>
    </row>
    <row r="27" spans="1:6" ht="18" customHeight="1">
      <c r="B27" s="1029"/>
      <c r="F27" s="465"/>
    </row>
    <row r="28" spans="1:6" ht="18" customHeight="1">
      <c r="B28" s="1030"/>
      <c r="D28" s="464" t="s">
        <v>1065</v>
      </c>
      <c r="E28" s="984"/>
      <c r="F28" s="465"/>
    </row>
    <row r="29" spans="1:6" ht="18" customHeight="1">
      <c r="F29" s="465"/>
    </row>
    <row r="30" spans="1:6" ht="18" customHeight="1">
      <c r="A30" s="464" t="s">
        <v>1059</v>
      </c>
      <c r="B30" s="984"/>
      <c r="F30" s="465"/>
    </row>
    <row r="31" spans="1:6" ht="18" customHeight="1">
      <c r="F31" s="465"/>
    </row>
    <row r="32" spans="1:6" ht="18" customHeight="1">
      <c r="A32" s="464" t="s">
        <v>1061</v>
      </c>
      <c r="B32" s="1031"/>
      <c r="F32" s="465"/>
    </row>
    <row r="33" spans="2:6" ht="18" customHeight="1">
      <c r="B33" s="1032"/>
      <c r="F33" s="465"/>
    </row>
    <row r="34" spans="2:6" ht="18" customHeight="1">
      <c r="F34" s="465"/>
    </row>
    <row r="35" spans="2:6" ht="18" customHeight="1">
      <c r="F35" s="465"/>
    </row>
    <row r="36" spans="2:6" ht="18" customHeight="1">
      <c r="F36" s="465"/>
    </row>
    <row r="37" spans="2:6" ht="18" customHeight="1">
      <c r="F37" s="465"/>
    </row>
    <row r="38" spans="2:6">
      <c r="F38" s="465"/>
    </row>
    <row r="39" spans="2:6">
      <c r="F39" s="16"/>
    </row>
    <row r="40" spans="2:6">
      <c r="F40" s="16"/>
    </row>
    <row r="41" spans="2:6">
      <c r="F41" s="16"/>
    </row>
    <row r="42" spans="2:6">
      <c r="F42" s="16"/>
    </row>
    <row r="43" spans="2:6">
      <c r="F43" s="16"/>
    </row>
    <row r="44" spans="2:6">
      <c r="F44" s="16"/>
    </row>
    <row r="45" spans="2:6">
      <c r="F45" s="16"/>
    </row>
    <row r="46" spans="2:6">
      <c r="F46" s="16"/>
    </row>
    <row r="47" spans="2:6">
      <c r="F47" s="16"/>
    </row>
    <row r="68" spans="7:7">
      <c r="G68" s="16"/>
    </row>
    <row r="69" spans="7:7">
      <c r="G69" s="16"/>
    </row>
    <row r="70" spans="7:7">
      <c r="G70" s="16"/>
    </row>
    <row r="71" spans="7:7">
      <c r="G71" s="16"/>
    </row>
    <row r="72" spans="7:7">
      <c r="G72" s="16"/>
    </row>
    <row r="73" spans="7:7">
      <c r="G73" s="16"/>
    </row>
  </sheetData>
  <sheetProtection password="CDC8" sheet="1" objects="1" scenarios="1" selectLockedCells="1"/>
  <mergeCells count="5">
    <mergeCell ref="A4:B4"/>
    <mergeCell ref="D4:E4"/>
    <mergeCell ref="B23:B28"/>
    <mergeCell ref="B32:B33"/>
    <mergeCell ref="A2:E2"/>
  </mergeCells>
  <conditionalFormatting sqref="F16">
    <cfRule type="expression" dxfId="18" priority="2">
      <formula>$F$16="Die Geschossfläche muss zwingend grösser als die Energiebezugsfläche sein"</formula>
    </cfRule>
  </conditionalFormatting>
  <conditionalFormatting sqref="F24">
    <cfRule type="expression" dxfId="17" priority="1">
      <formula>$F$24="Die Bodenfläche beheizt gegen unbeheizt muss zwingend kleiner oder gleich der Energiebezugsfläche sein"</formula>
    </cfRule>
  </conditionalFormatting>
  <dataValidations disablePrompts="1" count="1">
    <dataValidation type="list" allowBlank="1" showInputMessage="1" showErrorMessage="1" sqref="E8">
      <formula1>AW_Minergie</formula1>
    </dataValidation>
  </dataValidations>
  <pageMargins left="0.7" right="0.7" top="0.78740157499999996" bottom="0.78740157499999996" header="0.3" footer="0.3"/>
  <pageSetup paperSize="9" scale="66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Konstruktionen!$K$4:$K$5</xm:f>
          </x14:formula1>
          <xm:sqref>E10</xm:sqref>
        </x14:dataValidation>
        <x14:dataValidation type="list" allowBlank="1" showInputMessage="1" showErrorMessage="1">
          <x14:formula1>
            <xm:f>Konstruktionen!$H$4:$H$29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G73"/>
  <sheetViews>
    <sheetView tabSelected="1" view="pageLayout" zoomScaleNormal="90" workbookViewId="0">
      <selection activeCell="B20" sqref="B20"/>
    </sheetView>
  </sheetViews>
  <sheetFormatPr baseColWidth="10" defaultRowHeight="14.25"/>
  <cols>
    <col min="1" max="1" width="20" style="464" customWidth="1"/>
    <col min="2" max="2" width="34.42578125" style="464" customWidth="1"/>
    <col min="3" max="3" width="4.28515625" style="464" customWidth="1"/>
    <col min="4" max="4" width="43.85546875" style="464" customWidth="1"/>
    <col min="5" max="5" width="17.7109375" style="464" customWidth="1"/>
    <col min="6" max="6" width="11.42578125" style="464"/>
    <col min="7" max="7" width="19" style="464" customWidth="1"/>
    <col min="8" max="16384" width="11.42578125" style="464"/>
  </cols>
  <sheetData>
    <row r="1" spans="1:6" ht="20.25">
      <c r="A1" s="120" t="s">
        <v>1062</v>
      </c>
    </row>
    <row r="2" spans="1:6">
      <c r="A2" s="1033" t="s">
        <v>1216</v>
      </c>
      <c r="B2" s="1034"/>
      <c r="C2" s="1034"/>
      <c r="D2" s="1034"/>
      <c r="E2" s="1034"/>
    </row>
    <row r="4" spans="1:6">
      <c r="A4" s="1027" t="s">
        <v>1029</v>
      </c>
      <c r="B4" s="1027"/>
      <c r="D4" s="1027" t="s">
        <v>438</v>
      </c>
      <c r="E4" s="1027"/>
      <c r="F4" s="16"/>
    </row>
    <row r="5" spans="1:6" ht="18" customHeight="1">
      <c r="F5" s="16"/>
    </row>
    <row r="6" spans="1:6" ht="18" customHeight="1">
      <c r="A6" s="464" t="s">
        <v>411</v>
      </c>
      <c r="B6" s="984"/>
      <c r="D6" s="464" t="s">
        <v>412</v>
      </c>
      <c r="E6" s="953" t="s">
        <v>409</v>
      </c>
      <c r="F6" s="16"/>
    </row>
    <row r="7" spans="1:6" ht="18" customHeight="1">
      <c r="B7" s="984"/>
      <c r="F7" s="16"/>
    </row>
    <row r="8" spans="1:6" ht="18" customHeight="1">
      <c r="B8" s="984"/>
      <c r="D8" s="464" t="s">
        <v>367</v>
      </c>
      <c r="E8" s="985"/>
      <c r="F8" s="16"/>
    </row>
    <row r="9" spans="1:6" ht="18" customHeight="1">
      <c r="A9" s="464" t="s">
        <v>1030</v>
      </c>
      <c r="B9" s="984"/>
      <c r="F9" s="16"/>
    </row>
    <row r="10" spans="1:6" ht="18" customHeight="1">
      <c r="A10" s="464" t="s">
        <v>1031</v>
      </c>
      <c r="B10" s="984"/>
      <c r="D10" s="464" t="s">
        <v>1024</v>
      </c>
      <c r="E10" s="984"/>
      <c r="F10" s="16"/>
    </row>
    <row r="11" spans="1:6" ht="18" customHeight="1">
      <c r="A11" s="464" t="s">
        <v>1032</v>
      </c>
      <c r="B11" s="984"/>
      <c r="F11" s="16"/>
    </row>
    <row r="12" spans="1:6" ht="18" customHeight="1">
      <c r="A12" s="464" t="s">
        <v>1033</v>
      </c>
      <c r="B12" s="985"/>
      <c r="D12" s="464" t="s">
        <v>1063</v>
      </c>
      <c r="E12" s="984"/>
      <c r="F12" s="16"/>
    </row>
    <row r="13" spans="1:6" ht="18" customHeight="1">
      <c r="F13" s="16"/>
    </row>
    <row r="14" spans="1:6" ht="18" customHeight="1">
      <c r="A14" s="464" t="s">
        <v>413</v>
      </c>
      <c r="B14" s="984"/>
      <c r="D14" s="464" t="s">
        <v>1135</v>
      </c>
      <c r="E14" s="984"/>
      <c r="F14" s="16" t="str">
        <f>IF(Ae&gt;500,"Die Energiebezugsfläche darf maximal 500 m2 betragen","")</f>
        <v/>
      </c>
    </row>
    <row r="15" spans="1:6" ht="18" customHeight="1">
      <c r="B15" s="984"/>
      <c r="F15" s="16"/>
    </row>
    <row r="16" spans="1:6" ht="29.25" customHeight="1">
      <c r="D16" s="954" t="s">
        <v>1256</v>
      </c>
      <c r="E16" s="984"/>
      <c r="F16" s="465" t="str">
        <f>IF(AFU_mod&gt;Ae_mod,"Die Bodenfläche beheizt gegen unbeheizt muss zwingend kleiner oder gleich der Energiebezugsfläche sein","")</f>
        <v/>
      </c>
    </row>
    <row r="17" spans="1:6" ht="18" customHeight="1">
      <c r="A17" s="464" t="s">
        <v>414</v>
      </c>
      <c r="B17" s="984"/>
      <c r="F17" s="16"/>
    </row>
    <row r="18" spans="1:6" ht="18" customHeight="1">
      <c r="B18" s="984"/>
      <c r="D18" s="464" t="s">
        <v>1203</v>
      </c>
      <c r="E18" s="984"/>
      <c r="F18" s="16"/>
    </row>
    <row r="19" spans="1:6" ht="18" customHeight="1">
      <c r="F19" s="16"/>
    </row>
    <row r="20" spans="1:6" ht="18" customHeight="1">
      <c r="A20" s="464" t="s">
        <v>415</v>
      </c>
      <c r="B20" s="984"/>
      <c r="D20" s="464" t="s">
        <v>1204</v>
      </c>
      <c r="E20" s="984"/>
      <c r="F20" s="465"/>
    </row>
    <row r="21" spans="1:6" ht="18" customHeight="1">
      <c r="B21" s="984"/>
      <c r="F21" s="465"/>
    </row>
    <row r="22" spans="1:6" ht="18" customHeight="1">
      <c r="D22" s="464" t="s">
        <v>1205</v>
      </c>
      <c r="E22" s="984"/>
      <c r="F22" s="465"/>
    </row>
    <row r="23" spans="1:6" ht="18" customHeight="1">
      <c r="A23" s="464" t="s">
        <v>1060</v>
      </c>
      <c r="B23" s="1028"/>
      <c r="F23" s="465"/>
    </row>
    <row r="24" spans="1:6" ht="18" customHeight="1">
      <c r="B24" s="1029"/>
      <c r="D24" s="1027" t="s">
        <v>1217</v>
      </c>
      <c r="E24" s="1027"/>
      <c r="F24" s="898"/>
    </row>
    <row r="25" spans="1:6" ht="18" customHeight="1">
      <c r="B25" s="1029"/>
      <c r="D25" s="464" t="s">
        <v>1213</v>
      </c>
      <c r="E25" s="985"/>
      <c r="F25" s="898"/>
    </row>
    <row r="26" spans="1:6" ht="30">
      <c r="B26" s="1029"/>
      <c r="D26" s="1002" t="s">
        <v>1214</v>
      </c>
      <c r="F26" s="465"/>
    </row>
    <row r="27" spans="1:6" ht="15.75" customHeight="1">
      <c r="B27" s="1029"/>
      <c r="F27" s="465"/>
    </row>
    <row r="28" spans="1:6" ht="18" customHeight="1">
      <c r="B28" s="1030"/>
      <c r="D28" s="1027" t="s">
        <v>417</v>
      </c>
      <c r="E28" s="1027"/>
      <c r="F28" s="465"/>
    </row>
    <row r="29" spans="1:6" ht="18" customHeight="1">
      <c r="D29" s="464" t="s">
        <v>1201</v>
      </c>
      <c r="E29" s="984"/>
      <c r="F29" s="898"/>
    </row>
    <row r="30" spans="1:6" ht="18" customHeight="1">
      <c r="A30" s="464" t="s">
        <v>1059</v>
      </c>
      <c r="B30" s="984"/>
      <c r="F30" s="898"/>
    </row>
    <row r="31" spans="1:6" ht="18" customHeight="1">
      <c r="D31" s="464" t="s">
        <v>1202</v>
      </c>
      <c r="E31" s="984"/>
      <c r="F31" s="898"/>
    </row>
    <row r="32" spans="1:6" ht="18" customHeight="1">
      <c r="A32" s="464" t="s">
        <v>1061</v>
      </c>
      <c r="B32" s="1031"/>
      <c r="F32" s="898"/>
    </row>
    <row r="33" spans="2:6" ht="18" customHeight="1">
      <c r="B33" s="1035"/>
      <c r="D33" s="962" t="s">
        <v>1206</v>
      </c>
      <c r="F33" s="898"/>
    </row>
    <row r="34" spans="2:6" ht="33" customHeight="1">
      <c r="B34" s="1032"/>
      <c r="D34" s="954" t="s">
        <v>1209</v>
      </c>
      <c r="E34" s="985"/>
      <c r="F34" s="898"/>
    </row>
    <row r="35" spans="2:6">
      <c r="F35" s="898"/>
    </row>
    <row r="36" spans="2:6" ht="33.75" customHeight="1">
      <c r="D36" s="954" t="s">
        <v>1215</v>
      </c>
      <c r="E36" s="985"/>
      <c r="F36" s="93"/>
    </row>
    <row r="37" spans="2:6">
      <c r="F37" s="93"/>
    </row>
    <row r="38" spans="2:6" ht="33" customHeight="1">
      <c r="D38" s="954" t="s">
        <v>1208</v>
      </c>
      <c r="E38" s="985"/>
      <c r="F38" s="93"/>
    </row>
    <row r="39" spans="2:6">
      <c r="F39" s="93"/>
    </row>
    <row r="40" spans="2:6" ht="42.75">
      <c r="D40" s="954" t="s">
        <v>1207</v>
      </c>
      <c r="E40" s="985"/>
      <c r="F40" s="93"/>
    </row>
    <row r="41" spans="2:6">
      <c r="F41" s="93"/>
    </row>
    <row r="42" spans="2:6" ht="28.5">
      <c r="D42" s="954" t="s">
        <v>1200</v>
      </c>
      <c r="E42" s="985"/>
      <c r="F42" s="93"/>
    </row>
    <row r="43" spans="2:6">
      <c r="F43" s="93"/>
    </row>
    <row r="44" spans="2:6" ht="28.5">
      <c r="D44" s="954" t="s">
        <v>1210</v>
      </c>
      <c r="E44" s="985"/>
      <c r="F44" s="93"/>
    </row>
    <row r="45" spans="2:6" ht="15" customHeight="1">
      <c r="F45" s="961"/>
    </row>
    <row r="46" spans="2:6" ht="28.5">
      <c r="D46" s="954" t="s">
        <v>1211</v>
      </c>
      <c r="E46" s="985"/>
      <c r="F46" s="961"/>
    </row>
    <row r="47" spans="2:6" ht="14.25" customHeight="1">
      <c r="F47" s="961"/>
    </row>
    <row r="48" spans="2:6" ht="28.5">
      <c r="D48" s="954" t="s">
        <v>1212</v>
      </c>
      <c r="E48" s="985"/>
      <c r="F48" s="961"/>
    </row>
    <row r="49" spans="6:6">
      <c r="F49" s="961"/>
    </row>
    <row r="68" spans="7:7">
      <c r="G68" s="16"/>
    </row>
    <row r="69" spans="7:7">
      <c r="G69" s="16"/>
    </row>
    <row r="70" spans="7:7">
      <c r="G70" s="16"/>
    </row>
    <row r="71" spans="7:7">
      <c r="G71" s="16"/>
    </row>
    <row r="72" spans="7:7">
      <c r="G72" s="16"/>
    </row>
    <row r="73" spans="7:7">
      <c r="G73" s="16"/>
    </row>
  </sheetData>
  <sheetProtection password="CDC8" sheet="1" objects="1" scenarios="1" selectLockedCells="1"/>
  <mergeCells count="7">
    <mergeCell ref="A2:E2"/>
    <mergeCell ref="A4:B4"/>
    <mergeCell ref="D4:E4"/>
    <mergeCell ref="B23:B28"/>
    <mergeCell ref="B32:B34"/>
    <mergeCell ref="D24:E24"/>
    <mergeCell ref="D28:E28"/>
  </mergeCells>
  <conditionalFormatting sqref="F16">
    <cfRule type="expression" dxfId="16" priority="1">
      <formula>$F$16="Die Bodenfläche beheizt gegen unbeheizt muss zwingend kleiner oder gleich der Energiebezugsfläche sein"</formula>
    </cfRule>
    <cfRule type="expression" dxfId="15" priority="2">
      <formula>$F$24="Die Bodenfläche beheizt gegen unbeheizt muss zwingend kleiner oder gleich der Energiebezugsfläche sein"</formula>
    </cfRule>
  </conditionalFormatting>
  <dataValidations count="3">
    <dataValidation type="list" allowBlank="1" showInputMessage="1" showErrorMessage="1" sqref="E8">
      <formula1>AW_Minergie</formula1>
    </dataValidation>
    <dataValidation type="list" allowBlank="1" showInputMessage="1" showErrorMessage="1" sqref="E25">
      <formula1>Auswahl_Eingriffstiefe</formula1>
    </dataValidation>
    <dataValidation type="list" allowBlank="1" showInputMessage="1" showErrorMessage="1" sqref="E34 E36 E38 E40 E42 E44 E46 E48">
      <formula1>Auswahl_Haustechnik</formula1>
    </dataValidation>
  </dataValidations>
  <hyperlinks>
    <hyperlink ref="D26" r:id="rId1"/>
  </hyperlinks>
  <pageMargins left="0.7" right="0.7" top="0.78740157499999996" bottom="0.78740157499999996" header="0.3" footer="0.3"/>
  <pageSetup paperSize="9" scale="58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Konstruktionen!$H$4:$H$29</xm:f>
          </x14:formula1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45"/>
  <sheetViews>
    <sheetView view="pageLayout" zoomScaleNormal="90" workbookViewId="0">
      <selection activeCell="E14" sqref="E14"/>
    </sheetView>
  </sheetViews>
  <sheetFormatPr baseColWidth="10" defaultRowHeight="18" customHeight="1"/>
  <cols>
    <col min="1" max="1" width="4" style="121" customWidth="1"/>
    <col min="2" max="2" width="45.5703125" style="121" customWidth="1"/>
    <col min="3" max="3" width="18.140625" style="121" customWidth="1"/>
    <col min="4" max="4" width="17" style="121" hidden="1" customWidth="1"/>
    <col min="5" max="5" width="71.28515625" style="121" customWidth="1"/>
    <col min="6" max="6" width="79.28515625" style="121" hidden="1" customWidth="1"/>
    <col min="7" max="7" width="9.28515625" style="121" customWidth="1"/>
    <col min="8" max="10" width="13.7109375" style="121" customWidth="1"/>
    <col min="11" max="16384" width="11.42578125" style="121"/>
  </cols>
  <sheetData>
    <row r="1" spans="1:10" ht="18" customHeight="1">
      <c r="B1" s="120" t="s">
        <v>1084</v>
      </c>
    </row>
    <row r="2" spans="1:10" ht="6.75" customHeight="1">
      <c r="B2" s="120"/>
    </row>
    <row r="3" spans="1:10" ht="18" customHeight="1">
      <c r="B3" s="1041" t="s">
        <v>1066</v>
      </c>
      <c r="C3" s="1042"/>
      <c r="D3" s="1042"/>
      <c r="E3" s="1042"/>
      <c r="F3" s="1042"/>
      <c r="G3" s="1042"/>
      <c r="H3" s="1042"/>
      <c r="I3" s="1042"/>
      <c r="J3" s="1043"/>
    </row>
    <row r="4" spans="1:10" ht="53.25" customHeight="1">
      <c r="A4" s="484"/>
      <c r="B4" s="486" t="s">
        <v>366</v>
      </c>
      <c r="C4" s="486" t="s">
        <v>367</v>
      </c>
      <c r="D4" s="486" t="s">
        <v>405</v>
      </c>
      <c r="E4" s="486" t="s">
        <v>368</v>
      </c>
      <c r="F4" s="486" t="s">
        <v>406</v>
      </c>
      <c r="G4" s="486" t="s">
        <v>1067</v>
      </c>
      <c r="H4" s="486" t="s">
        <v>1085</v>
      </c>
      <c r="I4" s="486" t="s">
        <v>1086</v>
      </c>
      <c r="J4" s="486" t="s">
        <v>1078</v>
      </c>
    </row>
    <row r="5" spans="1:10" ht="18" customHeight="1">
      <c r="A5" s="122"/>
      <c r="B5" s="991"/>
      <c r="C5" s="992"/>
      <c r="D5" s="892" t="e">
        <f>Bauteile_Neubau!C5&amp;(VLOOKUP(B5,Konstruktionen,2,FALSE))</f>
        <v>#N/A</v>
      </c>
      <c r="E5" s="992"/>
      <c r="F5" s="951" t="e">
        <f>Bauteile_Neubau!E5&amp;"_"&amp;D5</f>
        <v>#N/A</v>
      </c>
      <c r="G5" s="993"/>
      <c r="H5" s="955" t="str">
        <f t="shared" ref="H5:H19" si="0">IF(OR(B5="",C5="",E5="",G5=""),"",((VLOOKUP(F5,Konstruktionen_2,33,FALSE)*G5)/Ae))</f>
        <v/>
      </c>
      <c r="I5" s="512" t="str">
        <f t="shared" ref="I5:I19" si="1">IF(OR(B5="",C5="",E5="",G5=""),"",((VLOOKUP(F5,Konstruktionen_2,34,FALSE))*G5)/Ae)</f>
        <v/>
      </c>
      <c r="J5" s="515" t="str">
        <f t="shared" ref="J5:J19" si="2">IF(OR(B5="",C5="",E5="",G5=""),"",((VLOOKUP(F5,Konstruktionen_2,35,FALSE))*G5)/Ae)</f>
        <v/>
      </c>
    </row>
    <row r="6" spans="1:10" ht="18" customHeight="1">
      <c r="A6" s="122"/>
      <c r="B6" s="992"/>
      <c r="C6" s="992"/>
      <c r="D6" s="892" t="e">
        <f>Bauteile_Neubau!C6&amp;(VLOOKUP(B6,Konstruktionen,2,FALSE))</f>
        <v>#N/A</v>
      </c>
      <c r="E6" s="992"/>
      <c r="F6" s="951" t="e">
        <f>Bauteile_Neubau!E6&amp;"_"&amp;D6</f>
        <v>#N/A</v>
      </c>
      <c r="G6" s="994"/>
      <c r="H6" s="955" t="str">
        <f t="shared" si="0"/>
        <v/>
      </c>
      <c r="I6" s="512" t="str">
        <f t="shared" si="1"/>
        <v/>
      </c>
      <c r="J6" s="515" t="str">
        <f t="shared" si="2"/>
        <v/>
      </c>
    </row>
    <row r="7" spans="1:10" ht="18" customHeight="1">
      <c r="A7" s="122"/>
      <c r="B7" s="992"/>
      <c r="C7" s="992"/>
      <c r="D7" s="892" t="e">
        <f>Bauteile_Neubau!C7&amp;(VLOOKUP(B7,Konstruktionen,2,FALSE))</f>
        <v>#N/A</v>
      </c>
      <c r="E7" s="992"/>
      <c r="F7" s="951" t="e">
        <f>Bauteile_Neubau!E7&amp;"_"&amp;D7</f>
        <v>#N/A</v>
      </c>
      <c r="G7" s="994"/>
      <c r="H7" s="955" t="str">
        <f t="shared" si="0"/>
        <v/>
      </c>
      <c r="I7" s="512" t="str">
        <f t="shared" si="1"/>
        <v/>
      </c>
      <c r="J7" s="515" t="str">
        <f t="shared" si="2"/>
        <v/>
      </c>
    </row>
    <row r="8" spans="1:10" ht="18" customHeight="1">
      <c r="A8" s="122"/>
      <c r="B8" s="992"/>
      <c r="C8" s="992"/>
      <c r="D8" s="892" t="e">
        <f>Bauteile_Neubau!C8&amp;(VLOOKUP(B8,Konstruktionen,2,FALSE))</f>
        <v>#N/A</v>
      </c>
      <c r="E8" s="992"/>
      <c r="F8" s="951" t="e">
        <f>Bauteile_Neubau!E8&amp;"_"&amp;D8</f>
        <v>#N/A</v>
      </c>
      <c r="G8" s="994"/>
      <c r="H8" s="955" t="str">
        <f t="shared" si="0"/>
        <v/>
      </c>
      <c r="I8" s="512" t="str">
        <f t="shared" si="1"/>
        <v/>
      </c>
      <c r="J8" s="515" t="str">
        <f t="shared" si="2"/>
        <v/>
      </c>
    </row>
    <row r="9" spans="1:10" ht="18" customHeight="1">
      <c r="A9" s="122"/>
      <c r="B9" s="992"/>
      <c r="C9" s="992"/>
      <c r="D9" s="892" t="e">
        <f>Bauteile_Neubau!C9&amp;(VLOOKUP(B9,Konstruktionen,2,FALSE))</f>
        <v>#N/A</v>
      </c>
      <c r="E9" s="992"/>
      <c r="F9" s="951" t="e">
        <f>Bauteile_Neubau!E9&amp;"_"&amp;D9</f>
        <v>#N/A</v>
      </c>
      <c r="G9" s="994"/>
      <c r="H9" s="955" t="str">
        <f t="shared" si="0"/>
        <v/>
      </c>
      <c r="I9" s="512" t="str">
        <f t="shared" si="1"/>
        <v/>
      </c>
      <c r="J9" s="515" t="str">
        <f t="shared" si="2"/>
        <v/>
      </c>
    </row>
    <row r="10" spans="1:10" ht="18" customHeight="1">
      <c r="A10" s="122"/>
      <c r="B10" s="992"/>
      <c r="C10" s="992"/>
      <c r="D10" s="892" t="e">
        <f>Bauteile_Neubau!C10&amp;(VLOOKUP(B10,Konstruktionen,2,FALSE))</f>
        <v>#N/A</v>
      </c>
      <c r="E10" s="992"/>
      <c r="F10" s="951" t="e">
        <f>Bauteile_Neubau!E10&amp;"_"&amp;D10</f>
        <v>#N/A</v>
      </c>
      <c r="G10" s="994"/>
      <c r="H10" s="955" t="str">
        <f t="shared" si="0"/>
        <v/>
      </c>
      <c r="I10" s="512" t="str">
        <f t="shared" si="1"/>
        <v/>
      </c>
      <c r="J10" s="515" t="str">
        <f t="shared" si="2"/>
        <v/>
      </c>
    </row>
    <row r="11" spans="1:10" ht="18" customHeight="1">
      <c r="A11" s="122"/>
      <c r="B11" s="992"/>
      <c r="C11" s="992"/>
      <c r="D11" s="892" t="e">
        <f>Bauteile_Neubau!C11&amp;(VLOOKUP(B11,Konstruktionen,2,FALSE))</f>
        <v>#N/A</v>
      </c>
      <c r="E11" s="992"/>
      <c r="F11" s="951" t="e">
        <f>Bauteile_Neubau!E11&amp;"_"&amp;D11</f>
        <v>#N/A</v>
      </c>
      <c r="G11" s="994"/>
      <c r="H11" s="955" t="str">
        <f t="shared" si="0"/>
        <v/>
      </c>
      <c r="I11" s="512" t="str">
        <f t="shared" si="1"/>
        <v/>
      </c>
      <c r="J11" s="515" t="str">
        <f t="shared" si="2"/>
        <v/>
      </c>
    </row>
    <row r="12" spans="1:10" ht="18" customHeight="1">
      <c r="A12" s="122"/>
      <c r="B12" s="992"/>
      <c r="C12" s="992"/>
      <c r="D12" s="892" t="e">
        <f>Bauteile_Neubau!C12&amp;(VLOOKUP(B12,Konstruktionen,2,FALSE))</f>
        <v>#N/A</v>
      </c>
      <c r="E12" s="992"/>
      <c r="F12" s="951" t="e">
        <f>Bauteile_Neubau!E12&amp;"_"&amp;D12</f>
        <v>#N/A</v>
      </c>
      <c r="G12" s="994"/>
      <c r="H12" s="955" t="str">
        <f t="shared" si="0"/>
        <v/>
      </c>
      <c r="I12" s="512" t="str">
        <f t="shared" si="1"/>
        <v/>
      </c>
      <c r="J12" s="515" t="str">
        <f t="shared" si="2"/>
        <v/>
      </c>
    </row>
    <row r="13" spans="1:10" ht="18" customHeight="1">
      <c r="A13" s="122"/>
      <c r="B13" s="992"/>
      <c r="C13" s="992"/>
      <c r="D13" s="892" t="e">
        <f>Bauteile_Neubau!C13&amp;(VLOOKUP(B13,Konstruktionen,2,FALSE))</f>
        <v>#N/A</v>
      </c>
      <c r="E13" s="992"/>
      <c r="F13" s="951" t="e">
        <f>Bauteile_Neubau!E13&amp;"_"&amp;D13</f>
        <v>#N/A</v>
      </c>
      <c r="G13" s="994"/>
      <c r="H13" s="955" t="str">
        <f t="shared" si="0"/>
        <v/>
      </c>
      <c r="I13" s="512" t="str">
        <f t="shared" si="1"/>
        <v/>
      </c>
      <c r="J13" s="515" t="str">
        <f t="shared" si="2"/>
        <v/>
      </c>
    </row>
    <row r="14" spans="1:10" ht="18" customHeight="1">
      <c r="A14" s="122"/>
      <c r="B14" s="992"/>
      <c r="C14" s="992"/>
      <c r="D14" s="892" t="e">
        <f>Bauteile_Neubau!C14&amp;(VLOOKUP(B14,Konstruktionen,2,FALSE))</f>
        <v>#N/A</v>
      </c>
      <c r="E14" s="992"/>
      <c r="F14" s="951" t="e">
        <f>Bauteile_Neubau!E14&amp;"_"&amp;D14</f>
        <v>#N/A</v>
      </c>
      <c r="G14" s="994"/>
      <c r="H14" s="955" t="str">
        <f t="shared" si="0"/>
        <v/>
      </c>
      <c r="I14" s="512" t="str">
        <f t="shared" si="1"/>
        <v/>
      </c>
      <c r="J14" s="515" t="str">
        <f t="shared" si="2"/>
        <v/>
      </c>
    </row>
    <row r="15" spans="1:10" ht="18" customHeight="1">
      <c r="A15" s="122"/>
      <c r="B15" s="992"/>
      <c r="C15" s="992"/>
      <c r="D15" s="892" t="e">
        <f>Bauteile_Neubau!C15&amp;(VLOOKUP(B15,Konstruktionen,2,FALSE))</f>
        <v>#N/A</v>
      </c>
      <c r="E15" s="992"/>
      <c r="F15" s="951" t="e">
        <f>Bauteile_Neubau!E15&amp;"_"&amp;D15</f>
        <v>#N/A</v>
      </c>
      <c r="G15" s="994"/>
      <c r="H15" s="955" t="str">
        <f t="shared" si="0"/>
        <v/>
      </c>
      <c r="I15" s="512" t="str">
        <f t="shared" si="1"/>
        <v/>
      </c>
      <c r="J15" s="515" t="str">
        <f t="shared" si="2"/>
        <v/>
      </c>
    </row>
    <row r="16" spans="1:10" ht="18" customHeight="1">
      <c r="A16" s="122"/>
      <c r="B16" s="992"/>
      <c r="C16" s="992"/>
      <c r="D16" s="892" t="e">
        <f>Bauteile_Neubau!C16&amp;(VLOOKUP(B16,Konstruktionen,2,FALSE))</f>
        <v>#N/A</v>
      </c>
      <c r="E16" s="992"/>
      <c r="F16" s="951" t="e">
        <f>Bauteile_Neubau!E16&amp;"_"&amp;D16</f>
        <v>#N/A</v>
      </c>
      <c r="G16" s="994"/>
      <c r="H16" s="955" t="str">
        <f t="shared" si="0"/>
        <v/>
      </c>
      <c r="I16" s="512" t="str">
        <f t="shared" si="1"/>
        <v/>
      </c>
      <c r="J16" s="515" t="str">
        <f t="shared" si="2"/>
        <v/>
      </c>
    </row>
    <row r="17" spans="1:14" ht="18" customHeight="1">
      <c r="A17" s="122"/>
      <c r="B17" s="992"/>
      <c r="C17" s="992"/>
      <c r="D17" s="892" t="e">
        <f>Bauteile_Neubau!C17&amp;(VLOOKUP(B17,Konstruktionen,2,FALSE))</f>
        <v>#N/A</v>
      </c>
      <c r="E17" s="992"/>
      <c r="F17" s="951" t="e">
        <f>Bauteile_Neubau!E17&amp;"_"&amp;D17</f>
        <v>#N/A</v>
      </c>
      <c r="G17" s="994"/>
      <c r="H17" s="955" t="str">
        <f t="shared" si="0"/>
        <v/>
      </c>
      <c r="I17" s="512" t="str">
        <f t="shared" si="1"/>
        <v/>
      </c>
      <c r="J17" s="515" t="str">
        <f t="shared" si="2"/>
        <v/>
      </c>
    </row>
    <row r="18" spans="1:14" ht="18" customHeight="1">
      <c r="A18" s="122"/>
      <c r="B18" s="992"/>
      <c r="C18" s="992"/>
      <c r="D18" s="892" t="e">
        <f>Bauteile_Neubau!C18&amp;(VLOOKUP(B18,Konstruktionen,2,FALSE))</f>
        <v>#N/A</v>
      </c>
      <c r="E18" s="992"/>
      <c r="F18" s="951" t="e">
        <f>Bauteile_Neubau!E18&amp;"_"&amp;D18</f>
        <v>#N/A</v>
      </c>
      <c r="G18" s="994"/>
      <c r="H18" s="955" t="str">
        <f t="shared" si="0"/>
        <v/>
      </c>
      <c r="I18" s="512" t="str">
        <f t="shared" si="1"/>
        <v/>
      </c>
      <c r="J18" s="515" t="str">
        <f t="shared" si="2"/>
        <v/>
      </c>
    </row>
    <row r="19" spans="1:14" ht="18" customHeight="1">
      <c r="A19" s="122"/>
      <c r="B19" s="992"/>
      <c r="C19" s="992"/>
      <c r="D19" s="892" t="e">
        <f>Bauteile_Neubau!C19&amp;(VLOOKUP(B19,Konstruktionen,2,FALSE))</f>
        <v>#N/A</v>
      </c>
      <c r="E19" s="992"/>
      <c r="F19" s="951" t="e">
        <f>Bauteile_Neubau!E19&amp;"_"&amp;D19</f>
        <v>#N/A</v>
      </c>
      <c r="G19" s="994"/>
      <c r="H19" s="955" t="str">
        <f t="shared" si="0"/>
        <v/>
      </c>
      <c r="I19" s="512" t="str">
        <f t="shared" si="1"/>
        <v/>
      </c>
      <c r="J19" s="515" t="str">
        <f t="shared" si="2"/>
        <v/>
      </c>
    </row>
    <row r="20" spans="1:14" ht="18" customHeight="1">
      <c r="A20" s="490"/>
      <c r="B20" s="488" t="s">
        <v>1068</v>
      </c>
      <c r="C20" s="488"/>
      <c r="D20" s="488"/>
      <c r="E20" s="488"/>
      <c r="F20" s="952"/>
      <c r="G20" s="488"/>
      <c r="H20" s="995"/>
      <c r="I20" s="996"/>
      <c r="J20" s="997"/>
    </row>
    <row r="21" spans="1:14" ht="18" customHeight="1">
      <c r="B21" s="142" t="s">
        <v>1083</v>
      </c>
      <c r="C21" s="141"/>
      <c r="D21" s="141"/>
      <c r="E21" s="841"/>
      <c r="F21" s="141"/>
      <c r="G21" s="489">
        <f>SUM(G5:G20)</f>
        <v>0</v>
      </c>
      <c r="H21" s="489">
        <f>SUM(H5:H20)</f>
        <v>0</v>
      </c>
      <c r="I21" s="463">
        <f>SUM(I5:I20)</f>
        <v>0</v>
      </c>
      <c r="J21" s="514">
        <f>SUM(J5:J20)</f>
        <v>0</v>
      </c>
    </row>
    <row r="23" spans="1:14" ht="18" customHeight="1">
      <c r="B23" s="1041" t="s">
        <v>1199</v>
      </c>
      <c r="C23" s="1042"/>
      <c r="D23" s="1042"/>
      <c r="E23" s="1042"/>
      <c r="F23" s="1042"/>
      <c r="G23" s="1042"/>
      <c r="H23" s="1042"/>
      <c r="I23" s="1042"/>
      <c r="J23" s="1043"/>
    </row>
    <row r="24" spans="1:14" s="461" customFormat="1" ht="52.5" customHeight="1">
      <c r="B24" s="1041"/>
      <c r="C24" s="1042"/>
      <c r="D24" s="1042"/>
      <c r="E24" s="1043"/>
      <c r="F24" s="487"/>
      <c r="G24" s="486" t="s">
        <v>1069</v>
      </c>
      <c r="H24" s="486" t="s">
        <v>1085</v>
      </c>
      <c r="I24" s="486" t="s">
        <v>1086</v>
      </c>
      <c r="J24" s="486" t="s">
        <v>1078</v>
      </c>
      <c r="K24" s="480"/>
      <c r="L24" s="480"/>
      <c r="M24" s="480"/>
      <c r="N24" s="480"/>
    </row>
    <row r="25" spans="1:14" ht="18" customHeight="1">
      <c r="B25" s="1039" t="s">
        <v>1072</v>
      </c>
      <c r="C25" s="1040"/>
      <c r="D25" s="1040"/>
      <c r="E25" s="1040"/>
      <c r="F25" s="493"/>
      <c r="G25" s="494">
        <f>IFERROR('Rechnungsblatt GE'!C25,0)</f>
        <v>0</v>
      </c>
      <c r="H25" s="956">
        <f>IFERROR('Rechnungsblatt GE'!C26,0)</f>
        <v>0</v>
      </c>
      <c r="I25" s="605">
        <f>IFERROR('Rechnungsblatt THGE'!C26,0)</f>
        <v>0</v>
      </c>
      <c r="J25" s="988">
        <f>IFERROR('Rechnungsblatt UBP'!C26,0)</f>
        <v>0</v>
      </c>
      <c r="K25" s="482"/>
      <c r="L25" s="482"/>
      <c r="M25" s="482"/>
      <c r="N25" s="481"/>
    </row>
    <row r="26" spans="1:14" ht="18" customHeight="1">
      <c r="B26" s="606" t="s">
        <v>1165</v>
      </c>
      <c r="C26" s="124" t="s">
        <v>368</v>
      </c>
      <c r="D26" s="124"/>
      <c r="E26" s="998"/>
      <c r="F26" s="949"/>
      <c r="G26" s="950"/>
      <c r="H26" s="956">
        <f>IF(OR(ISERROR('Rechnungsblatt GE'!C8),(IW_Konstruktion="")),0,('Rechnungsblatt GE'!C8))</f>
        <v>0</v>
      </c>
      <c r="I26" s="605">
        <f>IF(OR(ISERROR('Rechnungsblatt THGE'!C8),(IW_Konstruktion="")),0,'Rechnungsblatt THGE'!C8)</f>
        <v>0</v>
      </c>
      <c r="J26" s="988">
        <f>IF(OR(ISERROR('Rechnungsblatt UBP'!C8),(IW_Konstruktion="")),0,'Rechnungsblatt UBP'!C8)</f>
        <v>0</v>
      </c>
      <c r="K26" s="483"/>
      <c r="L26" s="482"/>
      <c r="M26" s="482"/>
      <c r="N26" s="481"/>
    </row>
    <row r="27" spans="1:14" ht="18" customHeight="1">
      <c r="B27" s="462" t="s">
        <v>418</v>
      </c>
      <c r="C27" s="123" t="s">
        <v>368</v>
      </c>
      <c r="D27" s="123"/>
      <c r="E27" s="999"/>
      <c r="G27" s="950"/>
      <c r="H27" s="956">
        <f>IF(OR(ISERROR('Rechnungsblatt GE'!C12),(ZD_Konstruktion="")),0,'Rechnungsblatt GE'!C12)</f>
        <v>0</v>
      </c>
      <c r="I27" s="605">
        <f>IF(OR(ISERROR('Rechnungsblatt THGE'!C12),(ZD_Konstruktion="")),0,'Rechnungsblatt THGE'!C12)</f>
        <v>0</v>
      </c>
      <c r="J27" s="988">
        <f>IF(OR(ISERROR('Rechnungsblatt UBP'!C12),(ZD_Konstruktion="")),0,'Rechnungsblatt UBP'!C12)</f>
        <v>0</v>
      </c>
      <c r="K27" s="482"/>
      <c r="L27" s="482"/>
      <c r="M27" s="482"/>
      <c r="N27" s="481"/>
    </row>
    <row r="28" spans="1:14" ht="18" customHeight="1">
      <c r="B28" s="1039" t="s">
        <v>417</v>
      </c>
      <c r="C28" s="1040"/>
      <c r="D28" s="1040"/>
      <c r="E28" s="1040"/>
      <c r="F28" s="1040"/>
      <c r="G28" s="1044"/>
      <c r="H28" s="956">
        <f>IFERROR('Rechnungsblatt GE'!C33,0)</f>
        <v>0</v>
      </c>
      <c r="I28" s="605">
        <f>IFERROR('Rechnungsblatt THGE'!C33,0)</f>
        <v>0</v>
      </c>
      <c r="J28" s="988">
        <f>IFERROR('Rechnungsblatt UBP'!C33,0)</f>
        <v>0</v>
      </c>
      <c r="K28" s="482"/>
      <c r="L28" s="482"/>
      <c r="M28" s="482"/>
      <c r="N28" s="481"/>
    </row>
    <row r="29" spans="1:14" ht="18" customHeight="1">
      <c r="B29" s="1039" t="s">
        <v>1025</v>
      </c>
      <c r="C29" s="1040"/>
      <c r="D29" s="1040"/>
      <c r="E29" s="1040"/>
      <c r="F29" s="1040"/>
      <c r="G29" s="1044"/>
      <c r="H29" s="956">
        <f>IFERROR('Rechnungsblatt GE'!C22,0)</f>
        <v>0</v>
      </c>
      <c r="I29" s="605">
        <f>IFERROR('Rechnungsblatt THGE'!C22,0)</f>
        <v>0</v>
      </c>
      <c r="J29" s="988">
        <f>IFERROR('Rechnungsblatt UBP'!C22,0)</f>
        <v>0</v>
      </c>
    </row>
    <row r="30" spans="1:14" ht="18" customHeight="1">
      <c r="B30" s="142" t="s">
        <v>1026</v>
      </c>
      <c r="C30" s="141"/>
      <c r="D30" s="141"/>
      <c r="E30" s="141"/>
      <c r="F30" s="141"/>
      <c r="G30" s="141"/>
      <c r="H30" s="956">
        <f>SUM(H26:H29)</f>
        <v>0</v>
      </c>
      <c r="I30" s="605">
        <f>SUM(I26:I29)</f>
        <v>0</v>
      </c>
      <c r="J30" s="988">
        <f>SUM(J26:J29)</f>
        <v>0</v>
      </c>
    </row>
    <row r="31" spans="1:14" ht="18" customHeight="1">
      <c r="B31" s="142"/>
      <c r="C31" s="141"/>
      <c r="D31" s="141"/>
      <c r="E31" s="141"/>
      <c r="F31" s="141"/>
      <c r="G31" s="141"/>
      <c r="H31" s="489"/>
      <c r="I31" s="463"/>
      <c r="J31" s="990"/>
    </row>
    <row r="32" spans="1:14" s="461" customFormat="1" ht="18" customHeight="1">
      <c r="B32" s="476" t="s">
        <v>21</v>
      </c>
      <c r="C32" s="477" t="s">
        <v>1139</v>
      </c>
      <c r="D32" s="477"/>
      <c r="E32" s="477"/>
      <c r="F32" s="477"/>
      <c r="G32" s="477"/>
      <c r="H32" s="513">
        <f>SUM(H25,H21,H30)</f>
        <v>0</v>
      </c>
      <c r="I32" s="463">
        <f>SUM(I21,I30)</f>
        <v>0</v>
      </c>
      <c r="J32" s="990">
        <f>SUM(J21,J30)</f>
        <v>0</v>
      </c>
      <c r="M32" s="126"/>
    </row>
    <row r="34" spans="2:13" ht="57.75" customHeight="1">
      <c r="B34" s="1045" t="s">
        <v>650</v>
      </c>
      <c r="C34" s="1046"/>
      <c r="D34" s="1046"/>
      <c r="E34" s="1046"/>
      <c r="F34" s="1046"/>
      <c r="G34" s="1047"/>
      <c r="H34" s="486" t="s">
        <v>1085</v>
      </c>
      <c r="I34" s="486" t="s">
        <v>1087</v>
      </c>
      <c r="J34" s="486"/>
    </row>
    <row r="35" spans="2:13" ht="18" customHeight="1">
      <c r="B35" s="1048" t="s">
        <v>1070</v>
      </c>
      <c r="C35" s="1049"/>
      <c r="D35" s="1049"/>
      <c r="E35" s="1049"/>
      <c r="F35" s="1049"/>
      <c r="G35" s="1050"/>
      <c r="H35" s="958" t="str">
        <f>IF(AND(Objektdaten_Neubau!E6="Neubau",Objektdaten_Neubau!E8="MINERGIE"),'Berechnung Grenzwerte'!I67,IF(AND(Objektdaten_Neubau!E6="Neubau",Objektdaten_Neubau!E8="MINERGIE-P/-A"),'Berechnung Grenzwerte'!K67,""))</f>
        <v/>
      </c>
      <c r="I35" s="491" t="str">
        <f>IF(AND(Objektdaten_Neubau!E6="Neubau",Objektdaten_Neubau!E8="Minergie"),'Berechnung Grenzwerte'!Q67,IF(AND(Objektdaten_Neubau!E6="Neubau",Objektdaten_Neubau!E8="MINERGIE-P/-A"),'Berechnung Grenzwerte'!S67,""))</f>
        <v/>
      </c>
      <c r="J35" s="478"/>
    </row>
    <row r="36" spans="2:13" ht="18" customHeight="1">
      <c r="B36" s="1036" t="s">
        <v>1071</v>
      </c>
      <c r="C36" s="1037"/>
      <c r="D36" s="1037"/>
      <c r="E36" s="1037"/>
      <c r="F36" s="1037"/>
      <c r="G36" s="1038"/>
      <c r="H36" s="959" t="str">
        <f>IF(AND(Objektdaten_Neubau!E6="Neubau",Objektdaten_Neubau!E8="Minergie"),'Berechnung Grenzwerte'!J67,IF(AND(Objektdaten_Neubau!E6="Neubau",Objektdaten_Neubau!E8="MINERGIE-P/-A"),'Berechnung Grenzwerte'!L67,""))</f>
        <v/>
      </c>
      <c r="I36" s="492" t="str">
        <f>IF(AND(Objektdaten_Neubau!E6="Neubau",Objektdaten_Neubau!E8="Minergie"),'Berechnung Grenzwerte'!R67,IF(AND(Objektdaten_Neubau!E6="Neubau",Objektdaten_Neubau!E8="MINERGIE-P/-A"),'Berechnung Grenzwerte'!T67,""))</f>
        <v/>
      </c>
      <c r="J36" s="479"/>
    </row>
    <row r="37" spans="2:13" ht="18" customHeight="1">
      <c r="K37" s="145"/>
      <c r="L37" s="144"/>
      <c r="M37"/>
    </row>
    <row r="38" spans="2:13" ht="18" customHeight="1">
      <c r="B38" s="1041" t="s">
        <v>1079</v>
      </c>
      <c r="C38" s="1042"/>
      <c r="D38" s="1042"/>
      <c r="E38" s="1042"/>
      <c r="F38" s="1042"/>
      <c r="G38" s="1042"/>
      <c r="H38" s="1042"/>
      <c r="I38" s="1042"/>
      <c r="J38" s="1043"/>
    </row>
    <row r="39" spans="2:13" ht="18" customHeight="1">
      <c r="B39" s="1052" t="s">
        <v>1085</v>
      </c>
      <c r="C39" s="1053"/>
      <c r="D39" s="1053"/>
      <c r="E39" s="1053"/>
      <c r="F39" s="1053"/>
      <c r="G39" s="1054"/>
      <c r="H39" s="1055" t="str">
        <f>IF(H32&lt;H35,"Die Anforderungen sind gut erfüllt.",IF(AND(H32&gt;H35,H32&lt;H36),"Die Anforderungen sind erfüllt.","Die Anforderungen sind nicht erfüllt."))</f>
        <v>Die Anforderungen sind gut erfüllt.</v>
      </c>
      <c r="I39" s="1056"/>
      <c r="J39" s="1057"/>
    </row>
    <row r="40" spans="2:13" ht="18" customHeight="1">
      <c r="B40" s="1058" t="s">
        <v>1082</v>
      </c>
      <c r="C40" s="1059"/>
      <c r="D40" s="1059"/>
      <c r="E40" s="1059"/>
      <c r="F40" s="1059"/>
      <c r="G40" s="1060"/>
      <c r="H40" s="1055" t="str">
        <f>IF(I32&lt;I35,"Die Anforderungen sind gut erfüllt.",IF(AND(I32&gt;I35,I32&lt;I36),"Die Anforderungen sind erfüllt.","Die Anforderungen sind nicht erfüllt."))</f>
        <v>Die Anforderungen sind gut erfüllt.</v>
      </c>
      <c r="I40" s="1056"/>
      <c r="J40" s="1057"/>
    </row>
    <row r="41" spans="2:13" ht="18" customHeight="1">
      <c r="B41" s="1058" t="s">
        <v>1080</v>
      </c>
      <c r="C41" s="1059"/>
      <c r="D41" s="1059"/>
      <c r="E41" s="1059"/>
      <c r="F41" s="1059"/>
      <c r="G41" s="1060"/>
      <c r="H41" s="1039"/>
      <c r="I41" s="1040"/>
      <c r="J41" s="1044"/>
    </row>
    <row r="42" spans="2:13" ht="18" customHeight="1">
      <c r="B42" s="983" t="str">
        <f>IF(H32&gt;H36,"Ihr Projekt liegt im roten Bereich. Der Grund dafür könnten die getroffenen Annahmen und Vereinfachungen des Tools sein. Bitte nehmen sie Kontakt mit der Zertifizierungsstelle auf.","")</f>
        <v/>
      </c>
    </row>
    <row r="43" spans="2:13" ht="18" customHeight="1">
      <c r="B43" s="516" t="s">
        <v>1088</v>
      </c>
    </row>
    <row r="44" spans="2:13" ht="18" customHeight="1">
      <c r="B44" s="125" t="s">
        <v>1089</v>
      </c>
      <c r="H44" s="1051" t="s">
        <v>1081</v>
      </c>
      <c r="I44" s="1051"/>
      <c r="J44" s="1051"/>
    </row>
    <row r="45" spans="2:13" ht="18" customHeight="1">
      <c r="B45" s="140" t="s">
        <v>1090</v>
      </c>
      <c r="H45" s="511"/>
      <c r="I45" s="510"/>
      <c r="J45" s="509"/>
    </row>
  </sheetData>
  <sheetProtection password="CDC8" sheet="1" objects="1" scenarios="1" selectLockedCells="1"/>
  <mergeCells count="17">
    <mergeCell ref="H44:J44"/>
    <mergeCell ref="B38:J38"/>
    <mergeCell ref="B39:G39"/>
    <mergeCell ref="H39:J39"/>
    <mergeCell ref="B40:G40"/>
    <mergeCell ref="B41:G41"/>
    <mergeCell ref="H40:J40"/>
    <mergeCell ref="H41:J41"/>
    <mergeCell ref="B36:G36"/>
    <mergeCell ref="B25:E25"/>
    <mergeCell ref="B24:E24"/>
    <mergeCell ref="B28:G28"/>
    <mergeCell ref="B3:J3"/>
    <mergeCell ref="B23:J23"/>
    <mergeCell ref="B34:G34"/>
    <mergeCell ref="B29:G29"/>
    <mergeCell ref="B35:G35"/>
  </mergeCells>
  <conditionalFormatting sqref="H39:J39">
    <cfRule type="expression" dxfId="14" priority="7">
      <formula>$H$32&gt;$H$36</formula>
    </cfRule>
    <cfRule type="expression" dxfId="13" priority="8">
      <formula>AND($H$32&gt;$H$35,$H$32&lt;$H$36)</formula>
    </cfRule>
    <cfRule type="expression" dxfId="12" priority="9">
      <formula>$H$32&lt;$H$35</formula>
    </cfRule>
  </conditionalFormatting>
  <conditionalFormatting sqref="H40:J40">
    <cfRule type="expression" dxfId="11" priority="10">
      <formula>$I$32&gt;$I$36</formula>
    </cfRule>
    <cfRule type="expression" dxfId="10" priority="11">
      <formula>AND($I$32&gt;$I$35,$I$32&lt;$I$36)</formula>
    </cfRule>
    <cfRule type="expression" dxfId="9" priority="12">
      <formula>$I$32&lt;$I$35</formula>
    </cfRule>
  </conditionalFormatting>
  <dataValidations count="3">
    <dataValidation type="list" allowBlank="1" showInputMessage="1" showErrorMessage="1" sqref="B5:B19">
      <formula1>Auswahl_Bauteilkategorie</formula1>
    </dataValidation>
    <dataValidation type="list" allowBlank="1" showInputMessage="1" showErrorMessage="1" sqref="E5:E19">
      <formula1>IF(D5="","",INDIRECT(D5))</formula1>
    </dataValidation>
    <dataValidation type="list" allowBlank="1" showInputMessage="1" showErrorMessage="1" sqref="C5:C19">
      <formula1>Auswahl_Energiestandard</formula1>
    </dataValidation>
  </dataValidations>
  <pageMargins left="0.70866141732283472" right="0.70866141732283472" top="0.78740157480314965" bottom="0.78740157480314965" header="0.31496062992125984" footer="0.31496062992125984"/>
  <pageSetup paperSize="9" scale="4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Konstruktionen!$G$135:$G$137</xm:f>
          </x14:formula1>
          <xm:sqref>E27</xm:sqref>
        </x14:dataValidation>
        <x14:dataValidation type="list" allowBlank="1" showInputMessage="1" showErrorMessage="1">
          <x14:formula1>
            <xm:f>Konstruktionen!$G$128:$G$130</xm:f>
          </x14:formula1>
          <xm:sqref>E26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44"/>
  <sheetViews>
    <sheetView view="pageLayout" zoomScaleNormal="90" workbookViewId="0">
      <selection activeCell="E25" sqref="E25"/>
    </sheetView>
  </sheetViews>
  <sheetFormatPr baseColWidth="10" defaultRowHeight="18" customHeight="1"/>
  <cols>
    <col min="1" max="1" width="4" style="121" customWidth="1"/>
    <col min="2" max="2" width="45.5703125" style="121" customWidth="1"/>
    <col min="3" max="3" width="16.28515625" style="121" customWidth="1"/>
    <col min="4" max="4" width="22.140625" style="121" hidden="1" customWidth="1"/>
    <col min="5" max="5" width="71.28515625" style="121" customWidth="1"/>
    <col min="6" max="6" width="88.7109375" style="121" hidden="1" customWidth="1"/>
    <col min="7" max="7" width="10" style="121" customWidth="1"/>
    <col min="8" max="10" width="13.7109375" style="121" customWidth="1"/>
    <col min="11" max="16384" width="11.42578125" style="121"/>
  </cols>
  <sheetData>
    <row r="1" spans="1:10" ht="18" customHeight="1">
      <c r="B1" s="120" t="s">
        <v>1084</v>
      </c>
    </row>
    <row r="2" spans="1:10" ht="6.75" customHeight="1">
      <c r="B2" s="120"/>
    </row>
    <row r="3" spans="1:10" ht="18" customHeight="1">
      <c r="B3" s="1041" t="s">
        <v>1177</v>
      </c>
      <c r="C3" s="1042"/>
      <c r="D3" s="1042"/>
      <c r="E3" s="1042"/>
      <c r="F3" s="1042"/>
      <c r="G3" s="1042"/>
      <c r="H3" s="1042"/>
      <c r="I3" s="1042"/>
      <c r="J3" s="1043"/>
    </row>
    <row r="4" spans="1:10" ht="86.25" customHeight="1">
      <c r="A4" s="484"/>
      <c r="B4" s="486" t="s">
        <v>366</v>
      </c>
      <c r="C4" s="486" t="s">
        <v>1178</v>
      </c>
      <c r="D4" s="486" t="s">
        <v>405</v>
      </c>
      <c r="E4" s="486" t="s">
        <v>368</v>
      </c>
      <c r="F4" s="486" t="s">
        <v>406</v>
      </c>
      <c r="G4" s="486" t="s">
        <v>1067</v>
      </c>
      <c r="H4" s="486" t="s">
        <v>1085</v>
      </c>
      <c r="I4" s="486" t="s">
        <v>1086</v>
      </c>
      <c r="J4" s="486" t="s">
        <v>1078</v>
      </c>
    </row>
    <row r="5" spans="1:10" ht="18" customHeight="1">
      <c r="A5" s="122"/>
      <c r="B5" s="991"/>
      <c r="C5" s="1001"/>
      <c r="D5" s="892" t="e">
        <f>Bauteile_Modernisierung!C5&amp;(VLOOKUP(B5,Konstruktionen_mod,2,FALSE))</f>
        <v>#N/A</v>
      </c>
      <c r="E5" s="992"/>
      <c r="F5" s="951"/>
      <c r="G5" s="993"/>
      <c r="H5" s="955" t="str">
        <f t="shared" ref="H5:H19" si="0">IF(OR(B5="",C5="",E5="",G5=""),"",((VLOOKUP(F5,Konstruktionen_2_mod,2,FALSE)*G5)/Ae_mod))</f>
        <v/>
      </c>
      <c r="I5" s="512" t="str">
        <f>IF(OR(B5="",C5="",E5="",,G5=""),"",((VLOOKUP(F5,Konstruktionen_2_mod,3,FALSE))*G5)/Ae_mod)</f>
        <v/>
      </c>
      <c r="J5" s="515" t="str">
        <f t="shared" ref="J5:J19" si="1">IF(OR(B5="",C5="",E5="",G5=""),"",((VLOOKUP(F5,Konstruktionen_2_mod,4,FALSE))*G5)/Ae_mod)</f>
        <v/>
      </c>
    </row>
    <row r="6" spans="1:10" ht="18" customHeight="1">
      <c r="A6" s="122"/>
      <c r="B6" s="1000"/>
      <c r="C6" s="992"/>
      <c r="D6" s="892" t="e">
        <f>Bauteile_Modernisierung!C6&amp;(VLOOKUP(B6,Konstruktionen_mod,2,FALSE))</f>
        <v>#N/A</v>
      </c>
      <c r="E6" s="992"/>
      <c r="F6" s="951"/>
      <c r="G6" s="994"/>
      <c r="H6" s="955" t="str">
        <f t="shared" si="0"/>
        <v/>
      </c>
      <c r="I6" s="512" t="str">
        <f t="shared" ref="I6:I19" si="2">IF(OR(B6="",C6="",E6="",G6=""),"",((VLOOKUP(F6,Konstruktionen_2_mod,3,FALSE))*G6)/Ae_mod)</f>
        <v/>
      </c>
      <c r="J6" s="515" t="str">
        <f t="shared" si="1"/>
        <v/>
      </c>
    </row>
    <row r="7" spans="1:10" ht="18" customHeight="1">
      <c r="A7" s="122"/>
      <c r="B7" s="992"/>
      <c r="C7" s="992"/>
      <c r="D7" s="892" t="e">
        <f>Bauteile_Modernisierung!C7&amp;(VLOOKUP(B7,Konstruktionen_mod,2,FALSE))</f>
        <v>#N/A</v>
      </c>
      <c r="E7" s="992"/>
      <c r="F7" s="951" t="e">
        <f>Bauteile_Modernisierung!E7&amp;"_"&amp;D7</f>
        <v>#N/A</v>
      </c>
      <c r="G7" s="994"/>
      <c r="H7" s="955" t="str">
        <f t="shared" si="0"/>
        <v/>
      </c>
      <c r="I7" s="512" t="str">
        <f t="shared" si="2"/>
        <v/>
      </c>
      <c r="J7" s="515" t="str">
        <f t="shared" si="1"/>
        <v/>
      </c>
    </row>
    <row r="8" spans="1:10" ht="18" customHeight="1">
      <c r="A8" s="122"/>
      <c r="B8" s="992"/>
      <c r="C8" s="992"/>
      <c r="D8" s="892" t="e">
        <f>Bauteile_Modernisierung!C8&amp;(VLOOKUP(B8,Konstruktionen_mod,2,FALSE))</f>
        <v>#N/A</v>
      </c>
      <c r="E8" s="992"/>
      <c r="F8" s="951" t="e">
        <f>Bauteile_Modernisierung!E8&amp;"_"&amp;D8</f>
        <v>#N/A</v>
      </c>
      <c r="G8" s="994"/>
      <c r="H8" s="955" t="str">
        <f t="shared" si="0"/>
        <v/>
      </c>
      <c r="I8" s="512" t="str">
        <f t="shared" si="2"/>
        <v/>
      </c>
      <c r="J8" s="515" t="str">
        <f t="shared" si="1"/>
        <v/>
      </c>
    </row>
    <row r="9" spans="1:10" ht="18" customHeight="1">
      <c r="A9" s="122"/>
      <c r="B9" s="992"/>
      <c r="C9" s="992"/>
      <c r="D9" s="892" t="e">
        <f>Bauteile_Modernisierung!C9&amp;(VLOOKUP(B9,Konstruktionen_mod,2,FALSE))</f>
        <v>#N/A</v>
      </c>
      <c r="E9" s="992"/>
      <c r="F9" s="951" t="e">
        <f>Bauteile_Modernisierung!E9&amp;"_"&amp;D9</f>
        <v>#N/A</v>
      </c>
      <c r="G9" s="994"/>
      <c r="H9" s="955" t="str">
        <f t="shared" si="0"/>
        <v/>
      </c>
      <c r="I9" s="512" t="str">
        <f t="shared" si="2"/>
        <v/>
      </c>
      <c r="J9" s="515" t="str">
        <f t="shared" si="1"/>
        <v/>
      </c>
    </row>
    <row r="10" spans="1:10" ht="18" customHeight="1">
      <c r="A10" s="122"/>
      <c r="B10" s="992"/>
      <c r="C10" s="992"/>
      <c r="D10" s="892" t="e">
        <f>Bauteile_Modernisierung!C10&amp;(VLOOKUP(B10,Konstruktionen_mod,2,FALSE))</f>
        <v>#N/A</v>
      </c>
      <c r="E10" s="992"/>
      <c r="F10" s="951" t="e">
        <f>Bauteile_Modernisierung!E10&amp;"_"&amp;D10</f>
        <v>#N/A</v>
      </c>
      <c r="G10" s="994"/>
      <c r="H10" s="955" t="str">
        <f t="shared" si="0"/>
        <v/>
      </c>
      <c r="I10" s="512" t="str">
        <f t="shared" si="2"/>
        <v/>
      </c>
      <c r="J10" s="515" t="str">
        <f t="shared" si="1"/>
        <v/>
      </c>
    </row>
    <row r="11" spans="1:10" ht="18" customHeight="1">
      <c r="A11" s="122"/>
      <c r="B11" s="992"/>
      <c r="C11" s="992"/>
      <c r="D11" s="892" t="e">
        <f>Bauteile_Modernisierung!C11&amp;(VLOOKUP(B11,Konstruktionen_mod,2,FALSE))</f>
        <v>#N/A</v>
      </c>
      <c r="E11" s="992"/>
      <c r="F11" s="951" t="e">
        <f>Bauteile_Modernisierung!E11&amp;"_"&amp;D11</f>
        <v>#N/A</v>
      </c>
      <c r="G11" s="994"/>
      <c r="H11" s="955" t="str">
        <f t="shared" si="0"/>
        <v/>
      </c>
      <c r="I11" s="512" t="str">
        <f t="shared" si="2"/>
        <v/>
      </c>
      <c r="J11" s="515" t="str">
        <f t="shared" si="1"/>
        <v/>
      </c>
    </row>
    <row r="12" spans="1:10" ht="18" customHeight="1">
      <c r="A12" s="122"/>
      <c r="B12" s="992"/>
      <c r="C12" s="992"/>
      <c r="D12" s="892" t="e">
        <f>Bauteile_Modernisierung!C12&amp;(VLOOKUP(B12,Konstruktionen_mod,2,FALSE))</f>
        <v>#N/A</v>
      </c>
      <c r="E12" s="992"/>
      <c r="F12" s="951" t="e">
        <f>Bauteile_Modernisierung!E12&amp;"_"&amp;D12</f>
        <v>#N/A</v>
      </c>
      <c r="G12" s="994"/>
      <c r="H12" s="955" t="str">
        <f t="shared" si="0"/>
        <v/>
      </c>
      <c r="I12" s="512" t="str">
        <f t="shared" si="2"/>
        <v/>
      </c>
      <c r="J12" s="515" t="str">
        <f t="shared" si="1"/>
        <v/>
      </c>
    </row>
    <row r="13" spans="1:10" ht="18" customHeight="1">
      <c r="A13" s="122"/>
      <c r="B13" s="992"/>
      <c r="C13" s="992"/>
      <c r="D13" s="892" t="e">
        <f>Bauteile_Modernisierung!C13&amp;(VLOOKUP(B13,Konstruktionen_mod,2,FALSE))</f>
        <v>#N/A</v>
      </c>
      <c r="E13" s="992"/>
      <c r="F13" s="951" t="e">
        <f>Bauteile_Modernisierung!E13&amp;"_"&amp;D13</f>
        <v>#N/A</v>
      </c>
      <c r="G13" s="994"/>
      <c r="H13" s="960" t="str">
        <f t="shared" si="0"/>
        <v/>
      </c>
      <c r="I13" s="512" t="str">
        <f t="shared" si="2"/>
        <v/>
      </c>
      <c r="J13" s="515" t="str">
        <f t="shared" si="1"/>
        <v/>
      </c>
    </row>
    <row r="14" spans="1:10" ht="18" customHeight="1">
      <c r="A14" s="122"/>
      <c r="B14" s="992"/>
      <c r="C14" s="992"/>
      <c r="D14" s="892" t="e">
        <f>Bauteile_Modernisierung!C14&amp;(VLOOKUP(B14,Konstruktionen_mod,2,FALSE))</f>
        <v>#N/A</v>
      </c>
      <c r="E14" s="992"/>
      <c r="F14" s="951" t="e">
        <f>Bauteile_Modernisierung!E14&amp;"_"&amp;D14</f>
        <v>#N/A</v>
      </c>
      <c r="G14" s="994"/>
      <c r="H14" s="955" t="str">
        <f t="shared" si="0"/>
        <v/>
      </c>
      <c r="I14" s="512" t="str">
        <f t="shared" si="2"/>
        <v/>
      </c>
      <c r="J14" s="515" t="str">
        <f t="shared" si="1"/>
        <v/>
      </c>
    </row>
    <row r="15" spans="1:10" ht="18" customHeight="1">
      <c r="A15" s="122"/>
      <c r="B15" s="992"/>
      <c r="C15" s="992"/>
      <c r="D15" s="892" t="e">
        <f>Bauteile_Modernisierung!C15&amp;(VLOOKUP(B15,Konstruktionen_mod,2,FALSE))</f>
        <v>#N/A</v>
      </c>
      <c r="E15" s="992"/>
      <c r="F15" s="951" t="e">
        <f>Bauteile_Modernisierung!E15&amp;"_"&amp;D15</f>
        <v>#N/A</v>
      </c>
      <c r="G15" s="994"/>
      <c r="H15" s="955" t="str">
        <f t="shared" si="0"/>
        <v/>
      </c>
      <c r="I15" s="512" t="str">
        <f t="shared" si="2"/>
        <v/>
      </c>
      <c r="J15" s="515" t="str">
        <f t="shared" si="1"/>
        <v/>
      </c>
    </row>
    <row r="16" spans="1:10" ht="18" customHeight="1">
      <c r="A16" s="122"/>
      <c r="B16" s="992"/>
      <c r="C16" s="992"/>
      <c r="D16" s="892" t="e">
        <f>Bauteile_Modernisierung!C16&amp;(VLOOKUP(B16,Konstruktionen_mod,2,FALSE))</f>
        <v>#N/A</v>
      </c>
      <c r="E16" s="992"/>
      <c r="F16" s="951" t="e">
        <f>Bauteile_Modernisierung!E16&amp;"_"&amp;D16</f>
        <v>#N/A</v>
      </c>
      <c r="G16" s="994"/>
      <c r="H16" s="955" t="str">
        <f t="shared" si="0"/>
        <v/>
      </c>
      <c r="I16" s="512" t="str">
        <f t="shared" si="2"/>
        <v/>
      </c>
      <c r="J16" s="515" t="str">
        <f t="shared" si="1"/>
        <v/>
      </c>
    </row>
    <row r="17" spans="1:14" ht="18" customHeight="1">
      <c r="A17" s="122"/>
      <c r="B17" s="992"/>
      <c r="C17" s="992"/>
      <c r="D17" s="892" t="e">
        <f>Bauteile_Modernisierung!C17&amp;(VLOOKUP(B17,Konstruktionen_mod,2,FALSE))</f>
        <v>#N/A</v>
      </c>
      <c r="E17" s="992"/>
      <c r="F17" s="951" t="e">
        <f>Bauteile_Modernisierung!E17&amp;"_"&amp;D17</f>
        <v>#N/A</v>
      </c>
      <c r="G17" s="994"/>
      <c r="H17" s="955" t="str">
        <f t="shared" si="0"/>
        <v/>
      </c>
      <c r="I17" s="512" t="str">
        <f t="shared" si="2"/>
        <v/>
      </c>
      <c r="J17" s="515" t="str">
        <f t="shared" si="1"/>
        <v/>
      </c>
    </row>
    <row r="18" spans="1:14" ht="18" customHeight="1">
      <c r="A18" s="122"/>
      <c r="B18" s="992"/>
      <c r="C18" s="992"/>
      <c r="D18" s="892" t="e">
        <f>Bauteile_Modernisierung!C18&amp;(VLOOKUP(B18,Konstruktionen_mod,2,FALSE))</f>
        <v>#N/A</v>
      </c>
      <c r="E18" s="992"/>
      <c r="F18" s="951" t="e">
        <f>Bauteile_Modernisierung!E18&amp;"_"&amp;D18</f>
        <v>#N/A</v>
      </c>
      <c r="G18" s="994"/>
      <c r="H18" s="955" t="str">
        <f t="shared" si="0"/>
        <v/>
      </c>
      <c r="I18" s="512" t="str">
        <f t="shared" si="2"/>
        <v/>
      </c>
      <c r="J18" s="515" t="str">
        <f t="shared" si="1"/>
        <v/>
      </c>
    </row>
    <row r="19" spans="1:14" ht="18" customHeight="1">
      <c r="A19" s="122"/>
      <c r="B19" s="1000"/>
      <c r="C19" s="992"/>
      <c r="D19" s="892" t="e">
        <f>Bauteile_Modernisierung!C19&amp;(VLOOKUP(B19,Konstruktionen_mod,2,FALSE))</f>
        <v>#N/A</v>
      </c>
      <c r="E19" s="992"/>
      <c r="F19" s="951" t="e">
        <f>Bauteile_Modernisierung!E19&amp;"_"&amp;D19</f>
        <v>#N/A</v>
      </c>
      <c r="G19" s="994"/>
      <c r="H19" s="955" t="str">
        <f t="shared" si="0"/>
        <v/>
      </c>
      <c r="I19" s="512" t="str">
        <f t="shared" si="2"/>
        <v/>
      </c>
      <c r="J19" s="515" t="str">
        <f t="shared" si="1"/>
        <v/>
      </c>
    </row>
    <row r="20" spans="1:14" ht="18" customHeight="1">
      <c r="A20" s="490"/>
      <c r="B20" s="488" t="s">
        <v>1068</v>
      </c>
      <c r="C20" s="488"/>
      <c r="D20" s="488"/>
      <c r="E20" s="488"/>
      <c r="F20" s="952"/>
      <c r="G20" s="488"/>
      <c r="H20" s="995"/>
      <c r="I20" s="996"/>
      <c r="J20" s="997"/>
    </row>
    <row r="21" spans="1:14" ht="18" customHeight="1">
      <c r="B21" s="142" t="s">
        <v>1083</v>
      </c>
      <c r="C21" s="141"/>
      <c r="D21" s="141"/>
      <c r="E21" s="841"/>
      <c r="F21" s="141"/>
      <c r="G21" s="489">
        <f>SUM(G5:G20)</f>
        <v>0</v>
      </c>
      <c r="H21" s="489">
        <f>SUM(H5:H20)</f>
        <v>0</v>
      </c>
      <c r="I21" s="463">
        <f>SUM(I5:I20)</f>
        <v>0</v>
      </c>
      <c r="J21" s="514">
        <f>SUM(J5:J20)</f>
        <v>0</v>
      </c>
    </row>
    <row r="23" spans="1:14" ht="18" customHeight="1">
      <c r="B23" s="1041" t="s">
        <v>1198</v>
      </c>
      <c r="C23" s="1042"/>
      <c r="D23" s="1042"/>
      <c r="E23" s="1042"/>
      <c r="F23" s="1042"/>
      <c r="G23" s="1042"/>
      <c r="H23" s="1042"/>
      <c r="I23" s="1042"/>
      <c r="J23" s="1043"/>
    </row>
    <row r="24" spans="1:14" s="461" customFormat="1" ht="52.5" customHeight="1">
      <c r="B24" s="1041"/>
      <c r="C24" s="1042"/>
      <c r="D24" s="1042"/>
      <c r="E24" s="1043"/>
      <c r="F24" s="948"/>
      <c r="G24" s="486" t="s">
        <v>1069</v>
      </c>
      <c r="H24" s="486" t="s">
        <v>1085</v>
      </c>
      <c r="I24" s="486" t="s">
        <v>1086</v>
      </c>
      <c r="J24" s="486" t="s">
        <v>1078</v>
      </c>
      <c r="K24" s="480"/>
      <c r="L24" s="480"/>
      <c r="M24" s="480"/>
      <c r="N24" s="480"/>
    </row>
    <row r="25" spans="1:14" ht="18" customHeight="1">
      <c r="B25" s="606" t="s">
        <v>1165</v>
      </c>
      <c r="C25" s="124" t="s">
        <v>368</v>
      </c>
      <c r="D25" s="124"/>
      <c r="E25" s="998"/>
      <c r="G25" s="606"/>
      <c r="H25" s="956">
        <f>IF(IW_Konstruktion_mod="",0,'Rechnungsblatt GE'!I34)</f>
        <v>0</v>
      </c>
      <c r="I25" s="605">
        <f>IF(IW_Konstruktion_mod="",0,'Rechnungsblatt THGE'!I34)</f>
        <v>0</v>
      </c>
      <c r="J25" s="988">
        <f>IF(IW_Konstruktion_mod="",0,'Rechnungsblatt UBP'!I34)</f>
        <v>0</v>
      </c>
      <c r="K25" s="483"/>
      <c r="L25" s="482"/>
      <c r="M25" s="482"/>
      <c r="N25" s="481"/>
    </row>
    <row r="26" spans="1:14" ht="18" customHeight="1">
      <c r="B26" s="462" t="s">
        <v>418</v>
      </c>
      <c r="C26" s="123"/>
      <c r="D26" s="123"/>
      <c r="E26" s="123"/>
      <c r="G26" s="123"/>
      <c r="H26" s="956">
        <f>IF(OR(ISERROR('Rechnungsblatt GE'!I42),(ZD_Konstruktion="")),0,'Rechnungsblatt GE'!I42)</f>
        <v>0</v>
      </c>
      <c r="I26" s="605">
        <f>IF(OR(ISERROR('Rechnungsblatt THGE'!I42),(ZD_Konstruktion="")),0,'Rechnungsblatt THGE'!I42)</f>
        <v>0</v>
      </c>
      <c r="J26" s="988">
        <f>IF(OR(ISERROR('Rechnungsblatt UBP'!I42),(ZD_Konstruktion="")),0,'Rechnungsblatt UBP'!I42)</f>
        <v>0</v>
      </c>
      <c r="K26" s="963"/>
      <c r="L26" s="482"/>
      <c r="M26" s="482"/>
      <c r="N26" s="481"/>
    </row>
    <row r="27" spans="1:14" ht="18" customHeight="1">
      <c r="B27" s="1039" t="s">
        <v>417</v>
      </c>
      <c r="C27" s="1040"/>
      <c r="D27" s="1040"/>
      <c r="E27" s="1040"/>
      <c r="F27" s="1040"/>
      <c r="G27" s="1044"/>
      <c r="H27" s="957">
        <f>IFERROR('Rechnungsblatt GE'!I56,0)</f>
        <v>0</v>
      </c>
      <c r="I27" s="605">
        <f>IFERROR('Rechnungsblatt THGE'!I56,0)</f>
        <v>0</v>
      </c>
      <c r="J27" s="988">
        <f>IFERROR('Rechnungsblatt UBP'!I56,0)</f>
        <v>0</v>
      </c>
      <c r="K27" s="482"/>
      <c r="L27" s="482"/>
      <c r="M27" s="482"/>
      <c r="N27" s="481"/>
    </row>
    <row r="28" spans="1:14" ht="18" customHeight="1">
      <c r="B28" s="142" t="s">
        <v>1026</v>
      </c>
      <c r="C28" s="141"/>
      <c r="D28" s="141"/>
      <c r="E28" s="141"/>
      <c r="F28" s="141"/>
      <c r="G28" s="141"/>
      <c r="H28" s="489">
        <f>SUM(H25:H27)</f>
        <v>0</v>
      </c>
      <c r="I28" s="605">
        <f>SUM(I25:I27)</f>
        <v>0</v>
      </c>
      <c r="J28" s="988">
        <f>SUM(J25:J27)</f>
        <v>0</v>
      </c>
    </row>
    <row r="29" spans="1:14" ht="18" customHeight="1">
      <c r="B29" s="142"/>
      <c r="C29" s="141"/>
      <c r="D29" s="141"/>
      <c r="E29" s="141"/>
      <c r="F29" s="141"/>
      <c r="G29" s="141"/>
      <c r="H29" s="489"/>
      <c r="I29" s="986"/>
      <c r="J29" s="988"/>
    </row>
    <row r="30" spans="1:14" s="461" customFormat="1" ht="18" customHeight="1">
      <c r="B30" s="476" t="s">
        <v>21</v>
      </c>
      <c r="C30" s="477" t="s">
        <v>1139</v>
      </c>
      <c r="D30" s="477"/>
      <c r="E30" s="477"/>
      <c r="F30" s="477"/>
      <c r="G30" s="477"/>
      <c r="H30" s="513">
        <f>SUM(H21,H28)</f>
        <v>0</v>
      </c>
      <c r="I30" s="987">
        <f>SUM(I21,I28)</f>
        <v>0</v>
      </c>
      <c r="J30" s="989">
        <f>SUM(J21,J28)</f>
        <v>0</v>
      </c>
      <c r="M30" s="126"/>
    </row>
    <row r="33" spans="2:13" ht="57.75" customHeight="1">
      <c r="B33" s="1045" t="s">
        <v>650</v>
      </c>
      <c r="C33" s="1046"/>
      <c r="D33" s="1046"/>
      <c r="E33" s="1046"/>
      <c r="F33" s="1046"/>
      <c r="G33" s="1047"/>
      <c r="H33" s="486" t="s">
        <v>1085</v>
      </c>
      <c r="I33" s="486" t="s">
        <v>1087</v>
      </c>
      <c r="J33" s="485"/>
    </row>
    <row r="34" spans="2:13" ht="18" customHeight="1">
      <c r="B34" s="1048" t="s">
        <v>1070</v>
      </c>
      <c r="C34" s="1049"/>
      <c r="D34" s="1049"/>
      <c r="E34" s="1049"/>
      <c r="F34" s="1049"/>
      <c r="G34" s="1050"/>
      <c r="H34" s="958" t="str">
        <f>IF(AND(Objektdaten_Modernisierung!E6="Modernisierung",Objektdaten_Modernisierung!E8="MINERGIE"),'Berechnung Grenzwerte'!I107,IF(AND(Objektdaten_Modernisierung!E6="Modernisierung",Objektdaten_Modernisierung!E8="MINERGIE-P/-A"),'Berechnung Grenzwerte'!K107,""))</f>
        <v/>
      </c>
      <c r="I34" s="491" t="str">
        <f>IF(AND(Objektdaten_Modernisierung!E6="Modernisierung",Objektdaten_Modernisierung!E8="Minergie"),'Berechnung Grenzwerte'!Q107,IF(AND(Objektdaten_Modernisierung!E6="Modernisierung",Objektdaten_Modernisierung!E8="MINERGIE-P/-A"),'Berechnung Grenzwerte'!S107,""))</f>
        <v/>
      </c>
      <c r="J34" s="478"/>
    </row>
    <row r="35" spans="2:13" ht="18" customHeight="1">
      <c r="B35" s="1036" t="s">
        <v>1071</v>
      </c>
      <c r="C35" s="1037"/>
      <c r="D35" s="1037"/>
      <c r="E35" s="1037"/>
      <c r="F35" s="1037"/>
      <c r="G35" s="1038"/>
      <c r="H35" s="959" t="str">
        <f>IF(AND(Objektdaten_Modernisierung!E6="Modernisierung",Objektdaten_Modernisierung!E8="Minergie"),'Berechnung Grenzwerte'!J107,IF(AND(Objektdaten_Modernisierung!E6="Modernisierung",Objektdaten_Modernisierung!E8="MINERGIE-P/-A"),'Berechnung Grenzwerte'!L107,""))</f>
        <v/>
      </c>
      <c r="I35" s="492" t="str">
        <f>IF(AND(Objektdaten_Modernisierung!E6="Modernisierung",Objektdaten_Modernisierung!E8="Minergie"),'Berechnung Grenzwerte'!R107,IF(AND(Objektdaten_Modernisierung!E6="Modernisierung",Objektdaten_Modernisierung!E8="MINERGIE-P/-A"),'Berechnung Grenzwerte'!T107,""))</f>
        <v/>
      </c>
      <c r="J35" s="479"/>
    </row>
    <row r="36" spans="2:13" ht="18" customHeight="1">
      <c r="K36" s="145"/>
      <c r="L36" s="144"/>
      <c r="M36"/>
    </row>
    <row r="37" spans="2:13" ht="18" customHeight="1">
      <c r="B37" s="1041" t="s">
        <v>1079</v>
      </c>
      <c r="C37" s="1042"/>
      <c r="D37" s="1042"/>
      <c r="E37" s="1042"/>
      <c r="F37" s="1042"/>
      <c r="G37" s="1042"/>
      <c r="H37" s="1042"/>
      <c r="I37" s="1042"/>
      <c r="J37" s="1043"/>
    </row>
    <row r="38" spans="2:13" ht="18" customHeight="1">
      <c r="B38" s="1052" t="s">
        <v>1085</v>
      </c>
      <c r="C38" s="1053"/>
      <c r="D38" s="1053"/>
      <c r="E38" s="1053"/>
      <c r="F38" s="1053"/>
      <c r="G38" s="1054"/>
      <c r="H38" s="1055" t="str">
        <f>IF(H30&lt;H34,"Die Anforderungen sind gut erfüllt.",IF(AND(H30&gt;H34,H30&lt;H35),"Die Anforderungen sind erfüllt.","Die Anforderungen sind nicht erfüllt."))</f>
        <v>Die Anforderungen sind gut erfüllt.</v>
      </c>
      <c r="I38" s="1056"/>
      <c r="J38" s="1057"/>
    </row>
    <row r="39" spans="2:13" ht="18" customHeight="1">
      <c r="B39" s="1058" t="s">
        <v>1082</v>
      </c>
      <c r="C39" s="1059"/>
      <c r="D39" s="1059"/>
      <c r="E39" s="1059"/>
      <c r="F39" s="1059"/>
      <c r="G39" s="1060"/>
      <c r="H39" s="1055" t="str">
        <f>IF(I30&lt;I34,"Die Anforderungen sind gut erfüllt.",IF(AND(I30&gt;I34,I30&lt;I35),"Die Anforderungen sind erfüllt.","Die Anforderungen sind nicht erfüllt."))</f>
        <v>Die Anforderungen sind gut erfüllt.</v>
      </c>
      <c r="I39" s="1056"/>
      <c r="J39" s="1057"/>
    </row>
    <row r="40" spans="2:13" ht="18" customHeight="1">
      <c r="B40" s="1058" t="s">
        <v>1080</v>
      </c>
      <c r="C40" s="1059"/>
      <c r="D40" s="1059"/>
      <c r="E40" s="1059"/>
      <c r="F40" s="1059"/>
      <c r="G40" s="1060"/>
      <c r="H40" s="1039"/>
      <c r="I40" s="1040"/>
      <c r="J40" s="1044"/>
    </row>
    <row r="41" spans="2:13" ht="18" customHeight="1">
      <c r="B41" s="983" t="str">
        <f>IF(H30&gt;H35,"Ihr Projekt liegt im roten Bereich. Der Grund dafür könnten die getroffenen Annahmen und Vereinfachungen des Tools sein. Bitte nehmen sie Kontakt mit der Zertifizierungsstelle auf.","")</f>
        <v/>
      </c>
    </row>
    <row r="42" spans="2:13" ht="18" customHeight="1">
      <c r="B42" s="516" t="s">
        <v>1088</v>
      </c>
    </row>
    <row r="43" spans="2:13" ht="18" customHeight="1">
      <c r="B43" s="125" t="s">
        <v>1089</v>
      </c>
      <c r="H43" s="1051" t="s">
        <v>1081</v>
      </c>
      <c r="I43" s="1051"/>
      <c r="J43" s="1051"/>
    </row>
    <row r="44" spans="2:13" ht="18" customHeight="1">
      <c r="B44" s="140" t="s">
        <v>1090</v>
      </c>
      <c r="H44" s="511"/>
      <c r="I44" s="510"/>
      <c r="J44" s="509"/>
    </row>
  </sheetData>
  <sheetProtection password="CDC8" sheet="1" objects="1" scenarios="1" selectLockedCells="1"/>
  <mergeCells count="15">
    <mergeCell ref="B39:G39"/>
    <mergeCell ref="H39:J39"/>
    <mergeCell ref="B40:G40"/>
    <mergeCell ref="H40:J40"/>
    <mergeCell ref="H43:J43"/>
    <mergeCell ref="B34:G34"/>
    <mergeCell ref="B35:G35"/>
    <mergeCell ref="B37:J37"/>
    <mergeCell ref="B38:G38"/>
    <mergeCell ref="H38:J38"/>
    <mergeCell ref="B3:J3"/>
    <mergeCell ref="B23:J23"/>
    <mergeCell ref="B24:E24"/>
    <mergeCell ref="B27:G27"/>
    <mergeCell ref="B33:G33"/>
  </mergeCells>
  <conditionalFormatting sqref="H38:J38">
    <cfRule type="expression" dxfId="8" priority="1">
      <formula>$H$30&gt;$H$35</formula>
    </cfRule>
    <cfRule type="expression" dxfId="7" priority="2">
      <formula>AND($H$30&gt;$H$34,$H$30&lt;$H$35)</formula>
    </cfRule>
    <cfRule type="expression" dxfId="6" priority="3">
      <formula>$H$30&lt;$H$34</formula>
    </cfRule>
  </conditionalFormatting>
  <conditionalFormatting sqref="H39:J39">
    <cfRule type="expression" dxfId="5" priority="4">
      <formula>$I$30&gt;$I$35</formula>
    </cfRule>
    <cfRule type="expression" dxfId="4" priority="5">
      <formula>AND($I$30&gt;$I$34,$I$30&lt;$I$35)</formula>
    </cfRule>
    <cfRule type="expression" dxfId="3" priority="6">
      <formula>$I$30&lt;$I$34</formula>
    </cfRule>
  </conditionalFormatting>
  <dataValidations count="3">
    <dataValidation type="list" allowBlank="1" showInputMessage="1" showErrorMessage="1" sqref="E5:E19">
      <formula1>IF(D5="","",INDIRECT(D5))</formula1>
    </dataValidation>
    <dataValidation type="list" allowBlank="1" showInputMessage="1" showErrorMessage="1" sqref="C5:C19">
      <formula1>Auswahl_Energiestandard_mod</formula1>
    </dataValidation>
    <dataValidation type="list" allowBlank="1" showInputMessage="1" showErrorMessage="1" sqref="B5:B19">
      <formula1>Auswahl_Bauteilkategorie_mod</formula1>
    </dataValidation>
  </dataValidations>
  <pageMargins left="0.70866141732283472" right="0.70866141732283472" top="0.78740157480314965" bottom="0.78740157480314965" header="0.31496062992125984" footer="0.31496062992125984"/>
  <pageSetup paperSize="9" scale="46" fitToHeight="0" orientation="portrait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Konstruktionen!$G$128:$G$130</xm:f>
          </x14:formula1>
          <xm:sqref>E25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CL183"/>
  <sheetViews>
    <sheetView view="pageBreakPreview" topLeftCell="A49" zoomScale="70" zoomScaleNormal="75" zoomScaleSheetLayoutView="70" workbookViewId="0">
      <selection activeCell="D66" sqref="D66"/>
    </sheetView>
  </sheetViews>
  <sheetFormatPr baseColWidth="10" defaultRowHeight="15"/>
  <cols>
    <col min="1" max="1" width="26.140625" style="126" customWidth="1"/>
    <col min="2" max="2" width="27.42578125" style="126" customWidth="1"/>
    <col min="3" max="3" width="20.140625" style="126" customWidth="1"/>
    <col min="4" max="6" width="16.7109375" style="126" customWidth="1"/>
    <col min="7" max="7" width="42.42578125" style="126" customWidth="1"/>
    <col min="8" max="8" width="64" style="126" customWidth="1"/>
    <col min="9" max="9" width="29" style="126" customWidth="1"/>
    <col min="10" max="11" width="17.7109375" style="126" customWidth="1"/>
    <col min="12" max="12" width="29" style="126" customWidth="1"/>
    <col min="13" max="14" width="17.7109375" style="126" customWidth="1"/>
    <col min="15" max="15" width="29" style="126" customWidth="1"/>
    <col min="16" max="17" width="17.7109375" style="126" customWidth="1"/>
    <col min="18" max="18" width="29" style="126" customWidth="1"/>
    <col min="19" max="20" width="17.7109375" style="126" customWidth="1"/>
    <col min="21" max="21" width="29" style="126" customWidth="1"/>
    <col min="22" max="23" width="17.7109375" style="126" customWidth="1"/>
    <col min="24" max="24" width="29" style="126" customWidth="1"/>
    <col min="25" max="26" width="17.7109375" style="126" customWidth="1"/>
    <col min="27" max="27" width="29" style="126" customWidth="1"/>
    <col min="28" max="29" width="17.7109375" style="126" customWidth="1"/>
    <col min="30" max="30" width="29" style="126" customWidth="1"/>
    <col min="31" max="32" width="17.7109375" style="126" customWidth="1"/>
    <col min="33" max="33" width="29" style="126" customWidth="1"/>
    <col min="34" max="35" width="17.7109375" style="126" customWidth="1"/>
    <col min="36" max="36" width="29" style="126" customWidth="1"/>
    <col min="37" max="38" width="17.7109375" style="126" customWidth="1"/>
    <col min="39" max="39" width="1.5703125" style="126" customWidth="1"/>
    <col min="40" max="42" width="15.28515625" style="126" customWidth="1"/>
    <col min="43" max="43" width="4.85546875" style="126" customWidth="1"/>
    <col min="44" max="46" width="15.28515625" style="126" customWidth="1"/>
    <col min="47" max="16384" width="11.42578125" style="126"/>
  </cols>
  <sheetData>
    <row r="1" spans="1:30">
      <c r="A1" s="1084" t="s">
        <v>395</v>
      </c>
      <c r="B1" s="1085"/>
      <c r="C1" s="1085"/>
      <c r="D1" s="1085"/>
      <c r="E1" s="1085"/>
      <c r="F1" s="1085"/>
      <c r="G1" s="1086"/>
      <c r="H1" s="139"/>
      <c r="I1" s="139"/>
      <c r="J1" s="139"/>
      <c r="K1" s="139"/>
      <c r="M1" s="839"/>
    </row>
    <row r="2" spans="1:30" ht="26.25">
      <c r="A2" s="138" t="s">
        <v>366</v>
      </c>
      <c r="B2" s="138" t="s">
        <v>410</v>
      </c>
      <c r="C2" s="138" t="s">
        <v>367</v>
      </c>
      <c r="D2" s="138" t="s">
        <v>1166</v>
      </c>
      <c r="E2" s="138" t="s">
        <v>1167</v>
      </c>
      <c r="F2" s="138" t="s">
        <v>1171</v>
      </c>
      <c r="G2" s="138" t="s">
        <v>368</v>
      </c>
      <c r="H2" s="138" t="s">
        <v>1033</v>
      </c>
      <c r="I2" s="138" t="s">
        <v>1073</v>
      </c>
      <c r="J2" s="138" t="s">
        <v>1133</v>
      </c>
      <c r="K2" s="138" t="s">
        <v>450</v>
      </c>
      <c r="M2" s="839"/>
    </row>
    <row r="3" spans="1:30">
      <c r="A3" s="128"/>
      <c r="B3" s="128"/>
      <c r="C3" s="128" t="s">
        <v>1179</v>
      </c>
      <c r="D3" s="128"/>
      <c r="E3" s="128"/>
      <c r="F3" s="128"/>
      <c r="G3" s="919"/>
      <c r="H3" s="128"/>
      <c r="I3" s="128"/>
      <c r="J3" s="128"/>
      <c r="K3" s="128"/>
      <c r="M3" s="839"/>
    </row>
    <row r="4" spans="1:30" ht="30">
      <c r="A4" s="128" t="str">
        <f>A35</f>
        <v>Dach</v>
      </c>
      <c r="B4" s="128" t="s">
        <v>408</v>
      </c>
      <c r="C4" s="128" t="str">
        <f>C35</f>
        <v>MuKen</v>
      </c>
      <c r="D4" s="128" t="s">
        <v>439</v>
      </c>
      <c r="E4" s="128" t="s">
        <v>604</v>
      </c>
      <c r="F4" s="943" t="s">
        <v>1168</v>
      </c>
      <c r="G4" s="945" t="str">
        <f>Konstruktionen!$G$128</f>
        <v>Leichtbauständerkonstruktion, Doppelbeplankung</v>
      </c>
      <c r="H4" s="128" t="s">
        <v>1034</v>
      </c>
      <c r="I4" s="128">
        <v>20</v>
      </c>
      <c r="J4" s="128" t="s">
        <v>381</v>
      </c>
      <c r="K4" s="128" t="s">
        <v>439</v>
      </c>
      <c r="M4" s="839"/>
    </row>
    <row r="5" spans="1:30" ht="30">
      <c r="A5" s="128" t="str">
        <f>A50</f>
        <v>Aussenwand über Terrain</v>
      </c>
      <c r="B5" s="128" t="s">
        <v>409</v>
      </c>
      <c r="C5" s="128" t="str">
        <f>C40</f>
        <v>MINERGIE</v>
      </c>
      <c r="D5" s="128" t="s">
        <v>1134</v>
      </c>
      <c r="E5" s="128" t="s">
        <v>435</v>
      </c>
      <c r="F5" s="943" t="s">
        <v>1169</v>
      </c>
      <c r="G5" s="945" t="str">
        <f>Konstruktionen!$G$129</f>
        <v>Holzständerkonstruktion, gedämmt</v>
      </c>
      <c r="H5" s="128" t="s">
        <v>1035</v>
      </c>
      <c r="I5" s="128">
        <v>30</v>
      </c>
      <c r="J5" s="128" t="s">
        <v>425</v>
      </c>
      <c r="K5" s="128" t="s">
        <v>1134</v>
      </c>
      <c r="M5" s="839"/>
      <c r="O5" s="126" t="s">
        <v>1141</v>
      </c>
    </row>
    <row r="6" spans="1:30" ht="30">
      <c r="A6" s="128" t="str">
        <f>A71</f>
        <v>Aussenwand unter Terrain</v>
      </c>
      <c r="C6" s="128" t="str">
        <f>C45</f>
        <v>MINERGIE_P</v>
      </c>
      <c r="D6" s="128"/>
      <c r="E6" s="128" t="s">
        <v>603</v>
      </c>
      <c r="F6" s="943" t="s">
        <v>1170</v>
      </c>
      <c r="G6" s="944" t="str">
        <f>Konstruktionen!$G$130</f>
        <v>Backstein Mauerwerk, verputzt</v>
      </c>
      <c r="H6" s="128" t="s">
        <v>1036</v>
      </c>
      <c r="I6" s="128">
        <v>40</v>
      </c>
      <c r="J6" s="128"/>
      <c r="K6" s="128"/>
      <c r="M6" s="839"/>
      <c r="O6" s="128" t="s">
        <v>408</v>
      </c>
      <c r="P6" s="832" t="s">
        <v>1136</v>
      </c>
      <c r="Q6" s="832" t="s">
        <v>381</v>
      </c>
      <c r="R6" s="833" t="s">
        <v>382</v>
      </c>
      <c r="U6" s="128" t="s">
        <v>409</v>
      </c>
      <c r="V6" s="832" t="s">
        <v>1136</v>
      </c>
      <c r="W6" s="832" t="s">
        <v>381</v>
      </c>
      <c r="X6" s="833" t="s">
        <v>382</v>
      </c>
    </row>
    <row r="7" spans="1:30">
      <c r="A7" s="128" t="str">
        <f>A116</f>
        <v>Fenster</v>
      </c>
      <c r="B7" s="128"/>
      <c r="C7" s="128"/>
      <c r="D7" s="128"/>
      <c r="E7" s="128"/>
      <c r="F7" s="128"/>
      <c r="H7" s="128" t="s">
        <v>1037</v>
      </c>
      <c r="I7" s="128">
        <v>60</v>
      </c>
      <c r="J7" s="128"/>
      <c r="K7" s="128"/>
      <c r="M7" s="839"/>
      <c r="N7" s="126">
        <v>1</v>
      </c>
      <c r="O7" s="834" t="s">
        <v>383</v>
      </c>
      <c r="P7" s="835">
        <v>0.2</v>
      </c>
      <c r="Q7" s="835">
        <v>0.15</v>
      </c>
      <c r="R7" s="836">
        <v>0.1</v>
      </c>
      <c r="T7" s="126">
        <v>1</v>
      </c>
      <c r="U7" s="834" t="s">
        <v>383</v>
      </c>
      <c r="V7" s="835">
        <v>0.25</v>
      </c>
      <c r="W7" s="835">
        <v>0.25</v>
      </c>
      <c r="X7" s="836">
        <v>0.2</v>
      </c>
      <c r="AD7" s="126">
        <f>(VLOOKUP(I35,KBOB,10,FALSE)*J35)</f>
        <v>188.46187975273597</v>
      </c>
    </row>
    <row r="8" spans="1:30">
      <c r="A8" s="128" t="str">
        <f>A86</f>
        <v>Boden gegen unbeheizt</v>
      </c>
      <c r="B8" s="128"/>
      <c r="C8" s="128"/>
      <c r="D8" s="128"/>
      <c r="E8" s="128"/>
      <c r="F8" s="128"/>
      <c r="G8" s="128"/>
      <c r="H8" s="128" t="s">
        <v>1038</v>
      </c>
      <c r="I8" s="128">
        <v>1</v>
      </c>
      <c r="J8" s="128"/>
      <c r="K8" s="128"/>
      <c r="M8" s="839"/>
      <c r="N8" s="126">
        <v>2</v>
      </c>
      <c r="O8" s="834" t="s">
        <v>384</v>
      </c>
      <c r="P8" s="835">
        <v>0.25</v>
      </c>
      <c r="Q8" s="835">
        <v>0.2</v>
      </c>
      <c r="R8" s="836">
        <v>0.15</v>
      </c>
      <c r="T8" s="126">
        <v>2</v>
      </c>
      <c r="U8" s="834" t="s">
        <v>384</v>
      </c>
      <c r="V8" s="835">
        <v>0.28000000000000003</v>
      </c>
      <c r="W8" s="835">
        <v>0.25</v>
      </c>
      <c r="X8" s="836">
        <v>0.2</v>
      </c>
    </row>
    <row r="9" spans="1:30">
      <c r="A9" s="128" t="str">
        <f>A101</f>
        <v>Boden gegen Erdreich</v>
      </c>
      <c r="B9" s="128"/>
      <c r="C9" s="128"/>
      <c r="D9" s="128"/>
      <c r="E9" s="128"/>
      <c r="F9" s="128"/>
      <c r="G9" s="128"/>
      <c r="H9" s="128" t="s">
        <v>1039</v>
      </c>
      <c r="I9" s="128"/>
      <c r="J9" s="128"/>
      <c r="K9" s="128"/>
      <c r="M9" s="839"/>
      <c r="N9" s="126">
        <v>3</v>
      </c>
      <c r="O9" s="834" t="s">
        <v>385</v>
      </c>
      <c r="P9" s="835">
        <v>0.2</v>
      </c>
      <c r="Q9" s="835">
        <v>0.15</v>
      </c>
      <c r="R9" s="836">
        <v>0.1</v>
      </c>
      <c r="T9" s="126">
        <v>3</v>
      </c>
      <c r="U9" s="834" t="s">
        <v>385</v>
      </c>
      <c r="V9" s="835">
        <v>0.25</v>
      </c>
      <c r="W9" s="835">
        <v>0.25</v>
      </c>
      <c r="X9" s="836">
        <v>0.2</v>
      </c>
    </row>
    <row r="10" spans="1:30">
      <c r="A10" s="128"/>
      <c r="B10" s="128"/>
      <c r="C10" s="128"/>
      <c r="D10" s="128"/>
      <c r="E10" s="128"/>
      <c r="F10" s="128"/>
      <c r="G10" s="128"/>
      <c r="H10" s="128" t="s">
        <v>1040</v>
      </c>
      <c r="I10" s="128"/>
      <c r="J10" s="128"/>
      <c r="K10" s="128"/>
      <c r="M10" s="839"/>
      <c r="N10" s="126">
        <v>4</v>
      </c>
      <c r="O10" s="834" t="s">
        <v>1137</v>
      </c>
      <c r="P10" s="835">
        <v>0.2</v>
      </c>
      <c r="Q10" s="835">
        <v>0.15</v>
      </c>
      <c r="R10" s="836">
        <v>0.1</v>
      </c>
      <c r="T10" s="126">
        <v>4</v>
      </c>
      <c r="U10" s="834" t="s">
        <v>1137</v>
      </c>
      <c r="V10" s="835">
        <v>0.25</v>
      </c>
      <c r="W10" s="835">
        <v>0.25</v>
      </c>
      <c r="X10" s="836">
        <v>0.2</v>
      </c>
    </row>
    <row r="11" spans="1:30">
      <c r="A11" s="128"/>
      <c r="B11" s="128"/>
      <c r="C11" s="128"/>
      <c r="D11" s="128"/>
      <c r="E11" s="128"/>
      <c r="F11" s="128"/>
      <c r="G11" s="128"/>
      <c r="H11" s="128" t="s">
        <v>1007</v>
      </c>
      <c r="I11" s="128"/>
      <c r="J11" s="128"/>
      <c r="K11" s="128"/>
      <c r="M11" s="839"/>
      <c r="N11" s="126">
        <v>5</v>
      </c>
      <c r="O11" s="834" t="s">
        <v>1022</v>
      </c>
      <c r="P11" s="835">
        <v>0.2</v>
      </c>
      <c r="Q11" s="835">
        <v>0.15</v>
      </c>
      <c r="R11" s="836">
        <v>0.1</v>
      </c>
      <c r="T11" s="126">
        <v>5</v>
      </c>
      <c r="U11" s="834" t="s">
        <v>1022</v>
      </c>
      <c r="V11" s="835">
        <v>0.25</v>
      </c>
      <c r="W11" s="835">
        <v>0.25</v>
      </c>
      <c r="X11" s="836">
        <v>0.2</v>
      </c>
    </row>
    <row r="12" spans="1:30">
      <c r="A12" s="128"/>
      <c r="B12" s="128"/>
      <c r="C12" s="128"/>
      <c r="D12" s="128"/>
      <c r="E12" s="128"/>
      <c r="F12" s="128"/>
      <c r="G12" s="128"/>
      <c r="H12" s="128" t="s">
        <v>1041</v>
      </c>
      <c r="I12" s="128"/>
      <c r="J12" s="128"/>
      <c r="K12" s="128"/>
      <c r="M12" s="839"/>
      <c r="N12" s="126">
        <v>6</v>
      </c>
      <c r="O12" s="130" t="s">
        <v>1138</v>
      </c>
      <c r="P12" s="837">
        <v>1.3</v>
      </c>
      <c r="Q12" s="837">
        <v>1</v>
      </c>
      <c r="R12" s="838">
        <v>0.8</v>
      </c>
      <c r="T12" s="126">
        <v>6</v>
      </c>
      <c r="U12" s="130" t="s">
        <v>1138</v>
      </c>
      <c r="V12" s="837">
        <v>1.3</v>
      </c>
      <c r="W12" s="837">
        <v>1</v>
      </c>
      <c r="X12" s="838">
        <v>0.8</v>
      </c>
    </row>
    <row r="13" spans="1:30">
      <c r="A13" s="128"/>
      <c r="B13" s="128"/>
      <c r="C13" s="128"/>
      <c r="D13" s="128"/>
      <c r="E13" s="128"/>
      <c r="F13" s="128"/>
      <c r="G13" s="128"/>
      <c r="H13" s="128" t="s">
        <v>1042</v>
      </c>
      <c r="I13" s="128"/>
      <c r="J13" s="128"/>
      <c r="K13" s="128"/>
      <c r="M13" s="839"/>
    </row>
    <row r="14" spans="1:30">
      <c r="A14" s="128"/>
      <c r="B14" s="128"/>
      <c r="C14" s="128"/>
      <c r="D14" s="128"/>
      <c r="E14" s="128"/>
      <c r="F14" s="128"/>
      <c r="G14" s="128"/>
      <c r="H14" s="128" t="s">
        <v>1043</v>
      </c>
      <c r="I14" s="128"/>
      <c r="J14" s="128"/>
      <c r="K14" s="128"/>
      <c r="M14" s="839"/>
      <c r="O14" s="842" t="s">
        <v>1140</v>
      </c>
      <c r="U14" s="842" t="s">
        <v>1148</v>
      </c>
    </row>
    <row r="15" spans="1:30">
      <c r="A15" s="128"/>
      <c r="B15" s="128"/>
      <c r="C15" s="128"/>
      <c r="D15" s="128"/>
      <c r="E15" s="128"/>
      <c r="F15" s="128"/>
      <c r="G15" s="128"/>
      <c r="H15" s="128" t="s">
        <v>1044</v>
      </c>
      <c r="I15" s="128"/>
      <c r="J15" s="128"/>
      <c r="K15" s="128"/>
      <c r="M15" s="839"/>
      <c r="N15" s="126">
        <v>1</v>
      </c>
      <c r="O15" s="842" t="s">
        <v>1142</v>
      </c>
      <c r="T15" s="126">
        <v>1</v>
      </c>
      <c r="U15" s="842" t="s">
        <v>1142</v>
      </c>
    </row>
    <row r="16" spans="1:30">
      <c r="A16" s="128"/>
      <c r="B16" s="128"/>
      <c r="C16" s="128"/>
      <c r="D16" s="128"/>
      <c r="E16" s="128"/>
      <c r="F16" s="128"/>
      <c r="G16" s="128"/>
      <c r="H16" s="128" t="s">
        <v>1045</v>
      </c>
      <c r="I16" s="128"/>
      <c r="J16" s="128"/>
      <c r="K16" s="128"/>
      <c r="M16" s="839"/>
      <c r="N16" s="126">
        <v>2</v>
      </c>
      <c r="O16" s="843" t="s">
        <v>1143</v>
      </c>
      <c r="T16" s="126">
        <v>2</v>
      </c>
      <c r="U16" s="843" t="s">
        <v>1143</v>
      </c>
    </row>
    <row r="17" spans="1:21">
      <c r="A17" s="128"/>
      <c r="B17" s="128"/>
      <c r="C17" s="128"/>
      <c r="D17" s="128"/>
      <c r="E17" s="128"/>
      <c r="F17" s="128"/>
      <c r="G17" s="128"/>
      <c r="H17" s="128" t="s">
        <v>1046</v>
      </c>
      <c r="I17" s="128"/>
      <c r="J17" s="128"/>
      <c r="K17" s="128"/>
      <c r="M17" s="839"/>
      <c r="N17" s="126">
        <v>3</v>
      </c>
      <c r="O17" s="843" t="s">
        <v>1144</v>
      </c>
      <c r="T17" s="126">
        <v>3</v>
      </c>
      <c r="U17" s="843" t="s">
        <v>1144</v>
      </c>
    </row>
    <row r="18" spans="1:21">
      <c r="A18" s="128"/>
      <c r="B18" s="128"/>
      <c r="C18" s="128"/>
      <c r="D18" s="128"/>
      <c r="E18" s="128"/>
      <c r="F18" s="128"/>
      <c r="G18" s="128"/>
      <c r="H18" s="128" t="s">
        <v>1047</v>
      </c>
      <c r="I18" s="128"/>
      <c r="J18" s="128"/>
      <c r="K18" s="128"/>
      <c r="M18" s="839"/>
      <c r="N18" s="126">
        <v>4</v>
      </c>
      <c r="O18" s="843" t="s">
        <v>1145</v>
      </c>
      <c r="T18" s="126">
        <v>4</v>
      </c>
      <c r="U18" s="843" t="s">
        <v>1145</v>
      </c>
    </row>
    <row r="19" spans="1:21">
      <c r="A19" s="128"/>
      <c r="B19" s="128"/>
      <c r="C19" s="128"/>
      <c r="D19" s="128"/>
      <c r="E19" s="128"/>
      <c r="F19" s="128"/>
      <c r="G19" s="128"/>
      <c r="H19" s="128" t="s">
        <v>1048</v>
      </c>
      <c r="I19" s="128"/>
      <c r="J19" s="128"/>
      <c r="K19" s="128"/>
      <c r="M19" s="839"/>
      <c r="N19" s="126">
        <v>5</v>
      </c>
      <c r="O19" s="843" t="s">
        <v>1146</v>
      </c>
      <c r="T19" s="126">
        <v>5</v>
      </c>
      <c r="U19" s="843" t="s">
        <v>1146</v>
      </c>
    </row>
    <row r="20" spans="1:21">
      <c r="A20" s="128"/>
      <c r="B20" s="128"/>
      <c r="C20" s="128"/>
      <c r="D20" s="128"/>
      <c r="E20" s="128"/>
      <c r="F20" s="128"/>
      <c r="G20" s="128"/>
      <c r="H20" s="128" t="s">
        <v>1049</v>
      </c>
      <c r="I20" s="128"/>
      <c r="J20" s="128"/>
      <c r="K20" s="128"/>
      <c r="M20" s="839"/>
      <c r="N20" s="126">
        <v>6</v>
      </c>
      <c r="O20" s="843" t="s">
        <v>1147</v>
      </c>
      <c r="T20" s="126">
        <v>6</v>
      </c>
      <c r="U20" s="843" t="s">
        <v>1147</v>
      </c>
    </row>
    <row r="21" spans="1:21">
      <c r="A21" s="128"/>
      <c r="B21" s="128"/>
      <c r="C21" s="128"/>
      <c r="D21" s="128"/>
      <c r="E21" s="128"/>
      <c r="F21" s="128"/>
      <c r="G21" s="128"/>
      <c r="H21" s="128" t="s">
        <v>1050</v>
      </c>
      <c r="I21" s="128"/>
      <c r="J21" s="128"/>
      <c r="K21" s="128"/>
      <c r="M21" s="839"/>
    </row>
    <row r="22" spans="1:21">
      <c r="A22" s="128"/>
      <c r="B22" s="128"/>
      <c r="C22" s="128"/>
      <c r="D22" s="128"/>
      <c r="E22" s="128"/>
      <c r="F22" s="128"/>
      <c r="G22" s="128"/>
      <c r="H22" s="128" t="s">
        <v>1051</v>
      </c>
      <c r="I22" s="128"/>
      <c r="J22" s="128"/>
      <c r="K22" s="128"/>
      <c r="M22" s="839"/>
    </row>
    <row r="23" spans="1:21">
      <c r="A23" s="128"/>
      <c r="B23" s="128"/>
      <c r="C23" s="128"/>
      <c r="D23" s="128"/>
      <c r="E23" s="128"/>
      <c r="F23" s="128"/>
      <c r="G23" s="128"/>
      <c r="H23" s="128" t="s">
        <v>1052</v>
      </c>
      <c r="I23" s="128"/>
      <c r="J23" s="128"/>
      <c r="K23" s="128"/>
      <c r="M23" s="839"/>
    </row>
    <row r="24" spans="1:21">
      <c r="A24" s="128"/>
      <c r="B24" s="128"/>
      <c r="C24" s="128"/>
      <c r="D24" s="128"/>
      <c r="E24" s="128"/>
      <c r="F24" s="128"/>
      <c r="G24" s="128"/>
      <c r="H24" s="128" t="s">
        <v>1053</v>
      </c>
      <c r="I24" s="128"/>
      <c r="J24" s="128"/>
      <c r="K24" s="128"/>
      <c r="M24" s="839"/>
    </row>
    <row r="25" spans="1:21">
      <c r="A25" s="128"/>
      <c r="B25" s="128"/>
      <c r="C25" s="128"/>
      <c r="D25" s="128"/>
      <c r="E25" s="128"/>
      <c r="F25" s="128"/>
      <c r="G25" s="128"/>
      <c r="H25" s="128" t="s">
        <v>1054</v>
      </c>
      <c r="I25" s="128"/>
      <c r="J25" s="128"/>
      <c r="K25" s="128"/>
      <c r="M25" s="839"/>
    </row>
    <row r="26" spans="1:21">
      <c r="A26" s="128"/>
      <c r="B26" s="128"/>
      <c r="C26" s="128"/>
      <c r="D26" s="128"/>
      <c r="E26" s="128"/>
      <c r="F26" s="128"/>
      <c r="G26" s="128"/>
      <c r="H26" s="128" t="s">
        <v>1055</v>
      </c>
      <c r="I26" s="128"/>
      <c r="J26" s="128"/>
      <c r="K26" s="128"/>
      <c r="M26" s="839"/>
    </row>
    <row r="27" spans="1:21">
      <c r="A27" s="128"/>
      <c r="B27" s="128"/>
      <c r="C27" s="128"/>
      <c r="D27" s="128"/>
      <c r="E27" s="128"/>
      <c r="F27" s="128"/>
      <c r="G27" s="128"/>
      <c r="H27" s="128" t="s">
        <v>1056</v>
      </c>
      <c r="I27" s="128"/>
      <c r="J27" s="128"/>
      <c r="K27" s="128"/>
      <c r="M27" s="839"/>
    </row>
    <row r="28" spans="1:21">
      <c r="A28" s="128"/>
      <c r="B28" s="128"/>
      <c r="C28" s="128"/>
      <c r="D28" s="128"/>
      <c r="E28" s="128"/>
      <c r="F28" s="128"/>
      <c r="G28" s="128"/>
      <c r="H28" s="128" t="s">
        <v>1057</v>
      </c>
      <c r="I28" s="128"/>
      <c r="J28" s="128"/>
      <c r="K28" s="128"/>
      <c r="M28" s="839"/>
    </row>
    <row r="29" spans="1:21" ht="15.75" thickBot="1">
      <c r="A29" s="132"/>
      <c r="B29" s="132"/>
      <c r="C29" s="132"/>
      <c r="D29" s="132"/>
      <c r="E29" s="132"/>
      <c r="F29" s="132"/>
      <c r="G29" s="132"/>
      <c r="H29" s="132" t="s">
        <v>1058</v>
      </c>
      <c r="I29" s="132"/>
      <c r="J29" s="132"/>
      <c r="K29" s="132"/>
      <c r="M29" s="839"/>
    </row>
    <row r="30" spans="1:21">
      <c r="M30" s="839"/>
    </row>
    <row r="31" spans="1:21" s="578" customFormat="1" ht="44.25" customHeight="1">
      <c r="A31" s="579" t="s">
        <v>1111</v>
      </c>
      <c r="B31" s="577"/>
      <c r="C31" s="577"/>
      <c r="D31" s="577"/>
      <c r="E31" s="577"/>
      <c r="F31" s="577"/>
      <c r="H31" s="577"/>
    </row>
    <row r="32" spans="1:21">
      <c r="A32" s="518"/>
      <c r="B32" s="518"/>
      <c r="C32" s="518"/>
      <c r="D32" s="518"/>
      <c r="E32" s="518"/>
      <c r="F32" s="518"/>
      <c r="H32" s="518"/>
    </row>
    <row r="33" spans="1:90" ht="15" customHeight="1">
      <c r="G33" s="537"/>
      <c r="H33" s="537"/>
      <c r="I33" s="537"/>
      <c r="J33" s="537"/>
      <c r="K33" s="537"/>
      <c r="L33" s="537"/>
      <c r="M33" s="537"/>
      <c r="N33" s="537"/>
      <c r="O33" s="537"/>
      <c r="P33" s="537"/>
      <c r="Q33" s="537"/>
      <c r="R33" s="537"/>
      <c r="S33" s="537"/>
      <c r="T33" s="537"/>
      <c r="U33" s="537"/>
      <c r="V33" s="537"/>
      <c r="W33" s="537"/>
      <c r="X33" s="537"/>
      <c r="Y33" s="537"/>
      <c r="Z33" s="537"/>
      <c r="AA33" s="537"/>
      <c r="AB33" s="537"/>
      <c r="AC33" s="537"/>
      <c r="AD33" s="537"/>
      <c r="AE33" s="537"/>
      <c r="AF33" s="537"/>
      <c r="AG33" s="537"/>
      <c r="AH33" s="537"/>
      <c r="AI33" s="537"/>
      <c r="AJ33" s="537"/>
      <c r="AK33" s="537"/>
      <c r="AL33" s="537"/>
      <c r="AR33" s="1070" t="s">
        <v>409</v>
      </c>
      <c r="AS33" s="1070"/>
      <c r="AT33" s="1070"/>
    </row>
    <row r="34" spans="1:90" ht="42" customHeight="1">
      <c r="A34" s="138" t="s">
        <v>366</v>
      </c>
      <c r="B34" s="138" t="s">
        <v>396</v>
      </c>
      <c r="C34" s="138" t="s">
        <v>367</v>
      </c>
      <c r="D34" s="138" t="s">
        <v>1091</v>
      </c>
      <c r="E34" s="138" t="s">
        <v>1094</v>
      </c>
      <c r="F34" s="138" t="s">
        <v>1095</v>
      </c>
      <c r="G34" s="138" t="s">
        <v>368</v>
      </c>
      <c r="H34" s="138" t="s">
        <v>407</v>
      </c>
      <c r="I34" s="138" t="s">
        <v>369</v>
      </c>
      <c r="J34" s="138" t="s">
        <v>388</v>
      </c>
      <c r="K34" s="138" t="s">
        <v>1074</v>
      </c>
      <c r="L34" s="138" t="s">
        <v>370</v>
      </c>
      <c r="M34" s="138" t="s">
        <v>389</v>
      </c>
      <c r="N34" s="138" t="s">
        <v>1074</v>
      </c>
      <c r="O34" s="138" t="s">
        <v>371</v>
      </c>
      <c r="P34" s="138" t="s">
        <v>390</v>
      </c>
      <c r="Q34" s="138" t="s">
        <v>1074</v>
      </c>
      <c r="R34" s="138" t="s">
        <v>372</v>
      </c>
      <c r="S34" s="138" t="s">
        <v>391</v>
      </c>
      <c r="T34" s="138" t="s">
        <v>1074</v>
      </c>
      <c r="U34" s="138" t="s">
        <v>373</v>
      </c>
      <c r="V34" s="138" t="s">
        <v>392</v>
      </c>
      <c r="W34" s="138" t="s">
        <v>1074</v>
      </c>
      <c r="X34" s="138" t="s">
        <v>374</v>
      </c>
      <c r="Y34" s="138" t="s">
        <v>393</v>
      </c>
      <c r="Z34" s="138" t="s">
        <v>1074</v>
      </c>
      <c r="AA34" s="138" t="s">
        <v>375</v>
      </c>
      <c r="AB34" s="138" t="s">
        <v>394</v>
      </c>
      <c r="AC34" s="138" t="s">
        <v>1074</v>
      </c>
      <c r="AD34" s="138" t="s">
        <v>376</v>
      </c>
      <c r="AE34" s="138" t="s">
        <v>387</v>
      </c>
      <c r="AF34" s="138" t="s">
        <v>1074</v>
      </c>
      <c r="AG34" s="138" t="s">
        <v>377</v>
      </c>
      <c r="AH34" s="138" t="s">
        <v>386</v>
      </c>
      <c r="AI34" s="138" t="s">
        <v>1074</v>
      </c>
      <c r="AJ34" s="138" t="s">
        <v>378</v>
      </c>
      <c r="AK34" s="138" t="s">
        <v>379</v>
      </c>
      <c r="AL34" s="138" t="s">
        <v>1074</v>
      </c>
      <c r="AM34" s="567"/>
      <c r="AN34" s="138" t="s">
        <v>1075</v>
      </c>
      <c r="AO34" s="138" t="s">
        <v>1076</v>
      </c>
      <c r="AP34" s="138" t="s">
        <v>1077</v>
      </c>
      <c r="AR34" s="138" t="s">
        <v>1075</v>
      </c>
      <c r="AS34" s="138" t="s">
        <v>1076</v>
      </c>
      <c r="AT34" s="138" t="s">
        <v>1077</v>
      </c>
    </row>
    <row r="35" spans="1:90" s="128" customFormat="1" ht="42.75" customHeight="1">
      <c r="A35" s="1064" t="s">
        <v>383</v>
      </c>
      <c r="B35" s="1064" t="str">
        <f>"_D"</f>
        <v>_D</v>
      </c>
      <c r="C35" s="1064" t="s">
        <v>380</v>
      </c>
      <c r="D35" s="564" t="s">
        <v>1093</v>
      </c>
      <c r="E35" s="845">
        <v>0.23</v>
      </c>
      <c r="F35" s="564">
        <v>0.04</v>
      </c>
      <c r="G35" s="565" t="s">
        <v>1092</v>
      </c>
      <c r="H35" s="557" t="str">
        <f>G35&amp;"_"&amp;$C$35&amp;$B$35</f>
        <v>Schrägdach: Sparrenlage mit zwischenliegender Wärmedämmung (Kaltdach)_MuKen_D</v>
      </c>
      <c r="I35" s="497" t="s">
        <v>88</v>
      </c>
      <c r="J35" s="531">
        <v>47</v>
      </c>
      <c r="K35" s="520">
        <v>40</v>
      </c>
      <c r="L35" s="497" t="s">
        <v>181</v>
      </c>
      <c r="M35" s="557">
        <v>4</v>
      </c>
      <c r="N35" s="557">
        <v>40</v>
      </c>
      <c r="O35" s="531" t="s">
        <v>181</v>
      </c>
      <c r="P35" s="557">
        <v>4</v>
      </c>
      <c r="Q35" s="557">
        <v>40</v>
      </c>
      <c r="R35" s="566" t="s">
        <v>167</v>
      </c>
      <c r="S35" s="521">
        <v>5.4</v>
      </c>
      <c r="T35" s="521">
        <v>40</v>
      </c>
      <c r="U35" s="497" t="s">
        <v>177</v>
      </c>
      <c r="V35" s="497">
        <v>20.3</v>
      </c>
      <c r="W35" s="497">
        <v>60</v>
      </c>
      <c r="X35" s="531" t="s">
        <v>249</v>
      </c>
      <c r="Y35" s="844">
        <v>6.9</v>
      </c>
      <c r="Z35" s="557">
        <v>40</v>
      </c>
      <c r="AA35" s="497" t="s">
        <v>215</v>
      </c>
      <c r="AB35" s="521">
        <v>0.2</v>
      </c>
      <c r="AC35" s="521">
        <v>30</v>
      </c>
      <c r="AD35" s="497" t="s">
        <v>177</v>
      </c>
      <c r="AE35" s="521">
        <v>1.3</v>
      </c>
      <c r="AF35" s="521">
        <v>30</v>
      </c>
      <c r="AG35" s="531" t="s">
        <v>179</v>
      </c>
      <c r="AH35" s="521">
        <v>6.1</v>
      </c>
      <c r="AI35" s="521">
        <v>30</v>
      </c>
      <c r="AJ35" s="893" t="s">
        <v>338</v>
      </c>
      <c r="AK35" s="894">
        <v>0.3</v>
      </c>
      <c r="AL35" s="894">
        <v>30</v>
      </c>
      <c r="AM35" s="521"/>
      <c r="AN35" s="495">
        <f t="shared" ref="AN35:AN72" si="0">SUM(((VLOOKUP(I35,KBOB,10,FALSE)*J35)/K35),((VLOOKUP(L35,KBOB,10,FALSE)*M35)/N35),((VLOOKUP(O35,KBOB,10,FALSE)*P35)/Q35),((VLOOKUP(R35,KBOB,10,FALSE)*S35)/T35),((VLOOKUP(U35,KBOB,10,FALSE)*V35)/W35),((VLOOKUP(X35,KBOB,10,FALSE)*Y35)/Z35),((VLOOKUP(AA35,KBOB,10,FALSE)*AB35)/AC35),((VLOOKUP(AD35,KBOB,10,FALSE)*AE35)/AF35),((VLOOKUP(AG35,KBOB,10,FALSE)*AH35)/AI35),((VLOOKUP(AJ35,KBOB,10,FALSE)*AK35)/AL35))</f>
        <v>11.741247647794346</v>
      </c>
      <c r="AO35" s="495">
        <f t="shared" ref="AO35:AO66" si="1">SUM(((VLOOKUP(I35,KBOB,13,FALSE)*J35)/K35),((VLOOKUP(L35,KBOB,13,FALSE)*M35)/N35),((VLOOKUP(O35,KBOB,13,FALSE)*P35)/Q35),((VLOOKUP(R35,KBOB,13,FALSE)*S35)/T35),((VLOOKUP(U35,KBOB,13,FALSE)*V35)/W35),((VLOOKUP(X35,KBOB,13,FALSE)*Y35)/Z35),((VLOOKUP(AA35,KBOB,13,FALSE)*AB35)/AC35),((VLOOKUP(AD35,KBOB,13,FALSE)*AE35)/AF35),((VLOOKUP(AG35,KBOB,13,FALSE)*AH35)/AI35),((VLOOKUP(AJ35,KBOB,13,FALSE)*AK35)/AL35))</f>
        <v>0.84646108020527955</v>
      </c>
      <c r="AP35" s="495">
        <f t="shared" ref="AP35:AP72" si="2">SUM(((VLOOKUP(I35,KBOB,4,FALSE)*J35)/K35),((VLOOKUP(L35,KBOB,4,FALSE)*M35)/N35),((VLOOKUP(O35,KBOB,4,FALSE)*P35)/Q35),((VLOOKUP(R35,KBOB,4,FALSE)*S35)/T35),((VLOOKUP(U35,KBOB,4,FALSE)*V35)/W35),((VLOOKUP(X35,KBOB,4,FALSE)*Y35)/Z35),((VLOOKUP(AA35,KBOB,4,FALSE)*AB35)/AC35),((VLOOKUP(AD35,KBOB,4,FALSE)*AE35)/AF35),((VLOOKUP(AG35,KBOB,4,FALSE)*AH35)/AI35),((VLOOKUP(AJ35,KBOB,4,FALSE)*AK35)/AL35))</f>
        <v>1190.6807555227663</v>
      </c>
      <c r="AQ35" s="126"/>
      <c r="AR35" s="936">
        <f>SUM(((VLOOKUP(I35,KBOB,10,FALSE)*J35)/K35),((VLOOKUP(L35,KBOB,10,FALSE)*M35)/N35),((VLOOKUP(O35,KBOB,10,FALSE)*P35)/Q35),((VLOOKUP(R35,KBOB,10,FALSE)*S35)/T35),((VLOOKUP(X35,KBOB,10,FALSE)*Y35)/Z35),((VLOOKUP(AA35,KBOB,10,FALSE)*AB35)/AC35),((VLOOKUP(AD35,KBOB,10,FALSE)*AE35)/AF35),((VLOOKUP(AG35,KBOB,10,FALSE)*AH35)/AI35),((VLOOKUP(AJ35,KBOB,10,FALSE)*AK35)/AL35))</f>
        <v>11.130929760758489</v>
      </c>
      <c r="AS35" s="936">
        <f>SUM(((VLOOKUP(I35,KBOB,13,FALSE)*J35)/K35),((VLOOKUP(L35,KBOB,13,FALSE)*M35)/N35),((VLOOKUP(O35,KBOB,13,FALSE)*P35)/Q35),((VLOOKUP(R35,KBOB,13,FALSE)*S35)/T35),((VLOOKUP(X35,KBOB,13,FALSE)*Y35)/Z35),((VLOOKUP(AA35,KBOB,13,FALSE)*AB35)/AC35),((VLOOKUP(AD35,KBOB,13,FALSE)*AE35)/AF35),((VLOOKUP(AG35,KBOB,13,FALSE)*AH35)/AI35),((VLOOKUP(AJ35,KBOB,13,FALSE)*AK35)/AL35))</f>
        <v>0.81714562125135359</v>
      </c>
      <c r="AT35" s="936">
        <f>SUM(((VLOOKUP(I35,KBOB,4,FALSE)*J35)/K35),((VLOOKUP(L35,KBOB,4,FALSE)*M35)/N35),((VLOOKUP(O35,KBOB,4,FALSE)*P35)/Q35),((VLOOKUP(R35,KBOB,4,FALSE)*S35)/T35),((VLOOKUP(X35,KBOB,4,FALSE)*Y35)/Z35),((VLOOKUP(AA35,KBOB,4,FALSE)*AB35)/AC35),((VLOOKUP(AD35,KBOB,4,FALSE)*AE35)/AF35),((VLOOKUP(AG35,KBOB,4,FALSE)*AH35)/AI35),((VLOOKUP(AJ35,KBOB,4,FALSE)*AK35)/AL35))</f>
        <v>991.76480995012435</v>
      </c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</row>
    <row r="36" spans="1:90" s="558" customFormat="1" ht="27.75" customHeight="1">
      <c r="A36" s="1065"/>
      <c r="B36" s="1065"/>
      <c r="C36" s="1065"/>
      <c r="D36" s="556" t="s">
        <v>1096</v>
      </c>
      <c r="E36" s="848">
        <v>0.18</v>
      </c>
      <c r="F36" s="556">
        <v>3.7999999999999999E-2</v>
      </c>
      <c r="G36" s="557" t="s">
        <v>1250</v>
      </c>
      <c r="H36" s="520" t="str">
        <f>G36&amp;"_"&amp;$C$35&amp;$B$35</f>
        <v>Flachdach: Betondecke (Warmdach), Dämmung: EPS_MuKen_D</v>
      </c>
      <c r="I36" s="497" t="s">
        <v>82</v>
      </c>
      <c r="J36" s="497">
        <v>100</v>
      </c>
      <c r="K36" s="520">
        <v>30</v>
      </c>
      <c r="L36" s="497" t="s">
        <v>217</v>
      </c>
      <c r="M36" s="520">
        <v>9.3000000000000007</v>
      </c>
      <c r="N36" s="520">
        <v>30</v>
      </c>
      <c r="O36" s="497" t="s">
        <v>238</v>
      </c>
      <c r="P36" s="849">
        <v>5.4</v>
      </c>
      <c r="Q36" s="520">
        <v>30</v>
      </c>
      <c r="R36" s="497" t="s">
        <v>213</v>
      </c>
      <c r="S36" s="520">
        <v>4.5999999999999996</v>
      </c>
      <c r="T36" s="520">
        <v>30</v>
      </c>
      <c r="U36" s="497" t="s">
        <v>37</v>
      </c>
      <c r="V36" s="497">
        <v>523.6</v>
      </c>
      <c r="W36" s="497">
        <v>60</v>
      </c>
      <c r="X36" s="497" t="s">
        <v>137</v>
      </c>
      <c r="Y36" s="520">
        <v>17.600000000000001</v>
      </c>
      <c r="Z36" s="520">
        <v>60</v>
      </c>
      <c r="AA36" s="531" t="s">
        <v>161</v>
      </c>
      <c r="AB36" s="520">
        <v>1</v>
      </c>
      <c r="AC36" s="520">
        <v>60</v>
      </c>
      <c r="AD36" s="531" t="s">
        <v>27</v>
      </c>
      <c r="AE36" s="520"/>
      <c r="AF36" s="520">
        <v>1</v>
      </c>
      <c r="AG36" s="497" t="s">
        <v>27</v>
      </c>
      <c r="AH36" s="520"/>
      <c r="AI36" s="520">
        <v>1</v>
      </c>
      <c r="AJ36" s="893" t="s">
        <v>338</v>
      </c>
      <c r="AK36" s="894">
        <v>0.3</v>
      </c>
      <c r="AL36" s="894">
        <v>30</v>
      </c>
      <c r="AM36" s="520"/>
      <c r="AN36" s="495">
        <f>SUM(((VLOOKUP(I36,KBOB,10,FALSE)*J36)/K36),((VLOOKUP(L36,KBOB,10,FALSE)*M36)/N36),((VLOOKUP(O36,KBOB,10,FALSE)*P36)/Q36),((VLOOKUP(R36,KBOB,10,FALSE)*S36)/T36),((VLOOKUP(U36,KBOB,10,FALSE)*V36)/W36),((VLOOKUP(X36,KBOB,10,FALSE)*Y36)/Z36),((VLOOKUP(AA36,KBOB,10,FALSE)*AB36)/AC36),((VLOOKUP(AD36,KBOB,10,FALSE)*AE36)/AF36),((VLOOKUP(AG36,KBOB,10,FALSE)*AH36)/AI36),((VLOOKUP(AJ36,KBOB,10,FALSE)*AK36)/AL36))</f>
        <v>52.608575248879355</v>
      </c>
      <c r="AO36" s="498">
        <f t="shared" si="1"/>
        <v>4.2044620567417681</v>
      </c>
      <c r="AP36" s="498">
        <f>SUM(((VLOOKUP(I36,KBOB,4,FALSE)*J36)/K36),((VLOOKUP(L36,KBOB,4,FALSE)*M36)/N36),((VLOOKUP(O36,KBOB,4,FALSE)*P36)/Q36),((VLOOKUP(R36,KBOB,4,FALSE)*S36)/T36),((VLOOKUP(U36,KBOB,4,FALSE)*V36)/W36),((VLOOKUP(X36,KBOB,4,FALSE)*Y36)/Z36),((VLOOKUP(AA36,KBOB,4,FALSE)*AB36)/AC36),((VLOOKUP(AD36,KBOB,4,FALSE)*AE36)/AF36),((VLOOKUP(AG36,KBOB,4,FALSE)*AH36)/AI36),((VLOOKUP(AJ36,KBOB,4,FALSE)*AK36)/AL36))</f>
        <v>4246.3308450610675</v>
      </c>
      <c r="AQ36" s="537"/>
      <c r="AR36" s="937">
        <f>SUM(((VLOOKUP(I36,KBOB,10,FALSE)*J36)/K36),((VLOOKUP(L36,KBOB,10,FALSE)*M36)/N36),((VLOOKUP(O36,KBOB,10,FALSE)*P36)/Q36),((VLOOKUP(R36,KBOB,10,FALSE)*S36)/T36),((VLOOKUP(AD36,KBOB,10,FALSE)*AE36)/AF36),((VLOOKUP(AG36,KBOB,10,FALSE)*AH36)/AI36))</f>
        <v>41.608142306904099</v>
      </c>
      <c r="AS36" s="937">
        <f>SUM(((VLOOKUP(I36,KBOB,13,FALSE)*J36)/K36),((VLOOKUP(L36,KBOB,13,FALSE)*M36)/N36),((VLOOKUP(O36,KBOB,13,FALSE)*P36)/Q36),((VLOOKUP(R36,KBOB,13,FALSE)*S36)/T36),((VLOOKUP(AD36,KBOB,13,FALSE)*AE36)/AF36),((VLOOKUP(AG36,KBOB,13,FALSE)*AH36)/AI36))</f>
        <v>2.9226184200000001</v>
      </c>
      <c r="AT36" s="937">
        <f>SUM(((VLOOKUP(I36,KBOB,4,FALSE)*J36)/K36),((VLOOKUP(L36,KBOB,4,FALSE)*M36)/N36),((VLOOKUP(O36,KBOB,4,FALSE)*P36)/Q36),((VLOOKUP(R36,KBOB,4,FALSE)*S36)/T36),((VLOOKUP(AD36,KBOB,4,FALSE)*AE36)/AF36),((VLOOKUP(AG36,KBOB,4,FALSE)*AH36)/AI36))</f>
        <v>2481.5393066666666</v>
      </c>
      <c r="AU36" s="537"/>
      <c r="AV36" s="537"/>
      <c r="AW36" s="537"/>
      <c r="AX36" s="537"/>
      <c r="AY36" s="537"/>
      <c r="AZ36" s="537"/>
      <c r="BA36" s="537"/>
      <c r="BB36" s="537"/>
      <c r="BC36" s="537"/>
      <c r="BD36" s="537"/>
      <c r="BE36" s="537"/>
      <c r="BF36" s="537"/>
      <c r="BG36" s="537"/>
      <c r="BH36" s="537"/>
      <c r="BI36" s="537"/>
      <c r="BJ36" s="537"/>
      <c r="BK36" s="537"/>
      <c r="BL36" s="537"/>
      <c r="BM36" s="537"/>
      <c r="BN36" s="537"/>
      <c r="BO36" s="537"/>
      <c r="BP36" s="537"/>
      <c r="BQ36" s="537"/>
      <c r="BR36" s="537"/>
      <c r="BS36" s="537"/>
      <c r="BT36" s="537"/>
      <c r="BU36" s="537"/>
      <c r="BV36" s="537"/>
      <c r="BW36" s="537"/>
      <c r="BX36" s="537"/>
      <c r="BY36" s="537"/>
      <c r="BZ36" s="537"/>
      <c r="CA36" s="537"/>
      <c r="CB36" s="537"/>
      <c r="CC36" s="537"/>
      <c r="CD36" s="537"/>
      <c r="CE36" s="537"/>
      <c r="CF36" s="537"/>
      <c r="CG36" s="537"/>
      <c r="CH36" s="537"/>
      <c r="CI36" s="537"/>
      <c r="CJ36" s="537"/>
      <c r="CK36" s="537"/>
      <c r="CL36" s="537"/>
    </row>
    <row r="37" spans="1:90" s="128" customFormat="1" ht="30">
      <c r="A37" s="1065"/>
      <c r="B37" s="1065"/>
      <c r="C37" s="1065"/>
      <c r="D37" s="541" t="s">
        <v>1097</v>
      </c>
      <c r="E37" s="850">
        <v>0.18</v>
      </c>
      <c r="F37" s="541">
        <v>3.7999999999999999E-2</v>
      </c>
      <c r="G37" s="129" t="s">
        <v>1253</v>
      </c>
      <c r="H37" s="520" t="str">
        <f>G37&amp;"_"&amp;$C$35&amp;$B$35</f>
        <v>Flachdach: Holzbalkendecke (Warmdach), Dämmung: EPS_MuKen_D</v>
      </c>
      <c r="I37" s="497" t="s">
        <v>82</v>
      </c>
      <c r="J37" s="497">
        <v>100</v>
      </c>
      <c r="K37" s="520">
        <v>30</v>
      </c>
      <c r="L37" s="497" t="s">
        <v>217</v>
      </c>
      <c r="M37" s="520">
        <v>9.3000000000000007</v>
      </c>
      <c r="N37" s="520">
        <v>30</v>
      </c>
      <c r="O37" s="497" t="s">
        <v>238</v>
      </c>
      <c r="P37" s="849">
        <v>5.4</v>
      </c>
      <c r="Q37" s="129">
        <v>30</v>
      </c>
      <c r="R37" s="497" t="s">
        <v>213</v>
      </c>
      <c r="S37" s="129">
        <v>3.5</v>
      </c>
      <c r="T37" s="129">
        <v>30</v>
      </c>
      <c r="U37" s="497" t="s">
        <v>179</v>
      </c>
      <c r="V37" s="497">
        <v>11.3</v>
      </c>
      <c r="W37" s="497">
        <v>60</v>
      </c>
      <c r="X37" s="497" t="s">
        <v>175</v>
      </c>
      <c r="Y37" s="129">
        <v>15.2</v>
      </c>
      <c r="Z37" s="129">
        <v>60</v>
      </c>
      <c r="AA37" s="497" t="s">
        <v>27</v>
      </c>
      <c r="AB37" s="129"/>
      <c r="AC37" s="129">
        <v>1</v>
      </c>
      <c r="AD37" s="497" t="s">
        <v>27</v>
      </c>
      <c r="AE37" s="129"/>
      <c r="AF37" s="129">
        <v>1</v>
      </c>
      <c r="AG37" s="497" t="s">
        <v>27</v>
      </c>
      <c r="AH37" s="129"/>
      <c r="AI37" s="129">
        <v>1</v>
      </c>
      <c r="AJ37" s="893" t="s">
        <v>338</v>
      </c>
      <c r="AK37" s="894">
        <v>0.3</v>
      </c>
      <c r="AL37" s="894">
        <v>30</v>
      </c>
      <c r="AM37" s="129"/>
      <c r="AN37" s="495">
        <f>SUM(((VLOOKUP(I37,KBOB,10,FALSE)*J37)/K37),((VLOOKUP(L37,KBOB,10,FALSE)*M37)/N37),((VLOOKUP(O37,KBOB,10,FALSE)*P37)/Q37),((VLOOKUP(R37,KBOB,10,FALSE)*S37)/T37),((VLOOKUP(U37,KBOB,10,FALSE)*V37)/W37),((VLOOKUP(X37,KBOB,10,FALSE)*Y37)/Z37),((VLOOKUP(AA37,KBOB,10,FALSE)*AB37)/AC37),((VLOOKUP(AD37,KBOB,10,FALSE)*AE37)/AF37),((VLOOKUP(AG37,KBOB,10,FALSE)*AH37)/AI37),((VLOOKUP(AJ37,KBOB,10,FALSE)*AK37)/AL37))</f>
        <v>41.102467516376358</v>
      </c>
      <c r="AO37" s="498">
        <f t="shared" si="1"/>
        <v>2.8606999869762482</v>
      </c>
      <c r="AP37" s="498">
        <f>SUM(((VLOOKUP(I37,KBOB,4,FALSE)*J37)/K37),((VLOOKUP(L37,KBOB,4,FALSE)*M37)/N37),((VLOOKUP(O37,KBOB,4,FALSE)*P37)/Q37),((VLOOKUP(R37,KBOB,4,FALSE)*S37)/T37),((VLOOKUP(U37,KBOB,4,FALSE)*V37)/W37),((VLOOKUP(X37,KBOB,4,FALSE)*Y37)/Z37),((VLOOKUP(AA37,KBOB,4,FALSE)*AB37)/AC37),((VLOOKUP(AD37,KBOB,4,FALSE)*AE37)/AF37),((VLOOKUP(AG37,KBOB,4,FALSE)*AH37)/AI37),((VLOOKUP(AJ37,KBOB,4,FALSE)*AK37)/AL37))</f>
        <v>2705.3494534248475</v>
      </c>
      <c r="AQ37" s="126"/>
      <c r="AR37" s="937">
        <f>SUM(((VLOOKUP(I37,KBOB,10,FALSE)*J37)/K37),((VLOOKUP(L37,KBOB,10,FALSE)*M37)/N37),((VLOOKUP(O37,KBOB,10,FALSE)*P37)/Q37),((VLOOKUP(R37,KBOB,10,FALSE)*S37)/T37),((VLOOKUP(U37,KBOB,10,FALSE)*V37)/W37),((VLOOKUP(AA37,KBOB,10,FALSE)*AB37)/AC37),((VLOOKUP(AD37,KBOB,10,FALSE)*AE37)/AF37),((VLOOKUP(AG37,KBOB,10,FALSE)*AH37)/AI37))</f>
        <v>40.193227893336115</v>
      </c>
      <c r="AS37" s="937">
        <f>SUM(((VLOOKUP(I37,KBOB,13,FALSE)*J37)/K37),((VLOOKUP(L37,KBOB,13,FALSE)*M37)/N37),((VLOOKUP(O37,KBOB,13,FALSE)*P37)/Q37),((VLOOKUP(R37,KBOB,13,FALSE)*S37)/T37),((VLOOKUP(U37,KBOB,13,FALSE)*V37)/W37),((VLOOKUP(AA37,KBOB,13,FALSE)*AB37)/AC37),((VLOOKUP(AD37,KBOB,13,FALSE)*AE37)/AF37),((VLOOKUP(AG37,KBOB,13,FALSE)*AH37)/AI37))</f>
        <v>2.8053537643189057</v>
      </c>
      <c r="AT37" s="937">
        <f>SUM(((VLOOKUP(I37,KBOB,4,FALSE)*J37)/K37),((VLOOKUP(L37,KBOB,4,FALSE)*M37)/N37),((VLOOKUP(O37,KBOB,4,FALSE)*P37)/Q37),((VLOOKUP(R37,KBOB,4,FALSE)*S37)/T37),((VLOOKUP(U37,KBOB,4,FALSE)*V37)/W37),((VLOOKUP(AA37,KBOB,4,FALSE)*AB37)/AC37),((VLOOKUP(AD37,KBOB,4,FALSE)*AE37)/AF37),((VLOOKUP(AG37,KBOB,4,FALSE)*AH37)/AI37))</f>
        <v>2480.3237769679713</v>
      </c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</row>
    <row r="38" spans="1:90" s="128" customFormat="1" ht="30">
      <c r="A38" s="1065"/>
      <c r="B38" s="1065"/>
      <c r="C38" s="1065"/>
      <c r="D38" s="541" t="s">
        <v>1096</v>
      </c>
      <c r="E38" s="850">
        <v>0.21</v>
      </c>
      <c r="F38" s="541">
        <v>4.4999999999999998E-2</v>
      </c>
      <c r="G38" s="129" t="s">
        <v>1249</v>
      </c>
      <c r="H38" s="520" t="str">
        <f>G38&amp;"_"&amp;$C$35&amp;$B$35</f>
        <v>Flachdach: Betondecke (Warmdach), Dämmung: Schaumglas_MuKen_D</v>
      </c>
      <c r="I38" s="497" t="s">
        <v>82</v>
      </c>
      <c r="J38" s="520">
        <v>100</v>
      </c>
      <c r="K38" s="520">
        <v>30</v>
      </c>
      <c r="L38" s="497" t="s">
        <v>217</v>
      </c>
      <c r="M38" s="520">
        <v>9.3000000000000007</v>
      </c>
      <c r="N38" s="520">
        <v>30</v>
      </c>
      <c r="O38" s="497" t="s">
        <v>246</v>
      </c>
      <c r="P38" s="520">
        <v>23.1</v>
      </c>
      <c r="Q38" s="129">
        <v>30</v>
      </c>
      <c r="R38" s="497" t="s">
        <v>213</v>
      </c>
      <c r="S38" s="129">
        <v>4.5999999999999996</v>
      </c>
      <c r="T38" s="129">
        <v>30</v>
      </c>
      <c r="U38" s="497" t="s">
        <v>37</v>
      </c>
      <c r="V38" s="497">
        <v>523.6</v>
      </c>
      <c r="W38" s="497">
        <v>60</v>
      </c>
      <c r="X38" s="497" t="s">
        <v>137</v>
      </c>
      <c r="Y38" s="520">
        <v>17.600000000000001</v>
      </c>
      <c r="Z38" s="520">
        <v>60</v>
      </c>
      <c r="AA38" s="497" t="s">
        <v>161</v>
      </c>
      <c r="AB38" s="520">
        <v>1</v>
      </c>
      <c r="AC38" s="520">
        <v>60</v>
      </c>
      <c r="AD38" s="497" t="s">
        <v>27</v>
      </c>
      <c r="AE38" s="520"/>
      <c r="AF38" s="520">
        <v>1</v>
      </c>
      <c r="AG38" s="497" t="s">
        <v>27</v>
      </c>
      <c r="AH38" s="520"/>
      <c r="AI38" s="520">
        <v>1</v>
      </c>
      <c r="AJ38" s="893" t="s">
        <v>338</v>
      </c>
      <c r="AK38" s="894">
        <v>0.3</v>
      </c>
      <c r="AL38" s="894">
        <v>30</v>
      </c>
      <c r="AM38" s="129"/>
      <c r="AN38" s="498">
        <f t="shared" si="0"/>
        <v>48.798995172961455</v>
      </c>
      <c r="AO38" s="498">
        <f t="shared" si="1"/>
        <v>3.7785048667417684</v>
      </c>
      <c r="AP38" s="498">
        <f t="shared" si="2"/>
        <v>4001.7028150610668</v>
      </c>
      <c r="AQ38" s="126"/>
      <c r="AR38" s="937">
        <f>SUM(((VLOOKUP(I38,KBOB,10,FALSE)*J38)/K38),((VLOOKUP(L38,KBOB,10,FALSE)*M38)/N38),((VLOOKUP(O38,KBOB,10,FALSE)*P38)/Q38),((VLOOKUP(R38,KBOB,10,FALSE)*S38)/T38),((VLOOKUP(AD38,KBOB,10,FALSE)*AE38)/AF38),((VLOOKUP(AG38,KBOB,10,FALSE)*AH38)/AI38))</f>
        <v>37.798562230986199</v>
      </c>
      <c r="AS38" s="937">
        <f>SUM(((VLOOKUP(I38,KBOB,13,FALSE)*J38)/K38),((VLOOKUP(L38,KBOB,13,FALSE)*M38)/N38),((VLOOKUP(O38,KBOB,13,FALSE)*P38)/Q38),((VLOOKUP(R38,KBOB,13,FALSE)*S38)/T38),((VLOOKUP(AD38,KBOB,13,FALSE)*AE38)/AF38),((VLOOKUP(AG38,KBOB,13,FALSE)*AH38)/AI38))</f>
        <v>2.49666123</v>
      </c>
      <c r="AT38" s="937">
        <f>SUM(((VLOOKUP(I38,KBOB,4,FALSE)*J38)/K38),((VLOOKUP(L38,KBOB,4,FALSE)*M38)/N38),((VLOOKUP(O38,KBOB,4,FALSE)*P38)/Q38),((VLOOKUP(R38,KBOB,4,FALSE)*S38)/T38),((VLOOKUP(AD38,KBOB,4,FALSE)*AE38)/AF38),((VLOOKUP(AG38,KBOB,4,FALSE)*AH38)/AI38))</f>
        <v>2236.9112766666667</v>
      </c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</row>
    <row r="39" spans="1:90" s="558" customFormat="1" ht="30" customHeight="1">
      <c r="A39" s="1065"/>
      <c r="B39" s="1065"/>
      <c r="C39" s="1065"/>
      <c r="D39" s="974" t="s">
        <v>1097</v>
      </c>
      <c r="E39" s="978">
        <v>0.21</v>
      </c>
      <c r="F39" s="974">
        <v>4.4999999999999998E-2</v>
      </c>
      <c r="G39" s="975" t="s">
        <v>1251</v>
      </c>
      <c r="H39" s="539" t="str">
        <f>G39&amp;"_"&amp;$C$35&amp;$B$35</f>
        <v>Flachdach: Holzbalkendecke (Warmdach), Dämmung: Schaumglas_MuKen_D</v>
      </c>
      <c r="I39" s="499" t="s">
        <v>82</v>
      </c>
      <c r="J39" s="497">
        <v>100</v>
      </c>
      <c r="K39" s="520">
        <v>30</v>
      </c>
      <c r="L39" s="497" t="s">
        <v>217</v>
      </c>
      <c r="M39" s="520">
        <v>9.3000000000000007</v>
      </c>
      <c r="N39" s="520">
        <v>30</v>
      </c>
      <c r="O39" s="497" t="s">
        <v>246</v>
      </c>
      <c r="P39" s="979">
        <v>23.1</v>
      </c>
      <c r="Q39" s="520">
        <v>30</v>
      </c>
      <c r="R39" s="497" t="s">
        <v>213</v>
      </c>
      <c r="S39" s="520">
        <v>3.5</v>
      </c>
      <c r="T39" s="520">
        <v>30</v>
      </c>
      <c r="U39" s="497" t="s">
        <v>179</v>
      </c>
      <c r="V39" s="497">
        <v>11.3</v>
      </c>
      <c r="W39" s="497">
        <v>60</v>
      </c>
      <c r="X39" s="497" t="s">
        <v>175</v>
      </c>
      <c r="Y39" s="520">
        <v>15.2</v>
      </c>
      <c r="Z39" s="520">
        <v>60</v>
      </c>
      <c r="AA39" s="499" t="s">
        <v>27</v>
      </c>
      <c r="AB39" s="520"/>
      <c r="AC39" s="520">
        <v>1</v>
      </c>
      <c r="AD39" s="499" t="s">
        <v>27</v>
      </c>
      <c r="AE39" s="520"/>
      <c r="AF39" s="520">
        <v>1</v>
      </c>
      <c r="AG39" s="497" t="s">
        <v>27</v>
      </c>
      <c r="AH39" s="520"/>
      <c r="AI39" s="520">
        <v>1</v>
      </c>
      <c r="AJ39" s="893" t="s">
        <v>338</v>
      </c>
      <c r="AK39" s="894">
        <v>0.3</v>
      </c>
      <c r="AL39" s="894">
        <v>30</v>
      </c>
      <c r="AM39" s="539"/>
      <c r="AN39" s="498">
        <f t="shared" si="0"/>
        <v>37.292887440458465</v>
      </c>
      <c r="AO39" s="498">
        <f t="shared" si="1"/>
        <v>2.4347427969762481</v>
      </c>
      <c r="AP39" s="498">
        <f t="shared" si="2"/>
        <v>2460.7214234248477</v>
      </c>
      <c r="AQ39" s="537"/>
      <c r="AR39" s="982">
        <f>SUM(((VLOOKUP(I39,KBOB,10,FALSE)*J39)/K39),((VLOOKUP(L39,KBOB,10,FALSE)*M39)/N39),((VLOOKUP(O39,KBOB,10,FALSE)*P39)/Q39),((VLOOKUP(R39,KBOB,10,FALSE)*S39)/T39),((VLOOKUP(U39,KBOB,10,FALSE)*V39)/W39),((VLOOKUP(AA39,KBOB,10,FALSE)*AB39)/AC39),((VLOOKUP(AD39,KBOB,10,FALSE)*AE39)/AF39),((VLOOKUP(AG39,KBOB,10,FALSE)*AH39)/AI39))</f>
        <v>36.383647817418222</v>
      </c>
      <c r="AS39" s="982">
        <f>SUM(((VLOOKUP(I39,KBOB,13,FALSE)*J39)/K39),((VLOOKUP(L39,KBOB,13,FALSE)*M39)/N39),((VLOOKUP(O39,KBOB,13,FALSE)*P39)/Q39),((VLOOKUP(R39,KBOB,13,FALSE)*S39)/T39),((VLOOKUP(U39,KBOB,13,FALSE)*V39)/W39),((VLOOKUP(AA39,KBOB,13,FALSE)*AB39)/AC39),((VLOOKUP(AD39,KBOB,13,FALSE)*AE39)/AF39),((VLOOKUP(AG39,KBOB,13,FALSE)*AH39)/AI39))</f>
        <v>2.3793965743189056</v>
      </c>
      <c r="AT39" s="982">
        <f>SUM(((VLOOKUP(I39,KBOB,4,FALSE)*J39)/K39),((VLOOKUP(L39,KBOB,4,FALSE)*M39)/N39),((VLOOKUP(O39,KBOB,4,FALSE)*P39)/Q39),((VLOOKUP(R39,KBOB,4,FALSE)*S39)/T39),((VLOOKUP(U39,KBOB,4,FALSE)*V39)/W39),((VLOOKUP(AA39,KBOB,4,FALSE)*AB39)/AC39),((VLOOKUP(AD39,KBOB,4,FALSE)*AE39)/AF39),((VLOOKUP(AG39,KBOB,4,FALSE)*AH39)/AI39))</f>
        <v>2235.6957469679714</v>
      </c>
      <c r="AU39" s="537"/>
      <c r="AV39" s="537"/>
      <c r="AW39" s="537"/>
      <c r="AX39" s="537"/>
      <c r="AY39" s="537"/>
      <c r="AZ39" s="537"/>
      <c r="BA39" s="537"/>
      <c r="BB39" s="537"/>
      <c r="BC39" s="537"/>
      <c r="BD39" s="537"/>
      <c r="BE39" s="537"/>
      <c r="BF39" s="537"/>
      <c r="BG39" s="537"/>
      <c r="BH39" s="537"/>
      <c r="BI39" s="537"/>
      <c r="BJ39" s="537"/>
      <c r="BK39" s="537"/>
      <c r="BL39" s="537"/>
      <c r="BM39" s="537"/>
      <c r="BN39" s="537"/>
      <c r="BO39" s="537"/>
      <c r="BP39" s="537"/>
      <c r="BQ39" s="537"/>
      <c r="BR39" s="537"/>
      <c r="BS39" s="537"/>
      <c r="BT39" s="537"/>
      <c r="BU39" s="537"/>
      <c r="BV39" s="537"/>
      <c r="BW39" s="537"/>
      <c r="BX39" s="537"/>
      <c r="BY39" s="537"/>
      <c r="BZ39" s="537"/>
      <c r="CA39" s="537"/>
      <c r="CB39" s="537"/>
      <c r="CC39" s="537"/>
      <c r="CD39" s="537"/>
      <c r="CE39" s="537"/>
      <c r="CF39" s="537"/>
      <c r="CG39" s="537"/>
      <c r="CH39" s="537"/>
      <c r="CI39" s="537"/>
      <c r="CJ39" s="537"/>
      <c r="CK39" s="537"/>
      <c r="CL39" s="537"/>
    </row>
    <row r="40" spans="1:90" s="128" customFormat="1" ht="43.5" customHeight="1">
      <c r="A40" s="1065"/>
      <c r="B40" s="1065"/>
      <c r="C40" s="1065" t="s">
        <v>381</v>
      </c>
      <c r="D40" s="540" t="s">
        <v>1093</v>
      </c>
      <c r="E40" s="846">
        <v>0.32</v>
      </c>
      <c r="F40" s="976">
        <v>0.04</v>
      </c>
      <c r="G40" s="127" t="s">
        <v>1092</v>
      </c>
      <c r="H40" s="521" t="str">
        <f>G40&amp;"_"&amp;$C$40&amp;$B$35</f>
        <v>Schrägdach: Sparrenlage mit zwischenliegender Wärmedämmung (Kaltdach)_MINERGIE_D</v>
      </c>
      <c r="I40" s="497" t="s">
        <v>88</v>
      </c>
      <c r="J40" s="497">
        <v>47</v>
      </c>
      <c r="K40" s="520">
        <v>40</v>
      </c>
      <c r="L40" s="497" t="s">
        <v>181</v>
      </c>
      <c r="M40" s="517">
        <v>4</v>
      </c>
      <c r="N40" s="517">
        <v>40</v>
      </c>
      <c r="O40" s="497" t="s">
        <v>181</v>
      </c>
      <c r="P40" s="517">
        <v>4</v>
      </c>
      <c r="Q40" s="517">
        <v>40</v>
      </c>
      <c r="R40" s="519" t="s">
        <v>167</v>
      </c>
      <c r="S40" s="127">
        <v>5.4</v>
      </c>
      <c r="T40" s="127">
        <v>40</v>
      </c>
      <c r="U40" s="527" t="s">
        <v>177</v>
      </c>
      <c r="V40" s="517">
        <v>20.3</v>
      </c>
      <c r="W40" s="517">
        <v>60</v>
      </c>
      <c r="X40" s="497" t="s">
        <v>249</v>
      </c>
      <c r="Y40" s="847">
        <v>9.6</v>
      </c>
      <c r="Z40" s="517">
        <v>40</v>
      </c>
      <c r="AA40" s="497" t="s">
        <v>215</v>
      </c>
      <c r="AB40" s="127">
        <v>0.2</v>
      </c>
      <c r="AC40" s="127">
        <v>30</v>
      </c>
      <c r="AD40" s="497" t="s">
        <v>177</v>
      </c>
      <c r="AE40" s="127">
        <v>1.3</v>
      </c>
      <c r="AF40" s="127">
        <v>30</v>
      </c>
      <c r="AG40" s="496" t="s">
        <v>179</v>
      </c>
      <c r="AH40" s="127">
        <v>6.1</v>
      </c>
      <c r="AI40" s="127">
        <v>30</v>
      </c>
      <c r="AJ40" s="893" t="s">
        <v>338</v>
      </c>
      <c r="AK40" s="894">
        <v>0.3</v>
      </c>
      <c r="AL40" s="894">
        <v>30</v>
      </c>
      <c r="AM40" s="127"/>
      <c r="AN40" s="137">
        <f>SUM(((VLOOKUP(I40,KBOB,10,FALSE)*J40)/K40),((VLOOKUP(L40,KBOB,10,FALSE)*M40)/N40),((VLOOKUP(O40,KBOB,10,FALSE)*P40)/Q40),((VLOOKUP(R40,KBOB,10,FALSE)*S40)/T40),((VLOOKUP(U40,KBOB,10,FALSE)*V40)/W40),((VLOOKUP(X40,KBOB,10,FALSE)*Y40)/Z40),((VLOOKUP(AA40,KBOB,10,FALSE)*AB40)/AC40),((VLOOKUP(AD40,KBOB,10,FALSE)*AE40)/AF40),((VLOOKUP(AG40,KBOB,10,FALSE)*AH40)/AI40),((VLOOKUP(AJ40,KBOB,10,FALSE)*AK40)/AL40))</f>
        <v>12.767247647794346</v>
      </c>
      <c r="AO40" s="137">
        <f t="shared" si="1"/>
        <v>0.91666108020527948</v>
      </c>
      <c r="AP40" s="137">
        <f t="shared" si="2"/>
        <v>1263.5807555227664</v>
      </c>
      <c r="AQ40" s="126"/>
      <c r="AR40" s="936">
        <f>SUM(((VLOOKUP(I40,KBOB,10,FALSE)*J40)/K40),((VLOOKUP(L40,KBOB,10,FALSE)*M40)/N40),((VLOOKUP(O40,KBOB,10,FALSE)*P40)/Q40),((VLOOKUP(R40,KBOB,10,FALSE)*S40)/T40),((VLOOKUP(X40,KBOB,10,FALSE)*Y40)/Z40),((VLOOKUP(AA40,KBOB,10,FALSE)*AB40)/AC40),((VLOOKUP(AD40,KBOB,10,FALSE)*AE40)/AF40),((VLOOKUP(AG40,KBOB,10,FALSE)*AH40)/AI40),((VLOOKUP(AJ40,KBOB,10,FALSE)*AK40)/AL40))</f>
        <v>12.156929760758489</v>
      </c>
      <c r="AS40" s="936">
        <f>SUM(((VLOOKUP(I40,KBOB,13,FALSE)*J40)/K40),((VLOOKUP(L40,KBOB,13,FALSE)*M40)/N40),((VLOOKUP(O40,KBOB,13,FALSE)*P40)/Q40),((VLOOKUP(R40,KBOB,13,FALSE)*S40)/T40),((VLOOKUP(X40,KBOB,13,FALSE)*Y40)/Z40),((VLOOKUP(AA40,KBOB,13,FALSE)*AB40)/AC40),((VLOOKUP(AD40,KBOB,13,FALSE)*AE40)/AF40),((VLOOKUP(AG40,KBOB,13,FALSE)*AH40)/AI40),((VLOOKUP(AJ40,KBOB,13,FALSE)*AK40)/AL40))</f>
        <v>0.88734562125135352</v>
      </c>
      <c r="AT40" s="936">
        <f>SUM(((VLOOKUP(I40,KBOB,4,FALSE)*J40)/K40),((VLOOKUP(L40,KBOB,4,FALSE)*M40)/N40),((VLOOKUP(O40,KBOB,4,FALSE)*P40)/Q40),((VLOOKUP(R40,KBOB,4,FALSE)*S40)/T40),((VLOOKUP(X40,KBOB,4,FALSE)*Y40)/Z40),((VLOOKUP(AA40,KBOB,4,FALSE)*AB40)/AC40),((VLOOKUP(AD40,KBOB,4,FALSE)*AE40)/AF40),((VLOOKUP(AG40,KBOB,4,FALSE)*AH40)/AI40),((VLOOKUP(AJ40,KBOB,4,FALSE)*AK40)/AL40))</f>
        <v>1064.6648099501244</v>
      </c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</row>
    <row r="41" spans="1:90" s="128" customFormat="1" ht="30">
      <c r="A41" s="1065"/>
      <c r="B41" s="1065"/>
      <c r="C41" s="1065"/>
      <c r="D41" s="541" t="s">
        <v>1096</v>
      </c>
      <c r="E41" s="850">
        <v>0.25</v>
      </c>
      <c r="F41" s="556">
        <v>3.7999999999999999E-2</v>
      </c>
      <c r="G41" s="521" t="s">
        <v>1252</v>
      </c>
      <c r="H41" s="129" t="str">
        <f>G41&amp;"_"&amp;$C$40&amp;$B$35</f>
        <v>Flachdach: Betondecke (Warmdach), Dämmung EPS_MINERGIE_D</v>
      </c>
      <c r="I41" s="497" t="s">
        <v>82</v>
      </c>
      <c r="J41" s="497">
        <v>100</v>
      </c>
      <c r="K41" s="520">
        <v>30</v>
      </c>
      <c r="L41" s="497" t="s">
        <v>217</v>
      </c>
      <c r="M41" s="520">
        <v>9.3000000000000007</v>
      </c>
      <c r="N41" s="520">
        <v>30</v>
      </c>
      <c r="O41" s="497" t="s">
        <v>238</v>
      </c>
      <c r="P41" s="849">
        <v>7.5</v>
      </c>
      <c r="Q41" s="129">
        <v>30</v>
      </c>
      <c r="R41" s="497" t="s">
        <v>213</v>
      </c>
      <c r="S41" s="129">
        <v>4.5999999999999996</v>
      </c>
      <c r="T41" s="129">
        <v>30</v>
      </c>
      <c r="U41" s="527" t="s">
        <v>37</v>
      </c>
      <c r="V41" s="529">
        <v>523.6</v>
      </c>
      <c r="W41" s="529">
        <v>60</v>
      </c>
      <c r="X41" s="527" t="s">
        <v>137</v>
      </c>
      <c r="Y41" s="526">
        <v>17.600000000000001</v>
      </c>
      <c r="Z41" s="526">
        <v>60</v>
      </c>
      <c r="AA41" s="497" t="s">
        <v>161</v>
      </c>
      <c r="AB41" s="526">
        <v>1</v>
      </c>
      <c r="AC41" s="526">
        <v>60</v>
      </c>
      <c r="AD41" s="497" t="s">
        <v>27</v>
      </c>
      <c r="AE41" s="129"/>
      <c r="AF41" s="129">
        <v>1</v>
      </c>
      <c r="AG41" s="497" t="s">
        <v>27</v>
      </c>
      <c r="AH41" s="129"/>
      <c r="AI41" s="129">
        <v>1</v>
      </c>
      <c r="AJ41" s="893" t="s">
        <v>338</v>
      </c>
      <c r="AK41" s="894">
        <v>0.3</v>
      </c>
      <c r="AL41" s="894">
        <v>30</v>
      </c>
      <c r="AM41" s="129"/>
      <c r="AN41" s="498">
        <f t="shared" si="0"/>
        <v>59.982092585653753</v>
      </c>
      <c r="AO41" s="498">
        <f t="shared" si="1"/>
        <v>4.7198790567417683</v>
      </c>
      <c r="AP41" s="498">
        <f t="shared" si="2"/>
        <v>4611.7308450610681</v>
      </c>
      <c r="AQ41" s="126"/>
      <c r="AR41" s="937">
        <f>SUM(((VLOOKUP(I41,KBOB,10,FALSE)*J41)/K41),((VLOOKUP(L41,KBOB,10,FALSE)*M41)/N41),((VLOOKUP(O41,KBOB,10,FALSE)*P41)/Q41),((VLOOKUP(R41,KBOB,10,FALSE)*S41)/T41),((VLOOKUP(AD41,KBOB,10,FALSE)*AE41)/AF41),((VLOOKUP(AG41,KBOB,10,FALSE)*AH41)/AI41))</f>
        <v>48.981659643678498</v>
      </c>
      <c r="AS41" s="937">
        <f>SUM(((VLOOKUP(I41,KBOB,13,FALSE)*J41)/K41),((VLOOKUP(L41,KBOB,13,FALSE)*M41)/N41),((VLOOKUP(O41,KBOB,13,FALSE)*P41)/Q41),((VLOOKUP(R41,KBOB,13,FALSE)*S41)/T41),((VLOOKUP(AD41,KBOB,13,FALSE)*AE41)/AF41),((VLOOKUP(AG41,KBOB,13,FALSE)*AH41)/AI41))</f>
        <v>3.4380354200000003</v>
      </c>
      <c r="AT41" s="937">
        <f>SUM(((VLOOKUP(I41,KBOB,4,FALSE)*J41)/K41),((VLOOKUP(L41,KBOB,4,FALSE)*M41)/N41),((VLOOKUP(O41,KBOB,4,FALSE)*P41)/Q41),((VLOOKUP(R41,KBOB,4,FALSE)*S41)/T41),((VLOOKUP(AD41,KBOB,4,FALSE)*AE41)/AF41),((VLOOKUP(AG41,KBOB,4,FALSE)*AH41)/AI41))</f>
        <v>2846.9393066666671</v>
      </c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</row>
    <row r="42" spans="1:90" s="128" customFormat="1" ht="29.25" customHeight="1">
      <c r="A42" s="1065"/>
      <c r="B42" s="1065"/>
      <c r="C42" s="1065"/>
      <c r="D42" s="541" t="s">
        <v>1097</v>
      </c>
      <c r="E42" s="850">
        <v>0.24</v>
      </c>
      <c r="F42" s="556">
        <v>3.7999999999999999E-2</v>
      </c>
      <c r="G42" s="129" t="s">
        <v>1253</v>
      </c>
      <c r="H42" s="129" t="str">
        <f>G42&amp;"_"&amp;$C$40&amp;$B$35</f>
        <v>Flachdach: Holzbalkendecke (Warmdach), Dämmung: EPS_MINERGIE_D</v>
      </c>
      <c r="I42" s="497" t="s">
        <v>82</v>
      </c>
      <c r="J42" s="497">
        <v>100</v>
      </c>
      <c r="K42" s="520">
        <v>30</v>
      </c>
      <c r="L42" s="497" t="s">
        <v>217</v>
      </c>
      <c r="M42" s="520">
        <v>9.3000000000000007</v>
      </c>
      <c r="N42" s="520">
        <v>30</v>
      </c>
      <c r="O42" s="497" t="s">
        <v>238</v>
      </c>
      <c r="P42" s="849">
        <v>7.2</v>
      </c>
      <c r="Q42" s="129">
        <v>30</v>
      </c>
      <c r="R42" s="497" t="s">
        <v>213</v>
      </c>
      <c r="S42" s="129">
        <v>3.5</v>
      </c>
      <c r="T42" s="129">
        <v>30</v>
      </c>
      <c r="U42" s="497" t="s">
        <v>179</v>
      </c>
      <c r="V42" s="497">
        <v>11.3</v>
      </c>
      <c r="W42" s="497">
        <v>60</v>
      </c>
      <c r="X42" s="497" t="s">
        <v>175</v>
      </c>
      <c r="Y42" s="129">
        <v>15.2</v>
      </c>
      <c r="Z42" s="129">
        <v>60</v>
      </c>
      <c r="AA42" s="497" t="s">
        <v>27</v>
      </c>
      <c r="AB42" s="129"/>
      <c r="AC42" s="129">
        <v>1</v>
      </c>
      <c r="AD42" s="497" t="s">
        <v>27</v>
      </c>
      <c r="AE42" s="129"/>
      <c r="AF42" s="129">
        <v>1</v>
      </c>
      <c r="AG42" s="497" t="s">
        <v>27</v>
      </c>
      <c r="AH42" s="129"/>
      <c r="AI42" s="129">
        <v>1</v>
      </c>
      <c r="AJ42" s="893" t="s">
        <v>338</v>
      </c>
      <c r="AK42" s="894">
        <v>0.3</v>
      </c>
      <c r="AL42" s="894">
        <v>30</v>
      </c>
      <c r="AM42" s="129"/>
      <c r="AN42" s="498">
        <f t="shared" si="0"/>
        <v>47.422625233611562</v>
      </c>
      <c r="AO42" s="498">
        <f t="shared" si="1"/>
        <v>3.3024859869762482</v>
      </c>
      <c r="AP42" s="498">
        <f t="shared" si="2"/>
        <v>3018.5494534248473</v>
      </c>
      <c r="AQ42" s="126"/>
      <c r="AR42" s="937">
        <f>SUM(((VLOOKUP(I42,KBOB,10,FALSE)*J42)/K42),((VLOOKUP(L42,KBOB,10,FALSE)*M42)/N42),((VLOOKUP(O42,KBOB,10,FALSE)*P42)/Q42),((VLOOKUP(R42,KBOB,10,FALSE)*S42)/T42),((VLOOKUP(U42,KBOB,10,FALSE)*V42)/W42),((VLOOKUP(AA42,KBOB,10,FALSE)*AB42)/AC42),((VLOOKUP(AD42,KBOB,10,FALSE)*AE42)/AF42),((VLOOKUP(AG42,KBOB,10,FALSE)*AH42)/AI42))</f>
        <v>46.513385610571319</v>
      </c>
      <c r="AS42" s="937">
        <f>SUM(((VLOOKUP(I42,KBOB,13,FALSE)*J42)/K42),((VLOOKUP(L42,KBOB,13,FALSE)*M42)/N42),((VLOOKUP(O42,KBOB,13,FALSE)*P42)/Q42),((VLOOKUP(R42,KBOB,13,FALSE)*S42)/T42),((VLOOKUP(U42,KBOB,13,FALSE)*V42)/W42),((VLOOKUP(AA42,KBOB,13,FALSE)*AB42)/AC42),((VLOOKUP(AD42,KBOB,13,FALSE)*AE42)/AF42),((VLOOKUP(AG42,KBOB,13,FALSE)*AH42)/AI42))</f>
        <v>3.2471397643189057</v>
      </c>
      <c r="AT42" s="937">
        <f>SUM(((VLOOKUP(I42,KBOB,4,FALSE)*J42)/K42),((VLOOKUP(L42,KBOB,4,FALSE)*M42)/N42),((VLOOKUP(O42,KBOB,4,FALSE)*P42)/Q42),((VLOOKUP(R42,KBOB,4,FALSE)*S42)/T42),((VLOOKUP(U42,KBOB,4,FALSE)*V42)/W42),((VLOOKUP(AA42,KBOB,4,FALSE)*AB42)/AC42),((VLOOKUP(AD42,KBOB,4,FALSE)*AE42)/AF42),((VLOOKUP(AG42,KBOB,4,FALSE)*AH42)/AI42))</f>
        <v>2793.5237769679711</v>
      </c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</row>
    <row r="43" spans="1:90" s="128" customFormat="1" ht="30">
      <c r="A43" s="1065"/>
      <c r="B43" s="1065"/>
      <c r="C43" s="1065"/>
      <c r="D43" s="541" t="s">
        <v>1096</v>
      </c>
      <c r="E43" s="850">
        <v>0.28000000000000003</v>
      </c>
      <c r="F43" s="556">
        <v>4.4999999999999998E-2</v>
      </c>
      <c r="G43" s="129" t="s">
        <v>1249</v>
      </c>
      <c r="H43" s="129" t="str">
        <f>G43&amp;"_"&amp;$C$40&amp;$B$35</f>
        <v>Flachdach: Betondecke (Warmdach), Dämmung: Schaumglas_MINERGIE_D</v>
      </c>
      <c r="I43" s="497" t="s">
        <v>82</v>
      </c>
      <c r="J43" s="520">
        <v>100</v>
      </c>
      <c r="K43" s="520">
        <v>30</v>
      </c>
      <c r="L43" s="497" t="s">
        <v>217</v>
      </c>
      <c r="M43" s="520">
        <v>9.3000000000000007</v>
      </c>
      <c r="N43" s="520">
        <v>30</v>
      </c>
      <c r="O43" s="497" t="s">
        <v>246</v>
      </c>
      <c r="P43" s="520">
        <v>30.8</v>
      </c>
      <c r="Q43" s="129">
        <v>30</v>
      </c>
      <c r="R43" s="497" t="s">
        <v>213</v>
      </c>
      <c r="S43" s="129">
        <v>4.5999999999999996</v>
      </c>
      <c r="T43" s="129">
        <v>30</v>
      </c>
      <c r="U43" s="497" t="s">
        <v>37</v>
      </c>
      <c r="V43" s="497">
        <v>523.6</v>
      </c>
      <c r="W43" s="497">
        <v>60</v>
      </c>
      <c r="X43" s="497" t="s">
        <v>137</v>
      </c>
      <c r="Y43" s="129">
        <v>17.600000000000001</v>
      </c>
      <c r="Z43" s="129">
        <v>60</v>
      </c>
      <c r="AA43" s="497" t="s">
        <v>161</v>
      </c>
      <c r="AB43" s="129">
        <v>1</v>
      </c>
      <c r="AC43" s="129">
        <v>60</v>
      </c>
      <c r="AD43" s="497" t="s">
        <v>27</v>
      </c>
      <c r="AE43" s="129"/>
      <c r="AF43" s="129">
        <v>1</v>
      </c>
      <c r="AG43" s="497" t="s">
        <v>27</v>
      </c>
      <c r="AH43" s="129"/>
      <c r="AI43" s="129">
        <v>1</v>
      </c>
      <c r="AJ43" s="893" t="s">
        <v>338</v>
      </c>
      <c r="AK43" s="894">
        <v>0.3</v>
      </c>
      <c r="AL43" s="894">
        <v>30</v>
      </c>
      <c r="AM43" s="129"/>
      <c r="AN43" s="498">
        <f t="shared" si="0"/>
        <v>53.849292864890693</v>
      </c>
      <c r="AO43" s="498">
        <f t="shared" si="1"/>
        <v>4.0783051367417684</v>
      </c>
      <c r="AP43" s="498">
        <f t="shared" si="2"/>
        <v>4233.3601383944015</v>
      </c>
      <c r="AQ43" s="126"/>
      <c r="AR43" s="973">
        <f>SUM(((VLOOKUP(I43,KBOB,10,FALSE)*J43)/K43),((VLOOKUP(L43,KBOB,10,FALSE)*M43)/N43),((VLOOKUP(O43,KBOB,10,FALSE)*P43)/Q43),((VLOOKUP(R43,KBOB,10,FALSE)*S43)/T43),((VLOOKUP(AD43,KBOB,10,FALSE)*AE43)/AF43),((VLOOKUP(AG43,KBOB,10,FALSE)*AH43)/AI43))</f>
        <v>42.848859922915437</v>
      </c>
      <c r="AS43" s="973">
        <f>SUM(((VLOOKUP(I43,KBOB,13,FALSE)*J43)/K43),((VLOOKUP(L43,KBOB,13,FALSE)*M43)/N43),((VLOOKUP(O43,KBOB,13,FALSE)*P43)/Q43),((VLOOKUP(R43,KBOB,13,FALSE)*S43)/T43),((VLOOKUP(AD43,KBOB,13,FALSE)*AE43)/AF43),((VLOOKUP(AG43,KBOB,13,FALSE)*AH43)/AI43))</f>
        <v>2.7964615000000004</v>
      </c>
      <c r="AT43" s="973">
        <f>SUM(((VLOOKUP(I43,KBOB,4,FALSE)*J43)/K43),((VLOOKUP(L43,KBOB,4,FALSE)*M43)/N43),((VLOOKUP(O43,KBOB,4,FALSE)*P43)/Q43),((VLOOKUP(R43,KBOB,4,FALSE)*S43)/T43),((VLOOKUP(AD43,KBOB,4,FALSE)*AE43)/AF43),((VLOOKUP(AG43,KBOB,4,FALSE)*AH43)/AI43))</f>
        <v>2468.5686000000005</v>
      </c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</row>
    <row r="44" spans="1:90" s="128" customFormat="1" ht="30">
      <c r="A44" s="1065"/>
      <c r="B44" s="1065"/>
      <c r="C44" s="1065"/>
      <c r="D44" s="543" t="s">
        <v>1097</v>
      </c>
      <c r="E44" s="978">
        <v>0.28000000000000003</v>
      </c>
      <c r="F44" s="974">
        <v>4.4999999999999998E-2</v>
      </c>
      <c r="G44" s="975" t="s">
        <v>1251</v>
      </c>
      <c r="H44" s="500" t="str">
        <f>G44&amp;"_"&amp;$C$40&amp;$B$35</f>
        <v>Flachdach: Holzbalkendecke (Warmdach), Dämmung: Schaumglas_MINERGIE_D</v>
      </c>
      <c r="I44" s="499" t="s">
        <v>82</v>
      </c>
      <c r="J44" s="497">
        <v>100</v>
      </c>
      <c r="K44" s="520">
        <v>30</v>
      </c>
      <c r="L44" s="497" t="s">
        <v>217</v>
      </c>
      <c r="M44" s="520">
        <v>9.3000000000000007</v>
      </c>
      <c r="N44" s="520">
        <v>30</v>
      </c>
      <c r="O44" s="497" t="s">
        <v>246</v>
      </c>
      <c r="P44" s="979">
        <v>31.1</v>
      </c>
      <c r="Q44" s="520">
        <v>30</v>
      </c>
      <c r="R44" s="497" t="s">
        <v>213</v>
      </c>
      <c r="S44" s="129">
        <v>3.5</v>
      </c>
      <c r="T44" s="129">
        <v>30</v>
      </c>
      <c r="U44" s="497" t="s">
        <v>179</v>
      </c>
      <c r="V44" s="497">
        <v>11.3</v>
      </c>
      <c r="W44" s="497">
        <v>60</v>
      </c>
      <c r="X44" s="497" t="s">
        <v>175</v>
      </c>
      <c r="Y44" s="129">
        <v>15.2</v>
      </c>
      <c r="Z44" s="129">
        <v>60</v>
      </c>
      <c r="AA44" s="499" t="s">
        <v>27</v>
      </c>
      <c r="AB44" s="129"/>
      <c r="AC44" s="129">
        <v>1</v>
      </c>
      <c r="AD44" s="499" t="s">
        <v>27</v>
      </c>
      <c r="AE44" s="129"/>
      <c r="AF44" s="129">
        <v>1</v>
      </c>
      <c r="AG44" s="497" t="s">
        <v>27</v>
      </c>
      <c r="AH44" s="129"/>
      <c r="AI44" s="129">
        <v>1</v>
      </c>
      <c r="AJ44" s="893" t="s">
        <v>338</v>
      </c>
      <c r="AK44" s="894">
        <v>0.3</v>
      </c>
      <c r="AL44" s="894">
        <v>30</v>
      </c>
      <c r="AM44" s="500"/>
      <c r="AN44" s="501">
        <f t="shared" si="0"/>
        <v>42.539949977527804</v>
      </c>
      <c r="AO44" s="501">
        <f t="shared" si="1"/>
        <v>2.7462235969762481</v>
      </c>
      <c r="AP44" s="501">
        <f t="shared" si="2"/>
        <v>2701.4043567581807</v>
      </c>
      <c r="AQ44" s="126"/>
      <c r="AR44" s="982">
        <f>SUM(((VLOOKUP(I44,KBOB,10,FALSE)*J44)/K44),((VLOOKUP(L44,KBOB,10,FALSE)*M44)/N44),((VLOOKUP(O44,KBOB,10,FALSE)*P44)/Q44),((VLOOKUP(R44,KBOB,10,FALSE)*S44)/T44),((VLOOKUP(U44,KBOB,10,FALSE)*V44)/W44),((VLOOKUP(AA44,KBOB,10,FALSE)*AB44)/AC44),((VLOOKUP(AD44,KBOB,10,FALSE)*AE44)/AF44),((VLOOKUP(AG44,KBOB,10,FALSE)*AH44)/AI44))</f>
        <v>41.630710354487562</v>
      </c>
      <c r="AS44" s="982">
        <f>SUM(((VLOOKUP(I44,KBOB,13,FALSE)*J44)/K44),((VLOOKUP(L44,KBOB,13,FALSE)*M44)/N44),((VLOOKUP(O44,KBOB,13,FALSE)*P44)/Q44),((VLOOKUP(R44,KBOB,13,FALSE)*S44)/T44),((VLOOKUP(U44,KBOB,13,FALSE)*V44)/W44),((VLOOKUP(AA44,KBOB,13,FALSE)*AB44)/AC44),((VLOOKUP(AD44,KBOB,13,FALSE)*AE44)/AF44),((VLOOKUP(AG44,KBOB,13,FALSE)*AH44)/AI44))</f>
        <v>2.6908773743189056</v>
      </c>
      <c r="AT44" s="982">
        <f>SUM(((VLOOKUP(I44,KBOB,4,FALSE)*J44)/K44),((VLOOKUP(L44,KBOB,4,FALSE)*M44)/N44),((VLOOKUP(O44,KBOB,4,FALSE)*P44)/Q44),((VLOOKUP(R44,KBOB,4,FALSE)*S44)/T44),((VLOOKUP(U44,KBOB,4,FALSE)*V44)/W44),((VLOOKUP(AA44,KBOB,4,FALSE)*AB44)/AC44),((VLOOKUP(AD44,KBOB,4,FALSE)*AE44)/AF44),((VLOOKUP(AG44,KBOB,4,FALSE)*AH44)/AI44))</f>
        <v>2476.3786803013045</v>
      </c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</row>
    <row r="45" spans="1:90" s="128" customFormat="1" ht="45">
      <c r="A45" s="1065"/>
      <c r="B45" s="1065"/>
      <c r="C45" s="1065" t="s">
        <v>401</v>
      </c>
      <c r="D45" s="540" t="s">
        <v>1093</v>
      </c>
      <c r="E45" s="846">
        <v>0.47</v>
      </c>
      <c r="F45" s="976">
        <v>0.04</v>
      </c>
      <c r="G45" s="127" t="s">
        <v>1092</v>
      </c>
      <c r="H45" s="129" t="str">
        <f>G45&amp;"_"&amp;$C$45&amp;$B$35</f>
        <v>Schrägdach: Sparrenlage mit zwischenliegender Wärmedämmung (Kaltdach)_MINERGIE_P_D</v>
      </c>
      <c r="I45" s="497" t="s">
        <v>88</v>
      </c>
      <c r="J45" s="517">
        <v>47</v>
      </c>
      <c r="K45" s="129">
        <v>40</v>
      </c>
      <c r="L45" s="497" t="s">
        <v>181</v>
      </c>
      <c r="M45" s="517">
        <v>4</v>
      </c>
      <c r="N45" s="517">
        <v>40</v>
      </c>
      <c r="O45" s="496" t="s">
        <v>181</v>
      </c>
      <c r="P45" s="517">
        <v>4</v>
      </c>
      <c r="Q45" s="517">
        <v>40</v>
      </c>
      <c r="R45" s="519" t="s">
        <v>167</v>
      </c>
      <c r="S45" s="127">
        <v>5.4</v>
      </c>
      <c r="T45" s="127">
        <v>40</v>
      </c>
      <c r="U45" s="530" t="s">
        <v>177</v>
      </c>
      <c r="V45" s="517">
        <v>20.3</v>
      </c>
      <c r="W45" s="517">
        <v>60</v>
      </c>
      <c r="X45" s="497" t="s">
        <v>249</v>
      </c>
      <c r="Y45" s="847">
        <v>14.1</v>
      </c>
      <c r="Z45" s="517">
        <v>40</v>
      </c>
      <c r="AA45" s="497" t="s">
        <v>215</v>
      </c>
      <c r="AB45" s="127">
        <v>0.2</v>
      </c>
      <c r="AC45" s="127">
        <v>30</v>
      </c>
      <c r="AD45" s="497" t="s">
        <v>177</v>
      </c>
      <c r="AE45" s="127">
        <v>1.3</v>
      </c>
      <c r="AF45" s="127">
        <v>30</v>
      </c>
      <c r="AG45" s="497" t="s">
        <v>179</v>
      </c>
      <c r="AH45" s="127">
        <v>6.1</v>
      </c>
      <c r="AI45" s="127">
        <v>30</v>
      </c>
      <c r="AJ45" s="893" t="s">
        <v>338</v>
      </c>
      <c r="AK45" s="894">
        <v>0.3</v>
      </c>
      <c r="AL45" s="894">
        <v>30</v>
      </c>
      <c r="AM45" s="127"/>
      <c r="AN45" s="495">
        <f t="shared" si="0"/>
        <v>14.477247647794346</v>
      </c>
      <c r="AO45" s="495">
        <f t="shared" si="1"/>
        <v>1.0336610802052795</v>
      </c>
      <c r="AP45" s="495">
        <f t="shared" si="2"/>
        <v>1385.0807555227664</v>
      </c>
      <c r="AQ45" s="126"/>
      <c r="AR45" s="936">
        <f>SUM(((VLOOKUP(I45,KBOB,10,FALSE)*J45)/K45),((VLOOKUP(L45,KBOB,10,FALSE)*M45)/N45),((VLOOKUP(O45,KBOB,10,FALSE)*P45)/Q45),((VLOOKUP(R45,KBOB,10,FALSE)*S45)/T45),((VLOOKUP(X45,KBOB,10,FALSE)*Y45)/Z45),((VLOOKUP(AA45,KBOB,10,FALSE)*AB45)/AC45),((VLOOKUP(AD45,KBOB,10,FALSE)*AE45)/AF45),((VLOOKUP(AG45,KBOB,10,FALSE)*AH45)/AI45),((VLOOKUP(AJ45,KBOB,10,FALSE)*AK45)/AL45))</f>
        <v>13.866929760758488</v>
      </c>
      <c r="AS45" s="936">
        <f>SUM(((VLOOKUP(I45,KBOB,13,FALSE)*J45)/K45),((VLOOKUP(L45,KBOB,13,FALSE)*M45)/N45),((VLOOKUP(O45,KBOB,13,FALSE)*P45)/Q45),((VLOOKUP(R45,KBOB,13,FALSE)*S45)/T45),((VLOOKUP(X45,KBOB,13,FALSE)*Y45)/Z45),((VLOOKUP(AA45,KBOB,13,FALSE)*AB45)/AC45),((VLOOKUP(AD45,KBOB,13,FALSE)*AE45)/AF45),((VLOOKUP(AG45,KBOB,13,FALSE)*AH45)/AI45),((VLOOKUP(AJ45,KBOB,13,FALSE)*AK45)/AL45))</f>
        <v>1.0043456212513535</v>
      </c>
      <c r="AT45" s="936">
        <f>SUM(((VLOOKUP(I45,KBOB,4,FALSE)*J45)/K45),((VLOOKUP(L45,KBOB,4,FALSE)*M45)/N45),((VLOOKUP(O45,KBOB,4,FALSE)*P45)/Q45),((VLOOKUP(R45,KBOB,4,FALSE)*S45)/T45),((VLOOKUP(X45,KBOB,4,FALSE)*Y45)/Z45),((VLOOKUP(AA45,KBOB,4,FALSE)*AB45)/AC45),((VLOOKUP(AD45,KBOB,4,FALSE)*AE45)/AF45),((VLOOKUP(AG45,KBOB,4,FALSE)*AH45)/AI45),((VLOOKUP(AJ45,KBOB,4,FALSE)*AK45)/AL45))</f>
        <v>1186.1648099501242</v>
      </c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</row>
    <row r="46" spans="1:90" s="128" customFormat="1" ht="30">
      <c r="A46" s="1065"/>
      <c r="B46" s="1065"/>
      <c r="C46" s="1065"/>
      <c r="D46" s="541" t="s">
        <v>1096</v>
      </c>
      <c r="E46" s="850">
        <v>0.36</v>
      </c>
      <c r="F46" s="556">
        <v>3.7999999999999999E-2</v>
      </c>
      <c r="G46" s="129" t="s">
        <v>1250</v>
      </c>
      <c r="H46" s="129" t="str">
        <f>G46&amp;"_"&amp;$C$45&amp;$B$35</f>
        <v>Flachdach: Betondecke (Warmdach), Dämmung: EPS_MINERGIE_P_D</v>
      </c>
      <c r="I46" s="497" t="s">
        <v>82</v>
      </c>
      <c r="J46" s="497">
        <v>100</v>
      </c>
      <c r="K46" s="129">
        <v>30</v>
      </c>
      <c r="L46" s="497" t="s">
        <v>217</v>
      </c>
      <c r="M46" s="129">
        <v>9.3000000000000007</v>
      </c>
      <c r="N46" s="129">
        <v>30</v>
      </c>
      <c r="O46" s="497" t="s">
        <v>238</v>
      </c>
      <c r="P46" s="851">
        <v>10.8</v>
      </c>
      <c r="Q46" s="129">
        <v>30</v>
      </c>
      <c r="R46" s="497" t="s">
        <v>213</v>
      </c>
      <c r="S46" s="129">
        <v>4.5999999999999996</v>
      </c>
      <c r="T46" s="129">
        <v>30</v>
      </c>
      <c r="U46" s="527" t="s">
        <v>37</v>
      </c>
      <c r="V46" s="529">
        <v>523.6</v>
      </c>
      <c r="W46" s="529">
        <v>60</v>
      </c>
      <c r="X46" s="527" t="s">
        <v>137</v>
      </c>
      <c r="Y46" s="526">
        <v>17.600000000000001</v>
      </c>
      <c r="Z46" s="526">
        <v>60</v>
      </c>
      <c r="AA46" s="497" t="s">
        <v>161</v>
      </c>
      <c r="AB46" s="526">
        <v>1</v>
      </c>
      <c r="AC46" s="526">
        <v>60</v>
      </c>
      <c r="AD46" s="497" t="s">
        <v>27</v>
      </c>
      <c r="AE46" s="129"/>
      <c r="AF46" s="129">
        <v>1</v>
      </c>
      <c r="AG46" s="531" t="s">
        <v>27</v>
      </c>
      <c r="AH46" s="129"/>
      <c r="AI46" s="129">
        <v>1</v>
      </c>
      <c r="AJ46" s="893" t="s">
        <v>338</v>
      </c>
      <c r="AK46" s="894">
        <v>0.3</v>
      </c>
      <c r="AL46" s="894">
        <v>30</v>
      </c>
      <c r="AM46" s="129"/>
      <c r="AN46" s="498">
        <f t="shared" si="0"/>
        <v>71.569048400584975</v>
      </c>
      <c r="AO46" s="498">
        <f t="shared" si="1"/>
        <v>5.5298200567417686</v>
      </c>
      <c r="AP46" s="498">
        <f t="shared" si="2"/>
        <v>5185.9308450610679</v>
      </c>
      <c r="AQ46" s="126"/>
      <c r="AR46" s="937">
        <f>SUM(((VLOOKUP(I46,KBOB,10,FALSE)*J46)/K46),((VLOOKUP(L46,KBOB,10,FALSE)*M46)/N46),((VLOOKUP(O46,KBOB,10,FALSE)*P46)/Q46),((VLOOKUP(R46,KBOB,10,FALSE)*S46)/T46),((VLOOKUP(AD46,KBOB,10,FALSE)*AE46)/AF46),((VLOOKUP(AG46,KBOB,10,FALSE)*AH46)/AI46))</f>
        <v>60.568615458609706</v>
      </c>
      <c r="AS46" s="937">
        <f>SUM(((VLOOKUP(I46,KBOB,13,FALSE)*J46)/K46),((VLOOKUP(L46,KBOB,13,FALSE)*M46)/N46),((VLOOKUP(O46,KBOB,13,FALSE)*P46)/Q46),((VLOOKUP(R46,KBOB,13,FALSE)*S46)/T46),((VLOOKUP(AD46,KBOB,13,FALSE)*AE46)/AF46),((VLOOKUP(AG46,KBOB,13,FALSE)*AH46)/AI46))</f>
        <v>4.2479764200000005</v>
      </c>
      <c r="AT46" s="937">
        <f>SUM(((VLOOKUP(I46,KBOB,4,FALSE)*J46)/K46),((VLOOKUP(L46,KBOB,4,FALSE)*M46)/N46),((VLOOKUP(O46,KBOB,4,FALSE)*P46)/Q46),((VLOOKUP(R46,KBOB,4,FALSE)*S46)/T46),((VLOOKUP(AD46,KBOB,4,FALSE)*AE46)/AF46),((VLOOKUP(AG46,KBOB,4,FALSE)*AH46)/AI46))</f>
        <v>3421.1393066666669</v>
      </c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</row>
    <row r="47" spans="1:90" s="128" customFormat="1" ht="30">
      <c r="A47" s="1065"/>
      <c r="B47" s="1065"/>
      <c r="C47" s="1065"/>
      <c r="D47" s="541" t="s">
        <v>1097</v>
      </c>
      <c r="E47" s="850">
        <v>0.35</v>
      </c>
      <c r="F47" s="556">
        <v>3.7999999999999999E-2</v>
      </c>
      <c r="G47" s="129" t="s">
        <v>1253</v>
      </c>
      <c r="H47" s="129" t="str">
        <f>G47&amp;"_"&amp;$C$45&amp;$B$35</f>
        <v>Flachdach: Holzbalkendecke (Warmdach), Dämmung: EPS_MINERGIE_P_D</v>
      </c>
      <c r="I47" s="497" t="s">
        <v>82</v>
      </c>
      <c r="J47" s="497">
        <v>100</v>
      </c>
      <c r="K47" s="129">
        <v>30</v>
      </c>
      <c r="L47" s="497" t="s">
        <v>217</v>
      </c>
      <c r="M47" s="129">
        <v>9.3000000000000007</v>
      </c>
      <c r="N47" s="129">
        <v>30</v>
      </c>
      <c r="O47" s="497" t="s">
        <v>238</v>
      </c>
      <c r="P47" s="851">
        <v>10.5</v>
      </c>
      <c r="Q47" s="129">
        <v>30</v>
      </c>
      <c r="R47" s="497" t="s">
        <v>213</v>
      </c>
      <c r="S47" s="129">
        <v>3.5</v>
      </c>
      <c r="T47" s="129">
        <v>30</v>
      </c>
      <c r="U47" s="496" t="s">
        <v>179</v>
      </c>
      <c r="V47" s="129">
        <v>11.3</v>
      </c>
      <c r="W47" s="129">
        <v>60</v>
      </c>
      <c r="X47" s="497" t="s">
        <v>175</v>
      </c>
      <c r="Y47" s="129">
        <v>15.2</v>
      </c>
      <c r="Z47" s="129">
        <v>60</v>
      </c>
      <c r="AA47" s="497" t="s">
        <v>27</v>
      </c>
      <c r="AB47" s="129"/>
      <c r="AC47" s="129">
        <v>1</v>
      </c>
      <c r="AD47" s="497" t="s">
        <v>27</v>
      </c>
      <c r="AE47" s="129"/>
      <c r="AF47" s="129">
        <v>1</v>
      </c>
      <c r="AG47" s="497" t="s">
        <v>27</v>
      </c>
      <c r="AH47" s="129"/>
      <c r="AI47" s="129">
        <v>1</v>
      </c>
      <c r="AJ47" s="893" t="s">
        <v>338</v>
      </c>
      <c r="AK47" s="894">
        <v>0.3</v>
      </c>
      <c r="AL47" s="894">
        <v>30</v>
      </c>
      <c r="AM47" s="129"/>
      <c r="AN47" s="498">
        <f t="shared" si="0"/>
        <v>59.009581048542763</v>
      </c>
      <c r="AO47" s="498">
        <f t="shared" si="1"/>
        <v>4.1124269869762484</v>
      </c>
      <c r="AP47" s="498">
        <f t="shared" si="2"/>
        <v>3592.7494534248476</v>
      </c>
      <c r="AQ47" s="126"/>
      <c r="AR47" s="937">
        <f>SUM(((VLOOKUP(I47,KBOB,10,FALSE)*J47)/K47),((VLOOKUP(L47,KBOB,10,FALSE)*M47)/N47),((VLOOKUP(O47,KBOB,10,FALSE)*P47)/Q47),((VLOOKUP(R47,KBOB,10,FALSE)*S47)/T47),((VLOOKUP(U47,KBOB,10,FALSE)*V47)/W47),((VLOOKUP(AA47,KBOB,10,FALSE)*AB47)/AC47),((VLOOKUP(AD47,KBOB,10,FALSE)*AE47)/AF47),((VLOOKUP(AG47,KBOB,10,FALSE)*AH47)/AI47))</f>
        <v>58.100341425502521</v>
      </c>
      <c r="AS47" s="937">
        <f>SUM(((VLOOKUP(I47,KBOB,13,FALSE)*J47)/K47),((VLOOKUP(L47,KBOB,13,FALSE)*M47)/N47),((VLOOKUP(O47,KBOB,13,FALSE)*P47)/Q47),((VLOOKUP(R47,KBOB,13,FALSE)*S47)/T47),((VLOOKUP(U47,KBOB,13,FALSE)*V47)/W47),((VLOOKUP(AA47,KBOB,13,FALSE)*AB47)/AC47),((VLOOKUP(AD47,KBOB,13,FALSE)*AE47)/AF47),((VLOOKUP(AG47,KBOB,13,FALSE)*AH47)/AI47))</f>
        <v>4.057080764318906</v>
      </c>
      <c r="AT47" s="937">
        <f>SUM(((VLOOKUP(I47,KBOB,4,FALSE)*J47)/K47),((VLOOKUP(L47,KBOB,4,FALSE)*M47)/N47),((VLOOKUP(O47,KBOB,4,FALSE)*P47)/Q47),((VLOOKUP(R47,KBOB,4,FALSE)*S47)/T47),((VLOOKUP(U47,KBOB,4,FALSE)*V47)/W47),((VLOOKUP(AA47,KBOB,4,FALSE)*AB47)/AC47),((VLOOKUP(AD47,KBOB,4,FALSE)*AE47)/AF47),((VLOOKUP(AG47,KBOB,4,FALSE)*AH47)/AI47))</f>
        <v>3367.7237769679714</v>
      </c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</row>
    <row r="48" spans="1:90" s="128" customFormat="1" ht="30">
      <c r="A48" s="1065"/>
      <c r="B48" s="1065"/>
      <c r="C48" s="1065"/>
      <c r="D48" s="541" t="s">
        <v>1096</v>
      </c>
      <c r="E48" s="850">
        <v>0.45</v>
      </c>
      <c r="F48" s="556">
        <v>4.4999999999999998E-2</v>
      </c>
      <c r="G48" s="129" t="s">
        <v>1249</v>
      </c>
      <c r="H48" s="129" t="str">
        <f>G48&amp;"_"&amp;$C$45&amp;$B$35</f>
        <v>Flachdach: Betondecke (Warmdach), Dämmung: Schaumglas_MINERGIE_P_D</v>
      </c>
      <c r="I48" s="497" t="s">
        <v>82</v>
      </c>
      <c r="J48" s="520">
        <v>100</v>
      </c>
      <c r="K48" s="520">
        <v>30</v>
      </c>
      <c r="L48" s="497" t="s">
        <v>217</v>
      </c>
      <c r="M48" s="520">
        <v>9.3000000000000007</v>
      </c>
      <c r="N48" s="520">
        <v>30</v>
      </c>
      <c r="O48" s="497" t="s">
        <v>246</v>
      </c>
      <c r="P48" s="520">
        <v>49.5</v>
      </c>
      <c r="Q48" s="129">
        <v>30</v>
      </c>
      <c r="R48" s="497" t="s">
        <v>213</v>
      </c>
      <c r="S48" s="129">
        <v>4.5999999999999996</v>
      </c>
      <c r="T48" s="129">
        <v>30</v>
      </c>
      <c r="U48" s="497" t="s">
        <v>37</v>
      </c>
      <c r="V48" s="497">
        <v>523.6</v>
      </c>
      <c r="W48" s="497">
        <v>60</v>
      </c>
      <c r="X48" s="497" t="s">
        <v>137</v>
      </c>
      <c r="Y48" s="129">
        <v>17.600000000000001</v>
      </c>
      <c r="Z48" s="129">
        <v>60</v>
      </c>
      <c r="AA48" s="497" t="s">
        <v>161</v>
      </c>
      <c r="AB48" s="129">
        <v>1</v>
      </c>
      <c r="AC48" s="129">
        <v>60</v>
      </c>
      <c r="AD48" s="497" t="s">
        <v>27</v>
      </c>
      <c r="AE48" s="129"/>
      <c r="AF48" s="129">
        <v>1</v>
      </c>
      <c r="AG48" s="497" t="s">
        <v>27</v>
      </c>
      <c r="AH48" s="129"/>
      <c r="AI48" s="129">
        <v>1</v>
      </c>
      <c r="AJ48" s="893" t="s">
        <v>338</v>
      </c>
      <c r="AK48" s="894">
        <v>0.3</v>
      </c>
      <c r="AL48" s="894">
        <v>30</v>
      </c>
      <c r="AM48" s="129"/>
      <c r="AN48" s="498">
        <f t="shared" si="0"/>
        <v>66.114301545290274</v>
      </c>
      <c r="AO48" s="498">
        <f t="shared" si="1"/>
        <v>4.8063915067417682</v>
      </c>
      <c r="AP48" s="498">
        <f t="shared" si="2"/>
        <v>4795.9564950610675</v>
      </c>
      <c r="AQ48" s="126"/>
      <c r="AR48" s="937">
        <f>SUM(((VLOOKUP(I48,KBOB,10,FALSE)*J48)/K48),((VLOOKUP(L48,KBOB,10,FALSE)*M48)/N48),((VLOOKUP(O48,KBOB,10,FALSE)*P48)/Q48),((VLOOKUP(R48,KBOB,10,FALSE)*S48)/T48),((VLOOKUP(AD48,KBOB,10,FALSE)*AE48)/AF48),((VLOOKUP(AG48,KBOB,10,FALSE)*AH48)/AI48))</f>
        <v>55.113868603315005</v>
      </c>
      <c r="AS48" s="973">
        <f>SUM(((VLOOKUP(I48,KBOB,13,FALSE)*J48)/K48),((VLOOKUP(L48,KBOB,13,FALSE)*M48)/N48),((VLOOKUP(O48,KBOB,13,FALSE)*P48)/Q48),((VLOOKUP(R48,KBOB,13,FALSE)*S48)/T48),((VLOOKUP(AD48,KBOB,13,FALSE)*AE48)/AF48),((VLOOKUP(AG48,KBOB,13,FALSE)*AH48)/AI48))</f>
        <v>3.5245478700000001</v>
      </c>
      <c r="AT48" s="973">
        <f>SUM(((VLOOKUP(I48,KBOB,4,FALSE)*J48)/K48),((VLOOKUP(L48,KBOB,4,FALSE)*M48)/N48),((VLOOKUP(O48,KBOB,4,FALSE)*P48)/Q48),((VLOOKUP(R48,KBOB,4,FALSE)*S48)/T48),((VLOOKUP(AD48,KBOB,4,FALSE)*AE48)/AF48),((VLOOKUP(AG48,KBOB,4,FALSE)*AH48)/AI48))</f>
        <v>3031.1649566666665</v>
      </c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</row>
    <row r="49" spans="1:90" s="132" customFormat="1" ht="30.75" thickBot="1">
      <c r="A49" s="1066"/>
      <c r="B49" s="1066"/>
      <c r="C49" s="1066"/>
      <c r="D49" s="542" t="s">
        <v>1097</v>
      </c>
      <c r="E49" s="980">
        <v>0.43</v>
      </c>
      <c r="F49" s="977">
        <v>4.4999999999999998E-2</v>
      </c>
      <c r="G49" s="131" t="s">
        <v>1251</v>
      </c>
      <c r="H49" s="502" t="str">
        <f>G49&amp;"_"&amp;$C$45&amp;$B$35</f>
        <v>Flachdach: Holzbalkendecke (Warmdach), Dämmung: Schaumglas_MINERGIE_P_D</v>
      </c>
      <c r="I49" s="981" t="s">
        <v>82</v>
      </c>
      <c r="J49" s="497">
        <v>100</v>
      </c>
      <c r="K49" s="520">
        <v>30</v>
      </c>
      <c r="L49" s="497" t="s">
        <v>217</v>
      </c>
      <c r="M49" s="520">
        <v>9.3000000000000007</v>
      </c>
      <c r="N49" s="520">
        <v>30</v>
      </c>
      <c r="O49" s="497" t="s">
        <v>246</v>
      </c>
      <c r="P49" s="979">
        <v>47.6</v>
      </c>
      <c r="Q49" s="979">
        <v>30</v>
      </c>
      <c r="R49" s="497" t="s">
        <v>213</v>
      </c>
      <c r="S49" s="129">
        <v>3.5</v>
      </c>
      <c r="T49" s="129">
        <v>30</v>
      </c>
      <c r="U49" s="497" t="s">
        <v>179</v>
      </c>
      <c r="V49" s="497">
        <v>11.3</v>
      </c>
      <c r="W49" s="497">
        <v>60</v>
      </c>
      <c r="X49" s="497" t="s">
        <v>175</v>
      </c>
      <c r="Y49" s="129">
        <v>15.2</v>
      </c>
      <c r="Z49" s="129">
        <v>60</v>
      </c>
      <c r="AA49" s="981" t="s">
        <v>27</v>
      </c>
      <c r="AB49" s="129"/>
      <c r="AC49" s="129">
        <v>1</v>
      </c>
      <c r="AD49" s="981" t="s">
        <v>27</v>
      </c>
      <c r="AE49" s="129"/>
      <c r="AF49" s="129">
        <v>1</v>
      </c>
      <c r="AG49" s="499" t="s">
        <v>27</v>
      </c>
      <c r="AH49" s="129"/>
      <c r="AI49" s="129">
        <v>1</v>
      </c>
      <c r="AJ49" s="893" t="s">
        <v>338</v>
      </c>
      <c r="AK49" s="894">
        <v>0.3</v>
      </c>
      <c r="AL49" s="894">
        <v>30</v>
      </c>
      <c r="AM49" s="502"/>
      <c r="AN49" s="503">
        <f t="shared" si="0"/>
        <v>53.362016460233299</v>
      </c>
      <c r="AO49" s="503">
        <f t="shared" si="1"/>
        <v>3.388652746976248</v>
      </c>
      <c r="AP49" s="503">
        <f t="shared" si="2"/>
        <v>3197.8129067581808</v>
      </c>
      <c r="AQ49" s="126"/>
      <c r="AR49" s="982">
        <f>SUM(((VLOOKUP(I49,KBOB,10,FALSE)*J49)/K49),((VLOOKUP(L49,KBOB,10,FALSE)*M49)/N49),((VLOOKUP(O49,KBOB,10,FALSE)*P49)/Q49),((VLOOKUP(R49,KBOB,10,FALSE)*S49)/T49),((VLOOKUP(U49,KBOB,10,FALSE)*V49)/W49),((VLOOKUP(AA49,KBOB,10,FALSE)*AB49)/AC49),((VLOOKUP(AD49,KBOB,10,FALSE)*AE49)/AF49),((VLOOKUP(AG49,KBOB,10,FALSE)*AH49)/AI49))</f>
        <v>52.452776837193056</v>
      </c>
      <c r="AS49" s="982">
        <f>SUM(((VLOOKUP(I49,KBOB,13,FALSE)*J49)/K49),((VLOOKUP(L49,KBOB,13,FALSE)*M49)/N49),((VLOOKUP(O49,KBOB,13,FALSE)*P49)/Q49),((VLOOKUP(R49,KBOB,13,FALSE)*S49)/T49),((VLOOKUP(U49,KBOB,13,FALSE)*V49)/W49),((VLOOKUP(AA49,KBOB,13,FALSE)*AB49)/AC49),((VLOOKUP(AD49,KBOB,13,FALSE)*AE49)/AF49),((VLOOKUP(AG49,KBOB,13,FALSE)*AH49)/AI49))</f>
        <v>3.3333065243189055</v>
      </c>
      <c r="AT49" s="982">
        <f>SUM(((VLOOKUP(I49,KBOB,4,FALSE)*J49)/K49),((VLOOKUP(L49,KBOB,4,FALSE)*M49)/N49),((VLOOKUP(O49,KBOB,4,FALSE)*P49)/Q49),((VLOOKUP(R49,KBOB,4,FALSE)*S49)/T49),((VLOOKUP(U49,KBOB,4,FALSE)*V49)/W49),((VLOOKUP(AA49,KBOB,4,FALSE)*AB49)/AC49),((VLOOKUP(AD49,KBOB,4,FALSE)*AE49)/AF49),((VLOOKUP(AG49,KBOB,4,FALSE)*AH49)/AI49))</f>
        <v>2972.7872303013046</v>
      </c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</row>
    <row r="50" spans="1:90" ht="30">
      <c r="A50" s="1062" t="s">
        <v>1137</v>
      </c>
      <c r="B50" s="1062" t="s">
        <v>397</v>
      </c>
      <c r="C50" s="1080" t="s">
        <v>380</v>
      </c>
      <c r="D50" s="522" t="s">
        <v>1099</v>
      </c>
      <c r="E50" s="852">
        <v>0.15</v>
      </c>
      <c r="F50" s="522">
        <v>0.04</v>
      </c>
      <c r="G50" s="134" t="s">
        <v>1098</v>
      </c>
      <c r="H50" s="560" t="str">
        <f>G50&amp;"_"&amp;$C$50&amp;$B$50</f>
        <v>Holzblockwand, Aussenwärmedämmung, Verkleidung_MuKen_Wü</v>
      </c>
      <c r="I50" s="504" t="s">
        <v>181</v>
      </c>
      <c r="J50" s="133">
        <v>56.4</v>
      </c>
      <c r="K50" s="133">
        <v>60</v>
      </c>
      <c r="L50" s="504" t="s">
        <v>215</v>
      </c>
      <c r="M50" s="133">
        <v>0.2</v>
      </c>
      <c r="N50" s="133">
        <v>40</v>
      </c>
      <c r="O50" s="504" t="s">
        <v>249</v>
      </c>
      <c r="P50" s="853">
        <v>9</v>
      </c>
      <c r="Q50" s="133">
        <v>40</v>
      </c>
      <c r="R50" s="504" t="s">
        <v>153</v>
      </c>
      <c r="S50" s="133">
        <v>0.3</v>
      </c>
      <c r="T50" s="133">
        <v>40</v>
      </c>
      <c r="U50" s="504" t="s">
        <v>179</v>
      </c>
      <c r="V50" s="133">
        <v>1.3</v>
      </c>
      <c r="W50" s="133">
        <v>40</v>
      </c>
      <c r="X50" s="504" t="s">
        <v>181</v>
      </c>
      <c r="Y50" s="133">
        <v>11.3</v>
      </c>
      <c r="Z50" s="133">
        <v>40</v>
      </c>
      <c r="AA50" s="544" t="s">
        <v>27</v>
      </c>
      <c r="AB50" s="133"/>
      <c r="AC50" s="133">
        <v>1</v>
      </c>
      <c r="AD50" s="504" t="s">
        <v>27</v>
      </c>
      <c r="AE50" s="133"/>
      <c r="AF50" s="133">
        <v>1</v>
      </c>
      <c r="AG50" s="893" t="s">
        <v>338</v>
      </c>
      <c r="AH50" s="894">
        <v>0.3</v>
      </c>
      <c r="AI50" s="894">
        <v>30</v>
      </c>
      <c r="AJ50" s="893" t="s">
        <v>1164</v>
      </c>
      <c r="AK50" s="894">
        <v>0.3</v>
      </c>
      <c r="AL50" s="894">
        <v>30</v>
      </c>
      <c r="AM50" s="133"/>
      <c r="AN50" s="137">
        <f t="shared" si="0"/>
        <v>9.0401495946135491</v>
      </c>
      <c r="AO50" s="137">
        <f t="shared" si="1"/>
        <v>0.48407555178137079</v>
      </c>
      <c r="AP50" s="137">
        <f t="shared" si="2"/>
        <v>1391.1339394283852</v>
      </c>
      <c r="AR50" s="936">
        <f>SUM(((VLOOKUP(L50,KBOB,10,FALSE)*M50)/N50),((VLOOKUP(O50,KBOB,10,FALSE)*P50)/Q50),((VLOOKUP(R50,KBOB,10,FALSE)*S50)/T50),((VLOOKUP(U50,KBOB,10,FALSE)*V50)/W50),((VLOOKUP(X50,KBOB,10,FALSE)*Y50)/Z50),((VLOOKUP(AA50,KBOB,10,FALSE)*AB50)/AC50),((VLOOKUP(AD50,KBOB,10,FALSE)*AE50)/AF50),((VLOOKUP(AJ50,KBOB,10,FALSE)*AK50)/AL50))</f>
        <v>5.6121342833261592</v>
      </c>
      <c r="AS50" s="936">
        <f>SUM(((VLOOKUP(L50,KBOB,13,FALSE)*M50)/N50),((VLOOKUP(O50,KBOB,13,FALSE)*P50)/Q50),((VLOOKUP(R50,KBOB,13,FALSE)*S50)/T50),((VLOOKUP(U50,KBOB,13,FALSE)*V50)/W50),((VLOOKUP(X50,KBOB,13,FALSE)*Y50)/Z50),((VLOOKUP(AA50,KBOB,13,FALSE)*AB50)/AC50),((VLOOKUP(AD50,KBOB,13,FALSE)*AE50)/AF50),((VLOOKUP(AJ50,KBOB,13,FALSE)*AK50)/AL50))</f>
        <v>0.34538667717690502</v>
      </c>
      <c r="AT50" s="936">
        <f>SUM(((VLOOKUP(L50,KBOB,4,FALSE)*M50)/N50),((VLOOKUP(O50,KBOB,4,FALSE)*P50)/Q50),((VLOOKUP(R50,KBOB,4,FALSE)*S50)/T50),((VLOOKUP(U50,KBOB,4,FALSE)*V50)/W50),((VLOOKUP(X50,KBOB,4,FALSE)*Y50)/Z50),((VLOOKUP(AA50,KBOB,4,FALSE)*AB50)/AC50),((VLOOKUP(AD50,KBOB,4,FALSE)*AE50)/AF50),((VLOOKUP(AJ50,KBOB,4,FALSE)*AK50)/AL50))</f>
        <v>633.25557139928367</v>
      </c>
    </row>
    <row r="51" spans="1:90" ht="30">
      <c r="A51" s="1062"/>
      <c r="B51" s="1062"/>
      <c r="C51" s="1068"/>
      <c r="D51" s="523" t="s">
        <v>1100</v>
      </c>
      <c r="E51" s="856">
        <v>0.17</v>
      </c>
      <c r="F51" s="523">
        <v>3.7999999999999999E-2</v>
      </c>
      <c r="G51" s="134" t="s">
        <v>1190</v>
      </c>
      <c r="H51" s="134" t="str">
        <f t="shared" ref="H51:H56" si="3">G51&amp;"_"&amp;$C$50&amp;$B$50</f>
        <v>Einschalenbacksteinmauerwerk, Aussenwärmedämmung verputzt_MuKen_Wü</v>
      </c>
      <c r="I51" s="505" t="s">
        <v>94</v>
      </c>
      <c r="J51" s="134">
        <v>15</v>
      </c>
      <c r="K51" s="134">
        <v>30</v>
      </c>
      <c r="L51" s="505" t="s">
        <v>44</v>
      </c>
      <c r="M51" s="134">
        <v>112.5</v>
      </c>
      <c r="N51" s="134">
        <v>60</v>
      </c>
      <c r="O51" s="505" t="s">
        <v>108</v>
      </c>
      <c r="P51" s="134">
        <v>21.25</v>
      </c>
      <c r="Q51" s="134">
        <v>60</v>
      </c>
      <c r="R51" s="505" t="s">
        <v>96</v>
      </c>
      <c r="S51" s="134">
        <v>4.8</v>
      </c>
      <c r="T51" s="134">
        <v>30</v>
      </c>
      <c r="U51" s="505" t="s">
        <v>238</v>
      </c>
      <c r="V51" s="857">
        <v>2.6</v>
      </c>
      <c r="W51" s="134">
        <v>30</v>
      </c>
      <c r="X51" s="505" t="s">
        <v>96</v>
      </c>
      <c r="Y51" s="134">
        <v>4.8</v>
      </c>
      <c r="Z51" s="134">
        <v>30</v>
      </c>
      <c r="AA51" s="505" t="s">
        <v>362</v>
      </c>
      <c r="AB51" s="134">
        <v>0.15</v>
      </c>
      <c r="AC51" s="134">
        <v>30</v>
      </c>
      <c r="AD51" s="505" t="s">
        <v>110</v>
      </c>
      <c r="AE51" s="134">
        <v>7.5</v>
      </c>
      <c r="AF51" s="134">
        <v>30</v>
      </c>
      <c r="AG51" s="893" t="s">
        <v>338</v>
      </c>
      <c r="AH51" s="894">
        <v>0.3</v>
      </c>
      <c r="AI51" s="894">
        <v>30</v>
      </c>
      <c r="AJ51" s="893" t="s">
        <v>1164</v>
      </c>
      <c r="AK51" s="894">
        <v>0.3</v>
      </c>
      <c r="AL51" s="894">
        <v>30</v>
      </c>
      <c r="AM51" s="134"/>
      <c r="AN51" s="498">
        <f>SUM(((VLOOKUP(I51,KBOB,10,FALSE)*J51)/K51),((VLOOKUP(L51,KBOB,10,FALSE)*M51)/N51),((VLOOKUP(O51,KBOB,10,FALSE)*P51)/Q51),((VLOOKUP(R51,KBOB,10,FALSE)*S51)/T51),((VLOOKUP(U51,KBOB,10,FALSE)*V51)/W51),((VLOOKUP(X51,KBOB,10,FALSE)*Y51)/Z51),((VLOOKUP(AA51,KBOB,10,FALSE)*AB51)/AC51),((VLOOKUP(AD51,KBOB,10,FALSE)*AE51)/AF51),((VLOOKUP(AG51,KBOB,10,FALSE)*AH51)/AI51),((VLOOKUP(AJ51,KBOB,10,FALSE)*AK51)/AL51))</f>
        <v>24.450567975365288</v>
      </c>
      <c r="AO51" s="498">
        <f t="shared" si="1"/>
        <v>1.68354135538</v>
      </c>
      <c r="AP51" s="498">
        <f t="shared" si="2"/>
        <v>1493.5480313625001</v>
      </c>
      <c r="AR51" s="937">
        <f>SUM(((VLOOKUP(R51,KBOB,10,FALSE)*S51)/T51),((VLOOKUP(U51,KBOB,10,FALSE)*V51)/W51),((VLOOKUP(X51,KBOB,10,FALSE)*Y51)/Z51),((VLOOKUP(AA51,KBOB,10,FALSE)*AB51)/AC51),((VLOOKUP(AD51,KBOB,10,FALSE)*AE51)/AF51),((VLOOKUP(AJ51,KBOB,10,FALSE)*AK51)/AL51))</f>
        <v>17.769525104241847</v>
      </c>
      <c r="AS51" s="937">
        <f>SUM(((VLOOKUP(R51,KBOB,13,FALSE)*S51)/T51),((VLOOKUP(U51,KBOB,13,FALSE)*V51)/W51),((VLOOKUP(X51,KBOB,13,FALSE)*Y51)/Z51),((VLOOKUP(AA51,KBOB,13,FALSE)*AB51)/AC51),((VLOOKUP(AD51,KBOB,13,FALSE)*AE51)/AF51),((VLOOKUP(AJ51,KBOB,13,FALSE)*AK51)/AL51))</f>
        <v>1.0915472623133333</v>
      </c>
      <c r="AT51" s="937">
        <f>SUM(((VLOOKUP(R51,KBOB,4,FALSE)*S51)/T51),((VLOOKUP(U51,KBOB,4,FALSE)*V51)/W51),((VLOOKUP(X51,KBOB,4,FALSE)*Y51)/Z51),((VLOOKUP(AA51,KBOB,4,FALSE)*AB51)/AC51),((VLOOKUP(AD51,KBOB,4,FALSE)*AE51)/AF51),((VLOOKUP(AJ51,KBOB,4,FALSE)*AK51)/AL51))</f>
        <v>1002.9081613749998</v>
      </c>
    </row>
    <row r="52" spans="1:90" ht="30">
      <c r="A52" s="1062"/>
      <c r="B52" s="1062"/>
      <c r="C52" s="1068"/>
      <c r="D52" s="523" t="s">
        <v>1104</v>
      </c>
      <c r="E52" s="856">
        <v>0.19</v>
      </c>
      <c r="F52" s="523">
        <v>0.04</v>
      </c>
      <c r="G52" s="134" t="s">
        <v>1105</v>
      </c>
      <c r="H52" s="134" t="str">
        <f t="shared" si="3"/>
        <v>Sichtbetonwand, Aussenwärmedämmung hinterlüftet_MuKen_Wü</v>
      </c>
      <c r="I52" s="505" t="s">
        <v>37</v>
      </c>
      <c r="J52" s="134">
        <v>476</v>
      </c>
      <c r="K52" s="134">
        <v>60</v>
      </c>
      <c r="L52" s="505" t="s">
        <v>137</v>
      </c>
      <c r="M52" s="134">
        <v>12</v>
      </c>
      <c r="N52" s="134">
        <v>60</v>
      </c>
      <c r="O52" s="505" t="s">
        <v>161</v>
      </c>
      <c r="P52" s="134">
        <v>2</v>
      </c>
      <c r="Q52" s="134">
        <v>60</v>
      </c>
      <c r="R52" s="505" t="s">
        <v>231</v>
      </c>
      <c r="S52" s="857">
        <v>5.7</v>
      </c>
      <c r="T52" s="134">
        <v>40</v>
      </c>
      <c r="U52" s="505" t="s">
        <v>153</v>
      </c>
      <c r="V52" s="134">
        <v>0.3</v>
      </c>
      <c r="W52" s="134">
        <v>40</v>
      </c>
      <c r="X52" s="505" t="s">
        <v>177</v>
      </c>
      <c r="Y52" s="134">
        <v>1.3</v>
      </c>
      <c r="Z52" s="134">
        <v>40</v>
      </c>
      <c r="AA52" s="505" t="s">
        <v>177</v>
      </c>
      <c r="AB52" s="134">
        <v>11.3</v>
      </c>
      <c r="AC52" s="134">
        <v>40</v>
      </c>
      <c r="AD52" s="505" t="s">
        <v>27</v>
      </c>
      <c r="AE52" s="134"/>
      <c r="AF52" s="134">
        <v>1</v>
      </c>
      <c r="AG52" s="505" t="s">
        <v>27</v>
      </c>
      <c r="AH52" s="134"/>
      <c r="AI52" s="134">
        <v>1</v>
      </c>
      <c r="AJ52" s="893" t="s">
        <v>1164</v>
      </c>
      <c r="AK52" s="894">
        <v>0.3</v>
      </c>
      <c r="AL52" s="894">
        <v>30</v>
      </c>
      <c r="AM52" s="134"/>
      <c r="AN52" s="498">
        <f t="shared" si="0"/>
        <v>16.912050592207127</v>
      </c>
      <c r="AO52" s="498">
        <f t="shared" si="1"/>
        <v>1.4014843908396351</v>
      </c>
      <c r="AP52" s="498">
        <f t="shared" si="2"/>
        <v>2083.0626394026667</v>
      </c>
      <c r="AR52" s="937">
        <f>SUM(((VLOOKUP(R52,KBOB,10,FALSE)*S52)/T52),((VLOOKUP(U52,KBOB,10,FALSE)*V52)/W52),((VLOOKUP(X52,KBOB,10,FALSE)*Y52)/Z52),((VLOOKUP(AA52,KBOB,10,FALSE)*AB52)/AC52),((VLOOKUP(AD52,KBOB,10,FALSE)*AE52)/AF52),((VLOOKUP(AJ52,KBOB,10,FALSE)*AK52)/AL52))</f>
        <v>7.7639252042709126</v>
      </c>
      <c r="AS52" s="937">
        <f>SUM(((VLOOKUP(R52,KBOB,13,FALSE)*S52)/T52),((VLOOKUP(U52,KBOB,13,FALSE)*V52)/W52),((VLOOKUP(X52,KBOB,13,FALSE)*Y52)/Z52),((VLOOKUP(AA52,KBOB,13,FALSE)*AB52)/AC52),((VLOOKUP(AD52,KBOB,13,FALSE)*AE52)/AF52),((VLOOKUP(AJ52,KBOB,13,FALSE)*AK52)/AL52))</f>
        <v>0.28462149548516613</v>
      </c>
      <c r="AT52" s="937">
        <f>SUM(((VLOOKUP(R52,KBOB,4,FALSE)*S52)/T52),((VLOOKUP(U52,KBOB,4,FALSE)*V52)/W52),((VLOOKUP(X52,KBOB,4,FALSE)*Y52)/Z52),((VLOOKUP(AA52,KBOB,4,FALSE)*AB52)/AC52),((VLOOKUP(AD52,KBOB,4,FALSE)*AE52)/AF52),((VLOOKUP(AJ52,KBOB,4,FALSE)*AK52)/AL52))</f>
        <v>630.7976044986666</v>
      </c>
    </row>
    <row r="53" spans="1:90" ht="34.5" customHeight="1">
      <c r="A53" s="1062"/>
      <c r="B53" s="1062"/>
      <c r="C53" s="1068"/>
      <c r="D53" s="523" t="s">
        <v>1106</v>
      </c>
      <c r="E53" s="856">
        <v>0.17</v>
      </c>
      <c r="F53" s="523">
        <v>0.04</v>
      </c>
      <c r="G53" s="134" t="s">
        <v>1191</v>
      </c>
      <c r="H53" s="134" t="str">
        <f t="shared" si="3"/>
        <v>Zweischalenmauerwerk verputzt, Kerndämmung_MuKen_Wü</v>
      </c>
      <c r="I53" s="505" t="s">
        <v>94</v>
      </c>
      <c r="J53" s="134">
        <v>15</v>
      </c>
      <c r="K53" s="134">
        <v>30</v>
      </c>
      <c r="L53" s="505" t="s">
        <v>44</v>
      </c>
      <c r="M53" s="134">
        <v>135</v>
      </c>
      <c r="N53" s="134">
        <v>60</v>
      </c>
      <c r="O53" s="505" t="s">
        <v>108</v>
      </c>
      <c r="P53" s="134">
        <v>25.5</v>
      </c>
      <c r="Q53" s="134">
        <v>60</v>
      </c>
      <c r="R53" s="505" t="s">
        <v>231</v>
      </c>
      <c r="S53" s="857">
        <v>3.7</v>
      </c>
      <c r="T53" s="134">
        <v>40</v>
      </c>
      <c r="U53" s="505" t="s">
        <v>44</v>
      </c>
      <c r="V53" s="134">
        <v>112.5</v>
      </c>
      <c r="W53" s="134">
        <v>40</v>
      </c>
      <c r="X53" s="505" t="s">
        <v>108</v>
      </c>
      <c r="Y53" s="134">
        <v>21.25</v>
      </c>
      <c r="Z53" s="134">
        <v>40</v>
      </c>
      <c r="AA53" s="505" t="s">
        <v>110</v>
      </c>
      <c r="AB53" s="134">
        <v>22.5</v>
      </c>
      <c r="AC53" s="134">
        <v>30</v>
      </c>
      <c r="AD53" s="505" t="s">
        <v>27</v>
      </c>
      <c r="AE53" s="134"/>
      <c r="AF53" s="134">
        <v>1</v>
      </c>
      <c r="AG53" s="893" t="s">
        <v>338</v>
      </c>
      <c r="AH53" s="894">
        <v>0.3</v>
      </c>
      <c r="AI53" s="894">
        <v>30</v>
      </c>
      <c r="AJ53" s="893" t="s">
        <v>1164</v>
      </c>
      <c r="AK53" s="894">
        <v>0.3</v>
      </c>
      <c r="AL53" s="894">
        <v>30</v>
      </c>
      <c r="AM53" s="134"/>
      <c r="AN53" s="498">
        <f t="shared" si="0"/>
        <v>22.029982568598381</v>
      </c>
      <c r="AO53" s="498">
        <f t="shared" si="1"/>
        <v>1.8208044133800003</v>
      </c>
      <c r="AP53" s="498">
        <f t="shared" si="2"/>
        <v>1525.7293844162498</v>
      </c>
      <c r="AR53" s="935">
        <f>SUM(((VLOOKUP(R53,KBOB,10,FALSE)*S53)/T53),((VLOOKUP(U53,KBOB,10,FALSE)*V53)/W53),((VLOOKUP(X53,KBOB,10,FALSE)*Y53)/Z53),((VLOOKUP(AA53,KBOB,10,FALSE)*AB53)/AC53),((VLOOKUP(AD53,KBOB,10,FALSE)*AE53)/AF53),((VLOOKUP(AJ53,KBOB,10,FALSE)*AK53)/AL53))</f>
        <v>14.207685301136085</v>
      </c>
      <c r="AS53" s="935">
        <f>SUM(((VLOOKUP(R53,KBOB,13,FALSE)*S53)/T53),((VLOOKUP(U53,KBOB,13,FALSE)*V53)/W53),((VLOOKUP(X53,KBOB,13,FALSE)*Y53)/Z53),((VLOOKUP(AA53,KBOB,13,FALSE)*AB53)/AC53),((VLOOKUP(AD53,KBOB,13,FALSE)*AE53)/AF53),((VLOOKUP(AJ53,KBOB,13,FALSE)*AK53)/AL53))</f>
        <v>1.1217350421000001</v>
      </c>
      <c r="AT53" s="935">
        <f>SUM(((VLOOKUP(R53,KBOB,4,FALSE)*S53)/T53),((VLOOKUP(U53,KBOB,4,FALSE)*V53)/W53),((VLOOKUP(X53,KBOB,4,FALSE)*Y53)/Z53),((VLOOKUP(AA53,KBOB,4,FALSE)*AB53)/AC53),((VLOOKUP(AD53,KBOB,4,FALSE)*AE53)/AF53),((VLOOKUP(AJ53,KBOB,4,FALSE)*AK53)/AL53))</f>
        <v>955.93480498124984</v>
      </c>
    </row>
    <row r="54" spans="1:90" ht="30">
      <c r="A54" s="1062"/>
      <c r="B54" s="1062"/>
      <c r="C54" s="1068"/>
      <c r="D54" s="523" t="s">
        <v>1107</v>
      </c>
      <c r="E54" s="858">
        <v>0.21</v>
      </c>
      <c r="F54" s="545">
        <v>0.04</v>
      </c>
      <c r="G54" s="538" t="s">
        <v>1108</v>
      </c>
      <c r="H54" s="134" t="str">
        <f t="shared" si="3"/>
        <v>Holzelementwand mit zwischenliegender Wärmedämmung_MuKen_Wü</v>
      </c>
      <c r="I54" s="547" t="s">
        <v>181</v>
      </c>
      <c r="J54" s="538">
        <v>7.05</v>
      </c>
      <c r="K54" s="1007">
        <v>30</v>
      </c>
      <c r="L54" s="547" t="s">
        <v>161</v>
      </c>
      <c r="M54" s="538">
        <v>12</v>
      </c>
      <c r="N54" s="1007">
        <v>40</v>
      </c>
      <c r="O54" s="547" t="s">
        <v>215</v>
      </c>
      <c r="P54" s="538">
        <v>0.188</v>
      </c>
      <c r="Q54" s="1007">
        <v>40</v>
      </c>
      <c r="R54" s="547" t="s">
        <v>249</v>
      </c>
      <c r="S54" s="859">
        <v>6.3</v>
      </c>
      <c r="T54" s="1007">
        <v>40</v>
      </c>
      <c r="U54" s="547" t="s">
        <v>177</v>
      </c>
      <c r="V54" s="538">
        <v>15.228</v>
      </c>
      <c r="W54" s="1007">
        <v>40</v>
      </c>
      <c r="X54" s="547" t="s">
        <v>183</v>
      </c>
      <c r="Y54" s="538">
        <v>9</v>
      </c>
      <c r="Z54" s="1007">
        <v>40</v>
      </c>
      <c r="AA54" s="505" t="s">
        <v>181</v>
      </c>
      <c r="AB54" s="134">
        <v>11.28</v>
      </c>
      <c r="AC54" s="1006">
        <v>40</v>
      </c>
      <c r="AD54" s="505" t="s">
        <v>27</v>
      </c>
      <c r="AE54" s="134"/>
      <c r="AF54" s="134">
        <v>1</v>
      </c>
      <c r="AG54" s="893" t="s">
        <v>338</v>
      </c>
      <c r="AH54" s="894">
        <v>0.3</v>
      </c>
      <c r="AI54" s="894">
        <v>30</v>
      </c>
      <c r="AJ54" s="893" t="s">
        <v>1164</v>
      </c>
      <c r="AK54" s="894">
        <v>0.3</v>
      </c>
      <c r="AL54" s="894">
        <v>30</v>
      </c>
      <c r="AM54" s="134"/>
      <c r="AN54" s="498">
        <f t="shared" si="0"/>
        <v>11.938954530297581</v>
      </c>
      <c r="AO54" s="498">
        <f t="shared" si="1"/>
        <v>0.6760589675840929</v>
      </c>
      <c r="AP54" s="498">
        <f t="shared" si="2"/>
        <v>1499.985635852966</v>
      </c>
      <c r="AR54" s="937">
        <f>SUM(((VLOOKUP(R54,KBOB,10,FALSE)*S54)/T54),((VLOOKUP(X54,KBOB,10,FALSE)*Y54)/Z54),((VLOOKUP(AA54,KBOB,10,FALSE)*AB54)/AC54),((VLOOKUP(AD54,KBOB,10,FALSE)*AE54)/AF54),((VLOOKUP(AJ54,KBOB,10,FALSE)*AK54)/AL54))</f>
        <v>6.8400937802186892</v>
      </c>
      <c r="AS54" s="937">
        <f>SUM(((VLOOKUP(R54,KBOB,13,FALSE)*S54)/T54),((VLOOKUP(X54,KBOB,13,FALSE)*Y54)/Z54),((VLOOKUP(AA54,KBOB,13,FALSE)*AB54)/AC54),((VLOOKUP(AD54,KBOB,13,FALSE)*AE54)/AF54),((VLOOKUP(AJ54,KBOB,13,FALSE)*AK54)/AL54))</f>
        <v>0.38704865688683421</v>
      </c>
      <c r="AT54" s="937">
        <f>SUM(((VLOOKUP(R54,KBOB,4,FALSE)*S54)/T54),((VLOOKUP(X54,KBOB,4,FALSE)*Y54)/Z54),((VLOOKUP(AA54,KBOB,4,FALSE)*AB54)/AC54),((VLOOKUP(AD54,KBOB,4,FALSE)*AE54)/AF54),((VLOOKUP(AJ54,KBOB,4,FALSE)*AK54)/AL54))</f>
        <v>667.08351040873038</v>
      </c>
    </row>
    <row r="55" spans="1:90" ht="30">
      <c r="A55" s="1062"/>
      <c r="B55" s="1062"/>
      <c r="C55" s="1068"/>
      <c r="D55" s="554" t="s">
        <v>1109</v>
      </c>
      <c r="E55" s="861">
        <v>0.21</v>
      </c>
      <c r="F55" s="554">
        <v>0.04</v>
      </c>
      <c r="G55" s="134" t="s">
        <v>1192</v>
      </c>
      <c r="H55" s="134" t="str">
        <f t="shared" si="3"/>
        <v>Einschalenbacksteinmauerwerk, Aussenwärmedämmung hinterlüftet_MuKen_Wü</v>
      </c>
      <c r="I55" s="505" t="s">
        <v>94</v>
      </c>
      <c r="J55" s="134">
        <v>15</v>
      </c>
      <c r="K55" s="134">
        <v>30</v>
      </c>
      <c r="L55" s="505" t="s">
        <v>44</v>
      </c>
      <c r="M55" s="134">
        <v>112.5</v>
      </c>
      <c r="N55" s="134">
        <v>60</v>
      </c>
      <c r="O55" s="505" t="s">
        <v>108</v>
      </c>
      <c r="P55" s="134">
        <v>21.25</v>
      </c>
      <c r="Q55" s="134">
        <v>60</v>
      </c>
      <c r="R55" s="505" t="s">
        <v>177</v>
      </c>
      <c r="S55" s="134">
        <v>7.6139999999999999</v>
      </c>
      <c r="T55" s="134">
        <v>40</v>
      </c>
      <c r="U55" s="505" t="s">
        <v>231</v>
      </c>
      <c r="V55" s="857">
        <v>6.3</v>
      </c>
      <c r="W55" s="134">
        <v>40</v>
      </c>
      <c r="X55" s="1005" t="s">
        <v>177</v>
      </c>
      <c r="Y55" s="1006">
        <v>1.3</v>
      </c>
      <c r="Z55" s="1006">
        <v>40</v>
      </c>
      <c r="AA55" s="505" t="s">
        <v>177</v>
      </c>
      <c r="AB55" s="134">
        <v>11.28</v>
      </c>
      <c r="AC55" s="134">
        <v>40</v>
      </c>
      <c r="AD55" s="552" t="s">
        <v>27</v>
      </c>
      <c r="AE55" s="549"/>
      <c r="AF55" s="549">
        <v>1</v>
      </c>
      <c r="AG55" s="893" t="s">
        <v>338</v>
      </c>
      <c r="AH55" s="894">
        <v>0.3</v>
      </c>
      <c r="AI55" s="894">
        <v>30</v>
      </c>
      <c r="AJ55" s="893" t="s">
        <v>1164</v>
      </c>
      <c r="AK55" s="894">
        <v>0.3</v>
      </c>
      <c r="AL55" s="894">
        <v>30</v>
      </c>
      <c r="AM55" s="134"/>
      <c r="AN55" s="498">
        <f>SUM(((VLOOKUP(I55,KBOB,10,FALSE)*J55)/K55),((VLOOKUP(L55,KBOB,10,FALSE)*M55)/N55),((VLOOKUP(O55,KBOB,10,FALSE)*P55)/Q55),((VLOOKUP(R55,KBOB,10,FALSE)*S55)/T55),((VLOOKUP(U55,KBOB,10,FALSE)*V55)/W55),((VLOOKUP(X55,KBOB,10,FALSE)*Y55)/Z55),((VLOOKUP(AA55,KBOB,10,FALSE)*AB55)/AC55),((VLOOKUP(AD55,KBOB,10,FALSE)*AE55)/AF55),((VLOOKUP(AG55,KBOB,10,FALSE)*AH55)/AI55),((VLOOKUP(AJ55,KBOB,10,FALSE)*AK55)/AL55))</f>
        <v>15.037026921112362</v>
      </c>
      <c r="AO55" s="498">
        <f t="shared" si="1"/>
        <v>0.88875676530427117</v>
      </c>
      <c r="AP55" s="498">
        <f t="shared" si="2"/>
        <v>1160.1557767530617</v>
      </c>
      <c r="AR55" s="937">
        <f>SUM(((VLOOKUP(R55,KBOB,10,FALSE)*S55)/T55),((VLOOKUP(U55,KBOB,10,FALSE)*V55)/W55),((VLOOKUP(X55,KBOB,10,FALSE)*Y55)/Z55),((VLOOKUP(AA55,KBOB,10,FALSE)*AB55)/AC55),((VLOOKUP(AD55,KBOB,10,FALSE)*AE55)/AF55),((VLOOKUP(AJ55,KBOB,10,FALSE)*AK55)/AL55))</f>
        <v>8.3559840499889209</v>
      </c>
      <c r="AS55" s="937">
        <f>SUM(((VLOOKUP(R55,KBOB,13,FALSE)*S55)/T55),((VLOOKUP(U55,KBOB,13,FALSE)*V55)/W55),((VLOOKUP(X55,KBOB,13,FALSE)*Y55)/Z55),((VLOOKUP(AA55,KBOB,13,FALSE)*AB55)/AC55),((VLOOKUP(AD55,KBOB,13,FALSE)*AE55)/AF55),((VLOOKUP(AJ55,KBOB,13,FALSE)*AK55)/AL55))</f>
        <v>0.29676267223760444</v>
      </c>
      <c r="AT55" s="937">
        <f>SUM(((VLOOKUP(R55,KBOB,4,FALSE)*S55)/T55),((VLOOKUP(U55,KBOB,4,FALSE)*V55)/W55),((VLOOKUP(X55,KBOB,4,FALSE)*Y55)/Z55),((VLOOKUP(AA55,KBOB,4,FALSE)*AB55)/AC55),((VLOOKUP(AD55,KBOB,4,FALSE)*AE55)/AF55),((VLOOKUP(AJ55,KBOB,4,FALSE)*AK55)/AL55))</f>
        <v>669.51590676556145</v>
      </c>
    </row>
    <row r="56" spans="1:90">
      <c r="A56" s="1062"/>
      <c r="B56" s="1062"/>
      <c r="C56" s="1069"/>
      <c r="D56" s="553"/>
      <c r="E56" s="553"/>
      <c r="F56" s="553"/>
      <c r="G56" s="507"/>
      <c r="H56" s="135" t="str">
        <f t="shared" si="3"/>
        <v>_MuKen_Wü</v>
      </c>
      <c r="I56" s="506"/>
      <c r="J56" s="507"/>
      <c r="K56" s="507"/>
      <c r="L56" s="506"/>
      <c r="M56" s="507"/>
      <c r="N56" s="507"/>
      <c r="O56" s="506"/>
      <c r="P56" s="507"/>
      <c r="Q56" s="507"/>
      <c r="R56" s="506"/>
      <c r="S56" s="507"/>
      <c r="T56" s="507"/>
      <c r="U56" s="506"/>
      <c r="V56" s="507"/>
      <c r="W56" s="507"/>
      <c r="X56" s="506"/>
      <c r="Y56" s="507"/>
      <c r="Z56" s="507"/>
      <c r="AA56" s="506"/>
      <c r="AB56" s="507"/>
      <c r="AC56" s="507"/>
      <c r="AD56" s="506"/>
      <c r="AE56" s="507"/>
      <c r="AF56" s="507"/>
      <c r="AG56" s="506"/>
      <c r="AH56" s="507"/>
      <c r="AI56" s="507"/>
      <c r="AJ56" s="506"/>
      <c r="AK56" s="507"/>
      <c r="AL56" s="507"/>
      <c r="AM56" s="507"/>
      <c r="AN56" s="498" t="e">
        <f t="shared" si="0"/>
        <v>#N/A</v>
      </c>
      <c r="AO56" s="498" t="e">
        <f t="shared" si="1"/>
        <v>#N/A</v>
      </c>
      <c r="AP56" s="498" t="e">
        <f t="shared" si="2"/>
        <v>#N/A</v>
      </c>
      <c r="AR56" s="498" t="e">
        <f>SUM(((VLOOKUP(I56,KBOB,10,FALSE)*J56)/K56),((VLOOKUP(L56,KBOB,10,FALSE)*M56)/N56),((VLOOKUP(O56,KBOB,10,FALSE)*P56)/Q56),((VLOOKUP(R56,KBOB,10,FALSE)*S56)/T56),((VLOOKUP(U56,KBOB,10,FALSE)*V56)/W56),((VLOOKUP(X56,KBOB,10,FALSE)*Y56)/Z56),((VLOOKUP(AA56,KBOB,10,FALSE)*AB56)/AC56),((VLOOKUP(AD56,KBOB,10,FALSE)*AE56)/AF56),((VLOOKUP(AG56,KBOB,10,FALSE)*AH56)/AI56),((VLOOKUP(AJ56,KBOB,10,FALSE)*AK56)/AL56))</f>
        <v>#N/A</v>
      </c>
      <c r="AS56" s="498" t="e">
        <f>SUM(((VLOOKUP(I56,KBOB,13,FALSE)*J56)/K56),((VLOOKUP(L56,KBOB,13,FALSE)*M56)/N56),((VLOOKUP(O56,KBOB,13,FALSE)*P56)/Q56),((VLOOKUP(R56,KBOB,13,FALSE)*S56)/T56),((VLOOKUP(U56,KBOB,13,FALSE)*V56)/W56),((VLOOKUP(X56,KBOB,13,FALSE)*Y56)/Z56),((VLOOKUP(AA56,KBOB,13,FALSE)*AB56)/AC56),((VLOOKUP(AD56,KBOB,13,FALSE)*AE56)/AF56),((VLOOKUP(AG56,KBOB,13,FALSE)*AH56)/AI56),((VLOOKUP(AJ56,KBOB,13,FALSE)*AK56)/AL56))</f>
        <v>#N/A</v>
      </c>
      <c r="AT56" s="498" t="e">
        <f>SUM(((VLOOKUP(I56,KBOB,4,FALSE)*J56)/K56),((VLOOKUP(L56,KBOB,4,FALSE)*M56)/N56),((VLOOKUP(O56,KBOB,4,FALSE)*P56)/Q56),((VLOOKUP(R56,KBOB,4,FALSE)*S56)/T56),((VLOOKUP(U56,KBOB,4,FALSE)*V56)/W56),((VLOOKUP(X56,KBOB,4,FALSE)*Y56)/Z56),((VLOOKUP(AA56,KBOB,4,FALSE)*AB56)/AC56),((VLOOKUP(AD56,KBOB,4,FALSE)*AE56)/AF56),((VLOOKUP(AG56,KBOB,4,FALSE)*AH56)/AI56),((VLOOKUP(AJ56,KBOB,4,FALSE)*AK56)/AL56))</f>
        <v>#N/A</v>
      </c>
    </row>
    <row r="57" spans="1:90" ht="30">
      <c r="A57" s="1062"/>
      <c r="B57" s="1062"/>
      <c r="C57" s="1067" t="s">
        <v>381</v>
      </c>
      <c r="D57" s="555" t="s">
        <v>1099</v>
      </c>
      <c r="E57" s="854">
        <v>0.22</v>
      </c>
      <c r="F57" s="555">
        <v>0.04</v>
      </c>
      <c r="G57" s="549" t="s">
        <v>1098</v>
      </c>
      <c r="H57" s="133" t="str">
        <f t="shared" ref="H57:H63" si="4">G57&amp;"_"&amp;$C$57&amp;$B$50</f>
        <v>Holzblockwand, Aussenwärmedämmung, Verkleidung_MINERGIE_Wü</v>
      </c>
      <c r="I57" s="552" t="s">
        <v>181</v>
      </c>
      <c r="J57" s="549">
        <v>56.4</v>
      </c>
      <c r="K57" s="549">
        <v>60</v>
      </c>
      <c r="L57" s="552" t="s">
        <v>215</v>
      </c>
      <c r="M57" s="549">
        <v>0.2</v>
      </c>
      <c r="N57" s="549">
        <v>40</v>
      </c>
      <c r="O57" s="552" t="s">
        <v>249</v>
      </c>
      <c r="P57" s="855">
        <v>13.2</v>
      </c>
      <c r="Q57" s="549">
        <v>40</v>
      </c>
      <c r="R57" s="552" t="s">
        <v>153</v>
      </c>
      <c r="S57" s="549">
        <v>0.3</v>
      </c>
      <c r="T57" s="549">
        <v>40</v>
      </c>
      <c r="U57" s="552" t="s">
        <v>179</v>
      </c>
      <c r="V57" s="549">
        <v>1.4</v>
      </c>
      <c r="W57" s="549">
        <v>40</v>
      </c>
      <c r="X57" s="552" t="s">
        <v>181</v>
      </c>
      <c r="Y57" s="549">
        <v>11.3</v>
      </c>
      <c r="Z57" s="549">
        <v>40</v>
      </c>
      <c r="AA57" s="552" t="s">
        <v>27</v>
      </c>
      <c r="AB57" s="549"/>
      <c r="AC57" s="549">
        <v>1</v>
      </c>
      <c r="AD57" s="552" t="s">
        <v>27</v>
      </c>
      <c r="AE57" s="549"/>
      <c r="AF57" s="549">
        <v>1</v>
      </c>
      <c r="AG57" s="893" t="s">
        <v>338</v>
      </c>
      <c r="AH57" s="894">
        <v>0.3</v>
      </c>
      <c r="AI57" s="894">
        <v>30</v>
      </c>
      <c r="AJ57" s="893" t="s">
        <v>1164</v>
      </c>
      <c r="AK57" s="894">
        <v>0.3</v>
      </c>
      <c r="AL57" s="894">
        <v>30</v>
      </c>
      <c r="AM57" s="133"/>
      <c r="AN57" s="137">
        <f t="shared" si="0"/>
        <v>10.642703218742046</v>
      </c>
      <c r="AO57" s="137">
        <f t="shared" si="1"/>
        <v>0.5935517554670201</v>
      </c>
      <c r="AP57" s="137">
        <f t="shared" si="2"/>
        <v>1506.1629368217652</v>
      </c>
      <c r="AR57" s="938">
        <f>SUM(((VLOOKUP(L57,KBOB,10,FALSE)*M57)/N57),((VLOOKUP(O57,KBOB,10,FALSE)*P57)/Q57),((VLOOKUP(R57,KBOB,10,FALSE)*S57)/T57),((VLOOKUP(U57,KBOB,10,FALSE)*V57)/W57),((VLOOKUP(X57,KBOB,10,FALSE)*Y57)/Z57),((VLOOKUP(AA57,KBOB,10,FALSE)*AB57)/AC57),((VLOOKUP(AD57,KBOB,10,FALSE)*AE57)/AF57),((VLOOKUP(AJ57,KBOB,10,FALSE)*AK57)/AL57))</f>
        <v>7.2146879074546542</v>
      </c>
      <c r="AS57" s="938">
        <f>SUM(((VLOOKUP(L57,KBOB,13,FALSE)*M57)/N57),((VLOOKUP(O57,KBOB,13,FALSE)*P57)/Q57),((VLOOKUP(R57,KBOB,13,FALSE)*S57)/T57),((VLOOKUP(U57,KBOB,13,FALSE)*V57)/W57),((VLOOKUP(X57,KBOB,13,FALSE)*Y57)/Z57),((VLOOKUP(AA57,KBOB,13,FALSE)*AB57)/AC57),((VLOOKUP(AD57,KBOB,13,FALSE)*AE57)/AF57),((VLOOKUP(AJ57,KBOB,13,FALSE)*AK57)/AL57))</f>
        <v>0.45486288086255422</v>
      </c>
      <c r="AT57" s="938">
        <f>SUM(((VLOOKUP(L57,KBOB,4,FALSE)*M57)/N57),((VLOOKUP(O57,KBOB,4,FALSE)*P57)/Q57),((VLOOKUP(R57,KBOB,4,FALSE)*S57)/T57),((VLOOKUP(U57,KBOB,4,FALSE)*V57)/W57),((VLOOKUP(X57,KBOB,4,FALSE)*Y57)/Z57),((VLOOKUP(AA57,KBOB,4,FALSE)*AB57)/AC57),((VLOOKUP(AD57,KBOB,4,FALSE)*AE57)/AF57),((VLOOKUP(AJ57,KBOB,4,FALSE)*AK57)/AL57))</f>
        <v>748.28456879266366</v>
      </c>
    </row>
    <row r="58" spans="1:90" ht="30">
      <c r="A58" s="1062"/>
      <c r="B58" s="1062"/>
      <c r="C58" s="1068"/>
      <c r="D58" s="523" t="s">
        <v>1100</v>
      </c>
      <c r="E58" s="856">
        <v>0.24</v>
      </c>
      <c r="F58" s="523">
        <v>3.7999999999999999E-2</v>
      </c>
      <c r="G58" s="134" t="s">
        <v>1190</v>
      </c>
      <c r="H58" s="134" t="str">
        <f t="shared" si="4"/>
        <v>Einschalenbacksteinmauerwerk, Aussenwärmedämmung verputzt_MINERGIE_Wü</v>
      </c>
      <c r="I58" s="505" t="s">
        <v>94</v>
      </c>
      <c r="J58" s="134">
        <v>15</v>
      </c>
      <c r="K58" s="134">
        <v>30</v>
      </c>
      <c r="L58" s="505" t="s">
        <v>44</v>
      </c>
      <c r="M58" s="134">
        <v>112.5</v>
      </c>
      <c r="N58" s="134">
        <v>60</v>
      </c>
      <c r="O58" s="505" t="s">
        <v>108</v>
      </c>
      <c r="P58" s="134">
        <v>21.25</v>
      </c>
      <c r="Q58" s="134">
        <v>60</v>
      </c>
      <c r="R58" s="505" t="s">
        <v>96</v>
      </c>
      <c r="S58" s="134">
        <v>4.8</v>
      </c>
      <c r="T58" s="134">
        <v>30</v>
      </c>
      <c r="U58" s="505" t="s">
        <v>238</v>
      </c>
      <c r="V58" s="857">
        <v>3.6</v>
      </c>
      <c r="W58" s="134">
        <v>30</v>
      </c>
      <c r="X58" s="505" t="s">
        <v>96</v>
      </c>
      <c r="Y58" s="134">
        <v>4.8</v>
      </c>
      <c r="Z58" s="134">
        <v>30</v>
      </c>
      <c r="AA58" s="504" t="s">
        <v>362</v>
      </c>
      <c r="AB58" s="134">
        <v>0.15</v>
      </c>
      <c r="AC58" s="134">
        <v>30</v>
      </c>
      <c r="AD58" s="505" t="s">
        <v>110</v>
      </c>
      <c r="AE58" s="134">
        <v>7.5</v>
      </c>
      <c r="AF58" s="134">
        <v>30</v>
      </c>
      <c r="AG58" s="893" t="s">
        <v>338</v>
      </c>
      <c r="AH58" s="894">
        <v>0.3</v>
      </c>
      <c r="AI58" s="894">
        <v>30</v>
      </c>
      <c r="AJ58" s="893" t="s">
        <v>1164</v>
      </c>
      <c r="AK58" s="894">
        <v>0.3</v>
      </c>
      <c r="AL58" s="894">
        <v>30</v>
      </c>
      <c r="AM58" s="134"/>
      <c r="AN58" s="498">
        <f t="shared" si="0"/>
        <v>27.961766707162624</v>
      </c>
      <c r="AO58" s="498">
        <f t="shared" si="1"/>
        <v>1.928978022046667</v>
      </c>
      <c r="AP58" s="498">
        <f t="shared" si="2"/>
        <v>1667.5480313625001</v>
      </c>
      <c r="AR58" s="937">
        <f>SUM(((VLOOKUP(R58,KBOB,10,FALSE)*S58)/T58),((VLOOKUP(U58,KBOB,10,FALSE)*V58)/W58),((VLOOKUP(X58,KBOB,10,FALSE)*Y58)/Z58),((VLOOKUP(AA58,KBOB,10,FALSE)*AB58)/AC58),((VLOOKUP(AD58,KBOB,10,FALSE)*AE58)/AF58),((VLOOKUP(AJ58,KBOB,10,FALSE)*AK58)/AL58))</f>
        <v>21.280723836039186</v>
      </c>
      <c r="AS58" s="937">
        <f>SUM(((VLOOKUP(R58,KBOB,13,FALSE)*S58)/T58),((VLOOKUP(U58,KBOB,13,FALSE)*V58)/W58),((VLOOKUP(X58,KBOB,13,FALSE)*Y58)/Z58),((VLOOKUP(AA58,KBOB,13,FALSE)*AB58)/AC58),((VLOOKUP(AD58,KBOB,13,FALSE)*AE58)/AF58),((VLOOKUP(AJ58,KBOB,13,FALSE)*AK58)/AL58))</f>
        <v>1.3369839289800003</v>
      </c>
      <c r="AT58" s="937">
        <f>SUM(((VLOOKUP(R58,KBOB,4,FALSE)*S58)/T58),((VLOOKUP(U58,KBOB,4,FALSE)*V58)/W58),((VLOOKUP(X58,KBOB,4,FALSE)*Y58)/Z58),((VLOOKUP(AA58,KBOB,4,FALSE)*AB58)/AC58),((VLOOKUP(AD58,KBOB,4,FALSE)*AE58)/AF58),((VLOOKUP(AJ58,KBOB,4,FALSE)*AK58)/AL58))</f>
        <v>1176.9081613750002</v>
      </c>
    </row>
    <row r="59" spans="1:90" ht="30">
      <c r="A59" s="1062"/>
      <c r="B59" s="1062"/>
      <c r="C59" s="1068"/>
      <c r="D59" s="523" t="s">
        <v>1104</v>
      </c>
      <c r="E59" s="856">
        <v>0.25</v>
      </c>
      <c r="F59" s="523">
        <v>0.04</v>
      </c>
      <c r="G59" s="134" t="s">
        <v>1105</v>
      </c>
      <c r="H59" s="134" t="str">
        <f t="shared" si="4"/>
        <v>Sichtbetonwand, Aussenwärmedämmung hinterlüftet_MINERGIE_Wü</v>
      </c>
      <c r="I59" s="505" t="s">
        <v>37</v>
      </c>
      <c r="J59" s="134">
        <v>476</v>
      </c>
      <c r="K59" s="134">
        <v>60</v>
      </c>
      <c r="L59" s="505" t="s">
        <v>137</v>
      </c>
      <c r="M59" s="134">
        <v>12</v>
      </c>
      <c r="N59" s="134">
        <v>60</v>
      </c>
      <c r="O59" s="505" t="s">
        <v>161</v>
      </c>
      <c r="P59" s="134">
        <v>2</v>
      </c>
      <c r="Q59" s="134">
        <v>60</v>
      </c>
      <c r="R59" s="505" t="s">
        <v>231</v>
      </c>
      <c r="S59" s="857">
        <v>7.5</v>
      </c>
      <c r="T59" s="134">
        <v>40</v>
      </c>
      <c r="U59" s="505" t="s">
        <v>153</v>
      </c>
      <c r="V59" s="134">
        <v>0.3</v>
      </c>
      <c r="W59" s="134">
        <v>40</v>
      </c>
      <c r="X59" s="505" t="s">
        <v>177</v>
      </c>
      <c r="Y59" s="134">
        <v>1.3</v>
      </c>
      <c r="Z59" s="134">
        <v>40</v>
      </c>
      <c r="AA59" s="505" t="s">
        <v>177</v>
      </c>
      <c r="AB59" s="134">
        <v>11.3</v>
      </c>
      <c r="AC59" s="134">
        <v>40</v>
      </c>
      <c r="AD59" s="505" t="s">
        <v>27</v>
      </c>
      <c r="AE59" s="134"/>
      <c r="AF59" s="134">
        <v>1</v>
      </c>
      <c r="AG59" s="505" t="s">
        <v>27</v>
      </c>
      <c r="AH59" s="134"/>
      <c r="AI59" s="134">
        <v>1</v>
      </c>
      <c r="AJ59" s="893" t="s">
        <v>1164</v>
      </c>
      <c r="AK59" s="894">
        <v>0.3</v>
      </c>
      <c r="AL59" s="894">
        <v>30</v>
      </c>
      <c r="AM59" s="134"/>
      <c r="AN59" s="498">
        <f t="shared" si="0"/>
        <v>18.972132747007574</v>
      </c>
      <c r="AO59" s="498">
        <f t="shared" si="1"/>
        <v>1.4692612758396351</v>
      </c>
      <c r="AP59" s="498">
        <f t="shared" si="2"/>
        <v>2183.8626394026669</v>
      </c>
      <c r="AR59" s="937">
        <f>SUM(((VLOOKUP(R59,KBOB,10,FALSE)*S59)/T59),((VLOOKUP(U59,KBOB,10,FALSE)*V59)/W59),((VLOOKUP(X59,KBOB,10,FALSE)*Y59)/Z59),((VLOOKUP(AA59,KBOB,10,FALSE)*AB59)/AC59),((VLOOKUP(AD59,KBOB,10,FALSE)*AE59)/AF59),((VLOOKUP(AJ59,KBOB,10,FALSE)*AK59)/AL59))</f>
        <v>9.824007359071361</v>
      </c>
      <c r="AS59" s="937">
        <f>SUM(((VLOOKUP(R59,KBOB,13,FALSE)*S59)/T59),((VLOOKUP(U59,KBOB,13,FALSE)*V59)/W59),((VLOOKUP(X59,KBOB,13,FALSE)*Y59)/Z59),((VLOOKUP(AA59,KBOB,13,FALSE)*AB59)/AC59),((VLOOKUP(AD59,KBOB,13,FALSE)*AE59)/AF59),((VLOOKUP(AJ59,KBOB,13,FALSE)*AK59)/AL59))</f>
        <v>0.35239838048516609</v>
      </c>
      <c r="AT59" s="937">
        <f>SUM(((VLOOKUP(R59,KBOB,4,FALSE)*S59)/T59),((VLOOKUP(U59,KBOB,4,FALSE)*V59)/W59),((VLOOKUP(X59,KBOB,4,FALSE)*Y59)/Z59),((VLOOKUP(AA59,KBOB,4,FALSE)*AB59)/AC59),((VLOOKUP(AD59,KBOB,4,FALSE)*AE59)/AF59),((VLOOKUP(AJ59,KBOB,4,FALSE)*AK59)/AL59))</f>
        <v>731.59760449866667</v>
      </c>
    </row>
    <row r="60" spans="1:90" ht="30">
      <c r="A60" s="1062"/>
      <c r="B60" s="1062"/>
      <c r="C60" s="1068"/>
      <c r="D60" s="523" t="s">
        <v>1106</v>
      </c>
      <c r="E60" s="856">
        <v>0.23</v>
      </c>
      <c r="F60" s="523">
        <v>0.04</v>
      </c>
      <c r="G60" s="134" t="s">
        <v>1191</v>
      </c>
      <c r="H60" s="134" t="str">
        <f t="shared" si="4"/>
        <v>Zweischalenmauerwerk verputzt, Kerndämmung_MINERGIE_Wü</v>
      </c>
      <c r="I60" s="505" t="s">
        <v>94</v>
      </c>
      <c r="J60" s="134">
        <v>15</v>
      </c>
      <c r="K60" s="134">
        <v>30</v>
      </c>
      <c r="L60" s="505" t="s">
        <v>44</v>
      </c>
      <c r="M60" s="134">
        <v>135</v>
      </c>
      <c r="N60" s="134">
        <v>60</v>
      </c>
      <c r="O60" s="505" t="s">
        <v>108</v>
      </c>
      <c r="P60" s="134">
        <v>25.5</v>
      </c>
      <c r="Q60" s="134">
        <v>60</v>
      </c>
      <c r="R60" s="505" t="s">
        <v>231</v>
      </c>
      <c r="S60" s="857">
        <v>5.0999999999999996</v>
      </c>
      <c r="T60" s="134">
        <v>40</v>
      </c>
      <c r="U60" s="505" t="s">
        <v>44</v>
      </c>
      <c r="V60" s="134">
        <v>112.5</v>
      </c>
      <c r="W60" s="134">
        <v>40</v>
      </c>
      <c r="X60" s="505" t="s">
        <v>108</v>
      </c>
      <c r="Y60" s="134">
        <v>21.25</v>
      </c>
      <c r="Z60" s="134">
        <v>40</v>
      </c>
      <c r="AA60" s="505" t="s">
        <v>110</v>
      </c>
      <c r="AB60" s="134">
        <v>22.5</v>
      </c>
      <c r="AC60" s="134">
        <v>30</v>
      </c>
      <c r="AD60" s="505" t="s">
        <v>27</v>
      </c>
      <c r="AE60" s="134"/>
      <c r="AF60" s="134">
        <v>1</v>
      </c>
      <c r="AG60" s="893" t="s">
        <v>338</v>
      </c>
      <c r="AH60" s="894">
        <v>0.3</v>
      </c>
      <c r="AI60" s="894">
        <v>30</v>
      </c>
      <c r="AJ60" s="893" t="s">
        <v>1164</v>
      </c>
      <c r="AK60" s="894">
        <v>0.3</v>
      </c>
      <c r="AL60" s="894">
        <v>30</v>
      </c>
      <c r="AM60" s="134"/>
      <c r="AN60" s="498">
        <f t="shared" si="0"/>
        <v>23.632268688998732</v>
      </c>
      <c r="AO60" s="498">
        <f t="shared" si="1"/>
        <v>1.8735197683800002</v>
      </c>
      <c r="AP60" s="498">
        <f t="shared" si="2"/>
        <v>1604.1293844162499</v>
      </c>
      <c r="AR60" s="935">
        <f>SUM(((VLOOKUP(R60,KBOB,10,FALSE)*S60)/T60),((VLOOKUP(U60,KBOB,10,FALSE)*V60)/W60),((VLOOKUP(X60,KBOB,10,FALSE)*Y60)/Z60),((VLOOKUP(AA60,KBOB,10,FALSE)*AB60)/AC60),((VLOOKUP(AD60,KBOB,10,FALSE)*AE60)/AF60),((VLOOKUP(AJ60,KBOB,10,FALSE)*AK60)/AL60))</f>
        <v>15.809971421536433</v>
      </c>
      <c r="AS60" s="935">
        <f>SUM(((VLOOKUP(R60,KBOB,13,FALSE)*S60)/T60),((VLOOKUP(U60,KBOB,13,FALSE)*V60)/W60),((VLOOKUP(X60,KBOB,13,FALSE)*Y60)/Z60),((VLOOKUP(AA60,KBOB,13,FALSE)*AB60)/AC60),((VLOOKUP(AD60,KBOB,13,FALSE)*AE60)/AF60),((VLOOKUP(AJ60,KBOB,13,FALSE)*AK60)/AL60))</f>
        <v>1.1744503971000002</v>
      </c>
      <c r="AT60" s="935">
        <f>SUM(((VLOOKUP(R60,KBOB,4,FALSE)*S60)/T60),((VLOOKUP(U60,KBOB,4,FALSE)*V60)/W60),((VLOOKUP(X60,KBOB,4,FALSE)*Y60)/Z60),((VLOOKUP(AA60,KBOB,4,FALSE)*AB60)/AC60),((VLOOKUP(AD60,KBOB,4,FALSE)*AE60)/AF60),((VLOOKUP(AJ60,KBOB,4,FALSE)*AK60)/AL60))</f>
        <v>1034.33480498125</v>
      </c>
    </row>
    <row r="61" spans="1:90" ht="30">
      <c r="A61" s="1062"/>
      <c r="B61" s="1062"/>
      <c r="C61" s="1068"/>
      <c r="D61" s="523" t="s">
        <v>1107</v>
      </c>
      <c r="E61" s="858">
        <v>0.28999999999999998</v>
      </c>
      <c r="F61" s="545">
        <v>0.04</v>
      </c>
      <c r="G61" s="538" t="s">
        <v>1108</v>
      </c>
      <c r="H61" s="134" t="str">
        <f t="shared" si="4"/>
        <v>Holzelementwand mit zwischenliegender Wärmedämmung_MINERGIE_Wü</v>
      </c>
      <c r="I61" s="547" t="s">
        <v>181</v>
      </c>
      <c r="J61" s="538">
        <v>7.05</v>
      </c>
      <c r="K61" s="1007">
        <v>30</v>
      </c>
      <c r="L61" s="547" t="s">
        <v>161</v>
      </c>
      <c r="M61" s="538">
        <v>12</v>
      </c>
      <c r="N61" s="1007">
        <v>40</v>
      </c>
      <c r="O61" s="547" t="s">
        <v>215</v>
      </c>
      <c r="P61" s="538">
        <v>0.188</v>
      </c>
      <c r="Q61" s="1007">
        <v>40</v>
      </c>
      <c r="R61" s="547" t="s">
        <v>249</v>
      </c>
      <c r="S61" s="859">
        <v>8.6999999999999993</v>
      </c>
      <c r="T61" s="1007">
        <v>40</v>
      </c>
      <c r="U61" s="547" t="s">
        <v>177</v>
      </c>
      <c r="V61" s="538">
        <v>15.228</v>
      </c>
      <c r="W61" s="1007">
        <v>40</v>
      </c>
      <c r="X61" s="547" t="s">
        <v>183</v>
      </c>
      <c r="Y61" s="538">
        <v>9</v>
      </c>
      <c r="Z61" s="1007">
        <v>40</v>
      </c>
      <c r="AA61" s="505" t="s">
        <v>181</v>
      </c>
      <c r="AB61" s="134">
        <v>11.28</v>
      </c>
      <c r="AC61" s="1006">
        <v>40</v>
      </c>
      <c r="AD61" s="505" t="s">
        <v>27</v>
      </c>
      <c r="AE61" s="134"/>
      <c r="AF61" s="134">
        <v>1</v>
      </c>
      <c r="AG61" s="893" t="s">
        <v>338</v>
      </c>
      <c r="AH61" s="894">
        <v>0.3</v>
      </c>
      <c r="AI61" s="894">
        <v>30</v>
      </c>
      <c r="AJ61" s="893" t="s">
        <v>1164</v>
      </c>
      <c r="AK61" s="894">
        <v>0.3</v>
      </c>
      <c r="AL61" s="894">
        <v>30</v>
      </c>
      <c r="AM61" s="134"/>
      <c r="AN61" s="498">
        <f t="shared" si="0"/>
        <v>12.85095453029758</v>
      </c>
      <c r="AO61" s="498">
        <f t="shared" si="1"/>
        <v>0.73845896758409302</v>
      </c>
      <c r="AP61" s="498">
        <f t="shared" si="2"/>
        <v>1564.7856358529659</v>
      </c>
      <c r="AR61" s="937">
        <f>SUM(((VLOOKUP(R61,KBOB,10,FALSE)*S61)/T61),((VLOOKUP(X61,KBOB,10,FALSE)*Y61)/Z61),((VLOOKUP(AA61,KBOB,10,FALSE)*AB61)/AC61),((VLOOKUP(AD61,KBOB,10,FALSE)*AE61)/AF61),((VLOOKUP(AJ61,KBOB,10,FALSE)*AK61)/AL61))</f>
        <v>7.7520937802186891</v>
      </c>
      <c r="AS61" s="937">
        <f>SUM(((VLOOKUP(R61,KBOB,13,FALSE)*S61)/T61),((VLOOKUP(X61,KBOB,13,FALSE)*Y61)/Z61),((VLOOKUP(AA61,KBOB,13,FALSE)*AB61)/AC61),((VLOOKUP(AD61,KBOB,13,FALSE)*AE61)/AF61),((VLOOKUP(AJ61,KBOB,13,FALSE)*AK61)/AL61))</f>
        <v>0.44944865688683422</v>
      </c>
      <c r="AT61" s="937">
        <f>SUM(((VLOOKUP(R61,KBOB,4,FALSE)*S61)/T61),((VLOOKUP(X61,KBOB,4,FALSE)*Y61)/Z61),((VLOOKUP(AA61,KBOB,4,FALSE)*AB61)/AC61),((VLOOKUP(AD61,KBOB,4,FALSE)*AE61)/AF61),((VLOOKUP(AJ61,KBOB,4,FALSE)*AK61)/AL61))</f>
        <v>731.88351040873033</v>
      </c>
    </row>
    <row r="62" spans="1:90" ht="30">
      <c r="A62" s="1062"/>
      <c r="B62" s="1062"/>
      <c r="C62" s="1068"/>
      <c r="D62" s="554" t="s">
        <v>1109</v>
      </c>
      <c r="E62" s="861">
        <v>0.28999999999999998</v>
      </c>
      <c r="F62" s="554">
        <v>0.04</v>
      </c>
      <c r="G62" s="134" t="s">
        <v>1192</v>
      </c>
      <c r="H62" s="134" t="str">
        <f t="shared" si="4"/>
        <v>Einschalenbacksteinmauerwerk, Aussenwärmedämmung hinterlüftet_MINERGIE_Wü</v>
      </c>
      <c r="I62" s="505" t="s">
        <v>94</v>
      </c>
      <c r="J62" s="134">
        <v>15</v>
      </c>
      <c r="K62" s="134">
        <v>30</v>
      </c>
      <c r="L62" s="505" t="s">
        <v>44</v>
      </c>
      <c r="M62" s="134">
        <v>112.5</v>
      </c>
      <c r="N62" s="134">
        <v>60</v>
      </c>
      <c r="O62" s="505" t="s">
        <v>108</v>
      </c>
      <c r="P62" s="134">
        <v>21.25</v>
      </c>
      <c r="Q62" s="134">
        <v>60</v>
      </c>
      <c r="R62" s="505" t="s">
        <v>177</v>
      </c>
      <c r="S62" s="134">
        <v>7.6139999999999999</v>
      </c>
      <c r="T62" s="134">
        <v>40</v>
      </c>
      <c r="U62" s="505" t="s">
        <v>231</v>
      </c>
      <c r="V62" s="857">
        <v>8.6999999999999993</v>
      </c>
      <c r="W62" s="134">
        <v>40</v>
      </c>
      <c r="X62" s="1005" t="s">
        <v>177</v>
      </c>
      <c r="Y62" s="1006">
        <v>1.3</v>
      </c>
      <c r="Z62" s="1006">
        <v>40</v>
      </c>
      <c r="AA62" s="505" t="s">
        <v>177</v>
      </c>
      <c r="AB62" s="134">
        <v>11.28</v>
      </c>
      <c r="AC62" s="134">
        <v>40</v>
      </c>
      <c r="AD62" s="552" t="s">
        <v>27</v>
      </c>
      <c r="AE62" s="549"/>
      <c r="AF62" s="549">
        <v>1</v>
      </c>
      <c r="AG62" s="893" t="s">
        <v>338</v>
      </c>
      <c r="AH62" s="894">
        <v>0.3</v>
      </c>
      <c r="AI62" s="894">
        <v>30</v>
      </c>
      <c r="AJ62" s="893" t="s">
        <v>1164</v>
      </c>
      <c r="AK62" s="894">
        <v>0.3</v>
      </c>
      <c r="AL62" s="894">
        <v>30</v>
      </c>
      <c r="AM62" s="549"/>
      <c r="AN62" s="498">
        <f t="shared" si="0"/>
        <v>17.783803127512961</v>
      </c>
      <c r="AO62" s="498">
        <f t="shared" si="1"/>
        <v>0.97912594530427111</v>
      </c>
      <c r="AP62" s="498">
        <f t="shared" si="2"/>
        <v>1294.5557767530615</v>
      </c>
      <c r="AR62" s="937">
        <f>SUM(((VLOOKUP(R62,KBOB,10,FALSE)*S62)/T62),((VLOOKUP(U62,KBOB,10,FALSE)*V62)/W62),((VLOOKUP(X62,KBOB,10,FALSE)*Y62)/Z62),((VLOOKUP(AA62,KBOB,10,FALSE)*AB62)/AC62),((VLOOKUP(AD62,KBOB,10,FALSE)*AE62)/AF62),((VLOOKUP(AJ62,KBOB,10,FALSE)*AK62)/AL62))</f>
        <v>11.102760256389519</v>
      </c>
      <c r="AS62" s="937">
        <f>SUM(((VLOOKUP(R62,KBOB,13,FALSE)*S62)/T62),((VLOOKUP(U62,KBOB,13,FALSE)*V62)/W62),((VLOOKUP(X62,KBOB,13,FALSE)*Y62)/Z62),((VLOOKUP(AA62,KBOB,13,FALSE)*AB62)/AC62),((VLOOKUP(AD62,KBOB,13,FALSE)*AE62)/AF62),((VLOOKUP(AJ62,KBOB,13,FALSE)*AK62)/AL62))</f>
        <v>0.38713185223760438</v>
      </c>
      <c r="AT62" s="937">
        <f>SUM(((VLOOKUP(R62,KBOB,4,FALSE)*S62)/T62),((VLOOKUP(U62,KBOB,4,FALSE)*V62)/W62),((VLOOKUP(X62,KBOB,4,FALSE)*Y62)/Z62),((VLOOKUP(AA62,KBOB,4,FALSE)*AB62)/AC62),((VLOOKUP(AD62,KBOB,4,FALSE)*AE62)/AF62),((VLOOKUP(AJ62,KBOB,4,FALSE)*AK62)/AL62))</f>
        <v>803.91590676556143</v>
      </c>
    </row>
    <row r="63" spans="1:90">
      <c r="A63" s="1062"/>
      <c r="B63" s="1062"/>
      <c r="C63" s="1069"/>
      <c r="D63" s="553"/>
      <c r="E63" s="553"/>
      <c r="F63" s="553"/>
      <c r="G63" s="507"/>
      <c r="H63" s="538" t="str">
        <f t="shared" si="4"/>
        <v>_MINERGIE_Wü</v>
      </c>
      <c r="I63" s="506"/>
      <c r="J63" s="507"/>
      <c r="K63" s="507"/>
      <c r="L63" s="506"/>
      <c r="M63" s="507"/>
      <c r="N63" s="507"/>
      <c r="O63" s="506"/>
      <c r="P63" s="507"/>
      <c r="Q63" s="507"/>
      <c r="R63" s="506"/>
      <c r="S63" s="507"/>
      <c r="T63" s="507"/>
      <c r="U63" s="506"/>
      <c r="V63" s="507"/>
      <c r="W63" s="507"/>
      <c r="X63" s="506"/>
      <c r="Y63" s="507"/>
      <c r="Z63" s="507"/>
      <c r="AA63" s="506"/>
      <c r="AB63" s="507"/>
      <c r="AC63" s="507"/>
      <c r="AD63" s="506"/>
      <c r="AE63" s="507"/>
      <c r="AF63" s="507"/>
      <c r="AG63" s="506"/>
      <c r="AH63" s="507"/>
      <c r="AI63" s="507"/>
      <c r="AJ63" s="506"/>
      <c r="AK63" s="507"/>
      <c r="AL63" s="507"/>
      <c r="AM63" s="507"/>
      <c r="AN63" s="501" t="e">
        <f t="shared" si="0"/>
        <v>#N/A</v>
      </c>
      <c r="AO63" s="501" t="e">
        <f t="shared" si="1"/>
        <v>#N/A</v>
      </c>
      <c r="AP63" s="501" t="e">
        <f t="shared" si="2"/>
        <v>#N/A</v>
      </c>
      <c r="AR63" s="498" t="e">
        <f>SUM(((VLOOKUP(I63,KBOB,10,FALSE)*J63)/K63),((VLOOKUP(L63,KBOB,10,FALSE)*M63)/N63),((VLOOKUP(O63,KBOB,10,FALSE)*P63)/Q63),((VLOOKUP(R63,KBOB,10,FALSE)*S63)/T63),((VLOOKUP(U63,KBOB,10,FALSE)*V63)/W63),((VLOOKUP(X63,KBOB,10,FALSE)*Y63)/Z63),((VLOOKUP(AA63,KBOB,10,FALSE)*AB63)/AC63),((VLOOKUP(AD63,KBOB,10,FALSE)*AE63)/AF63),((VLOOKUP(AG63,KBOB,10,FALSE)*AH63)/AI63),((VLOOKUP(AJ63,KBOB,10,FALSE)*AK63)/AL63))</f>
        <v>#N/A</v>
      </c>
      <c r="AS63" s="498" t="e">
        <f>SUM(((VLOOKUP(I63,KBOB,13,FALSE)*J63)/K63),((VLOOKUP(L63,KBOB,13,FALSE)*M63)/N63),((VLOOKUP(O63,KBOB,13,FALSE)*P63)/Q63),((VLOOKUP(R63,KBOB,13,FALSE)*S63)/T63),((VLOOKUP(U63,KBOB,13,FALSE)*V63)/W63),((VLOOKUP(X63,KBOB,13,FALSE)*Y63)/Z63),((VLOOKUP(AA63,KBOB,13,FALSE)*AB63)/AC63),((VLOOKUP(AD63,KBOB,13,FALSE)*AE63)/AF63),((VLOOKUP(AG63,KBOB,13,FALSE)*AH63)/AI63),((VLOOKUP(AJ63,KBOB,13,FALSE)*AK63)/AL63))</f>
        <v>#N/A</v>
      </c>
      <c r="AT63" s="498" t="e">
        <f>SUM(((VLOOKUP(I63,KBOB,4,FALSE)*J63)/K63),((VLOOKUP(L63,KBOB,4,FALSE)*M63)/N63),((VLOOKUP(O63,KBOB,4,FALSE)*P63)/Q63),((VLOOKUP(R63,KBOB,4,FALSE)*S63)/T63),((VLOOKUP(U63,KBOB,4,FALSE)*V63)/W63),((VLOOKUP(X63,KBOB,4,FALSE)*Y63)/Z63),((VLOOKUP(AA63,KBOB,4,FALSE)*AB63)/AC63),((VLOOKUP(AD63,KBOB,4,FALSE)*AE63)/AF63),((VLOOKUP(AG63,KBOB,4,FALSE)*AH63)/AI63),((VLOOKUP(AJ63,KBOB,4,FALSE)*AK63)/AL63))</f>
        <v>#N/A</v>
      </c>
    </row>
    <row r="64" spans="1:90" ht="30.75" customHeight="1">
      <c r="A64" s="1062"/>
      <c r="B64" s="1062"/>
      <c r="C64" s="1062" t="s">
        <v>401</v>
      </c>
      <c r="D64" s="555" t="s">
        <v>1099</v>
      </c>
      <c r="E64" s="854">
        <v>0.34</v>
      </c>
      <c r="F64" s="555">
        <v>0.04</v>
      </c>
      <c r="G64" s="549" t="s">
        <v>1098</v>
      </c>
      <c r="H64" s="133" t="str">
        <f t="shared" ref="H64:H70" si="5">G64&amp;"_"&amp;$C$64&amp;$B$50</f>
        <v>Holzblockwand, Aussenwärmedämmung, Verkleidung_MINERGIE_P_Wü</v>
      </c>
      <c r="I64" s="552" t="s">
        <v>181</v>
      </c>
      <c r="J64" s="549">
        <v>56.4</v>
      </c>
      <c r="K64" s="549">
        <v>60</v>
      </c>
      <c r="L64" s="552" t="s">
        <v>215</v>
      </c>
      <c r="M64" s="549">
        <v>0.2</v>
      </c>
      <c r="N64" s="549">
        <v>40</v>
      </c>
      <c r="O64" s="552" t="s">
        <v>249</v>
      </c>
      <c r="P64" s="855">
        <v>20.399999999999999</v>
      </c>
      <c r="Q64" s="549">
        <v>40</v>
      </c>
      <c r="R64" s="552" t="s">
        <v>153</v>
      </c>
      <c r="S64" s="549">
        <v>0.3</v>
      </c>
      <c r="T64" s="549">
        <v>40</v>
      </c>
      <c r="U64" s="552" t="s">
        <v>179</v>
      </c>
      <c r="V64" s="549">
        <v>1.3</v>
      </c>
      <c r="W64" s="549">
        <v>40</v>
      </c>
      <c r="X64" s="552" t="s">
        <v>181</v>
      </c>
      <c r="Y64" s="549">
        <v>11.3</v>
      </c>
      <c r="Z64" s="549">
        <v>40</v>
      </c>
      <c r="AA64" s="552" t="s">
        <v>27</v>
      </c>
      <c r="AB64" s="549"/>
      <c r="AC64" s="549">
        <v>1</v>
      </c>
      <c r="AD64" s="552" t="s">
        <v>27</v>
      </c>
      <c r="AE64" s="549"/>
      <c r="AF64" s="549">
        <v>1</v>
      </c>
      <c r="AG64" s="893" t="s">
        <v>338</v>
      </c>
      <c r="AH64" s="894">
        <v>0.3</v>
      </c>
      <c r="AI64" s="894">
        <v>30</v>
      </c>
      <c r="AJ64" s="893" t="s">
        <v>1164</v>
      </c>
      <c r="AK64" s="894">
        <v>0.3</v>
      </c>
      <c r="AL64" s="894">
        <v>30</v>
      </c>
      <c r="AM64" s="549"/>
      <c r="AN64" s="495">
        <f t="shared" si="0"/>
        <v>13.372149594613548</v>
      </c>
      <c r="AO64" s="495">
        <f t="shared" si="1"/>
        <v>0.78047555178137085</v>
      </c>
      <c r="AP64" s="495">
        <f t="shared" si="2"/>
        <v>1698.933939428385</v>
      </c>
      <c r="AR64" s="938">
        <f>SUM(((VLOOKUP(L64,KBOB,10,FALSE)*M64)/N64),((VLOOKUP(O64,KBOB,10,FALSE)*P64)/Q64),((VLOOKUP(R64,KBOB,10,FALSE)*S64)/T64),((VLOOKUP(U64,KBOB,10,FALSE)*V64)/W64),((VLOOKUP(X64,KBOB,10,FALSE)*Y64)/Z64),((VLOOKUP(AA64,KBOB,10,FALSE)*AB64)/AC64),((VLOOKUP(AD64,KBOB,10,FALSE)*AE64)/AF64),((VLOOKUP(AJ64,KBOB,10,FALSE)*AK64)/AL64))</f>
        <v>9.944134283326159</v>
      </c>
      <c r="AS64" s="938">
        <f>SUM(((VLOOKUP(L64,KBOB,13,FALSE)*M64)/N64),((VLOOKUP(O64,KBOB,13,FALSE)*P64)/Q64),((VLOOKUP(R64,KBOB,13,FALSE)*S64)/T64),((VLOOKUP(U64,KBOB,13,FALSE)*V64)/W64),((VLOOKUP(X64,KBOB,13,FALSE)*Y64)/Z64),((VLOOKUP(AA64,KBOB,13,FALSE)*AB64)/AC64),((VLOOKUP(AD64,KBOB,13,FALSE)*AE64)/AF64),((VLOOKUP(AJ64,KBOB,13,FALSE)*AK64)/AL64))</f>
        <v>0.64178667717690507</v>
      </c>
      <c r="AT64" s="938">
        <f>SUM(((VLOOKUP(L64,KBOB,4,FALSE)*M64)/N64),((VLOOKUP(O64,KBOB,4,FALSE)*P64)/Q64),((VLOOKUP(R64,KBOB,4,FALSE)*S64)/T64),((VLOOKUP(U64,KBOB,4,FALSE)*V64)/W64),((VLOOKUP(X64,KBOB,4,FALSE)*Y64)/Z64),((VLOOKUP(AA64,KBOB,4,FALSE)*AB64)/AC64),((VLOOKUP(AD64,KBOB,4,FALSE)*AE64)/AF64),((VLOOKUP(AJ64,KBOB,4,FALSE)*AK64)/AL64))</f>
        <v>941.05557139928362</v>
      </c>
    </row>
    <row r="65" spans="1:46" s="548" customFormat="1" ht="30">
      <c r="A65" s="1062"/>
      <c r="B65" s="1062"/>
      <c r="C65" s="1062"/>
      <c r="D65" s="523" t="s">
        <v>1100</v>
      </c>
      <c r="E65" s="856">
        <v>0.35</v>
      </c>
      <c r="F65" s="523">
        <v>3.7999999999999999E-2</v>
      </c>
      <c r="G65" s="134" t="s">
        <v>1190</v>
      </c>
      <c r="H65" s="134" t="str">
        <f t="shared" si="5"/>
        <v>Einschalenbacksteinmauerwerk, Aussenwärmedämmung verputzt_MINERGIE_P_Wü</v>
      </c>
      <c r="I65" s="505" t="s">
        <v>94</v>
      </c>
      <c r="J65" s="134">
        <v>15</v>
      </c>
      <c r="K65" s="134">
        <v>30</v>
      </c>
      <c r="L65" s="505" t="s">
        <v>44</v>
      </c>
      <c r="M65" s="134">
        <v>112.5</v>
      </c>
      <c r="N65" s="134">
        <v>60</v>
      </c>
      <c r="O65" s="505" t="s">
        <v>108</v>
      </c>
      <c r="P65" s="134">
        <v>21.25</v>
      </c>
      <c r="Q65" s="134">
        <v>60</v>
      </c>
      <c r="R65" s="505" t="s">
        <v>96</v>
      </c>
      <c r="S65" s="134">
        <v>4.8</v>
      </c>
      <c r="T65" s="134">
        <v>30</v>
      </c>
      <c r="U65" s="505" t="s">
        <v>238</v>
      </c>
      <c r="V65" s="857">
        <v>5.2</v>
      </c>
      <c r="W65" s="134">
        <v>30</v>
      </c>
      <c r="X65" s="505" t="s">
        <v>96</v>
      </c>
      <c r="Y65" s="134">
        <v>4.8</v>
      </c>
      <c r="Z65" s="134">
        <v>30</v>
      </c>
      <c r="AA65" s="504" t="s">
        <v>362</v>
      </c>
      <c r="AB65" s="134">
        <v>0.15</v>
      </c>
      <c r="AC65" s="134">
        <v>30</v>
      </c>
      <c r="AD65" s="505" t="s">
        <v>110</v>
      </c>
      <c r="AE65" s="134">
        <v>7.5</v>
      </c>
      <c r="AF65" s="134">
        <v>30</v>
      </c>
      <c r="AG65" s="893" t="s">
        <v>338</v>
      </c>
      <c r="AH65" s="894">
        <v>0.3</v>
      </c>
      <c r="AI65" s="894">
        <v>30</v>
      </c>
      <c r="AJ65" s="893" t="s">
        <v>1164</v>
      </c>
      <c r="AK65" s="894">
        <v>0.3</v>
      </c>
      <c r="AL65" s="894">
        <v>30</v>
      </c>
      <c r="AM65" s="134"/>
      <c r="AN65" s="498">
        <f t="shared" si="0"/>
        <v>33.579684678038355</v>
      </c>
      <c r="AO65" s="498">
        <f t="shared" si="1"/>
        <v>2.3216766887133335</v>
      </c>
      <c r="AP65" s="498">
        <f t="shared" si="2"/>
        <v>1945.9480313624999</v>
      </c>
      <c r="AQ65" s="126"/>
      <c r="AR65" s="937">
        <f>SUM(((VLOOKUP(R65,KBOB,10,FALSE)*S65)/T65),((VLOOKUP(U65,KBOB,10,FALSE)*V65)/W65),((VLOOKUP(X65,KBOB,10,FALSE)*Y65)/Z65),((VLOOKUP(AA65,KBOB,10,FALSE)*AB65)/AC65),((VLOOKUP(AD65,KBOB,10,FALSE)*AE65)/AF65),((VLOOKUP(AJ65,KBOB,10,FALSE)*AK65)/AL65))</f>
        <v>26.898641806914917</v>
      </c>
      <c r="AS65" s="937">
        <f>SUM(((VLOOKUP(R65,KBOB,13,FALSE)*S65)/T65),((VLOOKUP(U65,KBOB,13,FALSE)*V65)/W65),((VLOOKUP(X65,KBOB,13,FALSE)*Y65)/Z65),((VLOOKUP(AA65,KBOB,13,FALSE)*AB65)/AC65),((VLOOKUP(AD65,KBOB,13,FALSE)*AE65)/AF65),((VLOOKUP(AJ65,KBOB,13,FALSE)*AK65)/AL65))</f>
        <v>1.7296825956466666</v>
      </c>
      <c r="AT65" s="937">
        <f>SUM(((VLOOKUP(R65,KBOB,4,FALSE)*S65)/T65),((VLOOKUP(U65,KBOB,4,FALSE)*V65)/W65),((VLOOKUP(X65,KBOB,4,FALSE)*Y65)/Z65),((VLOOKUP(AA65,KBOB,4,FALSE)*AB65)/AC65),((VLOOKUP(AD65,KBOB,4,FALSE)*AE65)/AF65),((VLOOKUP(AJ65,KBOB,4,FALSE)*AK65)/AL65))</f>
        <v>1455.3081613750001</v>
      </c>
    </row>
    <row r="66" spans="1:46" ht="34.5" customHeight="1">
      <c r="A66" s="1062"/>
      <c r="B66" s="1062"/>
      <c r="C66" s="1062"/>
      <c r="D66" s="523" t="s">
        <v>1104</v>
      </c>
      <c r="E66" s="856">
        <v>0.37</v>
      </c>
      <c r="F66" s="523">
        <v>0.04</v>
      </c>
      <c r="G66" s="134" t="s">
        <v>1105</v>
      </c>
      <c r="H66" s="134" t="str">
        <f t="shared" si="5"/>
        <v>Sichtbetonwand, Aussenwärmedämmung hinterlüftet_MINERGIE_P_Wü</v>
      </c>
      <c r="I66" s="505" t="s">
        <v>37</v>
      </c>
      <c r="J66" s="134">
        <v>476</v>
      </c>
      <c r="K66" s="134">
        <v>60</v>
      </c>
      <c r="L66" s="505" t="s">
        <v>137</v>
      </c>
      <c r="M66" s="134">
        <v>12</v>
      </c>
      <c r="N66" s="134">
        <v>60</v>
      </c>
      <c r="O66" s="505" t="s">
        <v>161</v>
      </c>
      <c r="P66" s="134">
        <v>2</v>
      </c>
      <c r="Q66" s="134">
        <v>60</v>
      </c>
      <c r="R66" s="505" t="s">
        <v>231</v>
      </c>
      <c r="S66" s="857">
        <v>11.1</v>
      </c>
      <c r="T66" s="134">
        <v>40</v>
      </c>
      <c r="U66" s="505" t="s">
        <v>153</v>
      </c>
      <c r="V66" s="134">
        <v>0.3</v>
      </c>
      <c r="W66" s="134">
        <v>40</v>
      </c>
      <c r="X66" s="505" t="s">
        <v>177</v>
      </c>
      <c r="Y66" s="134">
        <v>1.3</v>
      </c>
      <c r="Z66" s="134">
        <v>40</v>
      </c>
      <c r="AA66" s="505" t="s">
        <v>177</v>
      </c>
      <c r="AB66" s="134">
        <v>11.3</v>
      </c>
      <c r="AC66" s="134">
        <v>40</v>
      </c>
      <c r="AD66" s="505" t="s">
        <v>27</v>
      </c>
      <c r="AE66" s="134"/>
      <c r="AF66" s="134">
        <v>1</v>
      </c>
      <c r="AG66" s="505" t="s">
        <v>27</v>
      </c>
      <c r="AH66" s="134"/>
      <c r="AI66" s="134">
        <v>1</v>
      </c>
      <c r="AJ66" s="893" t="s">
        <v>1164</v>
      </c>
      <c r="AK66" s="894">
        <v>0.3</v>
      </c>
      <c r="AL66" s="894">
        <v>30</v>
      </c>
      <c r="AM66" s="134"/>
      <c r="AN66" s="498">
        <f t="shared" si="0"/>
        <v>23.092297056608476</v>
      </c>
      <c r="AO66" s="498">
        <f t="shared" si="1"/>
        <v>1.6048150458396351</v>
      </c>
      <c r="AP66" s="498">
        <f t="shared" si="2"/>
        <v>2385.4626394026668</v>
      </c>
      <c r="AR66" s="937">
        <f>SUM(((VLOOKUP(R66,KBOB,10,FALSE)*S66)/T66),((VLOOKUP(U66,KBOB,10,FALSE)*V66)/W66),((VLOOKUP(X66,KBOB,10,FALSE)*Y66)/Z66),((VLOOKUP(AA66,KBOB,10,FALSE)*AB66)/AC66),((VLOOKUP(AD66,KBOB,10,FALSE)*AE66)/AF66),((VLOOKUP(AJ66,KBOB,10,FALSE)*AK66)/AL66))</f>
        <v>13.94417166867226</v>
      </c>
      <c r="AS66" s="937">
        <f>SUM(((VLOOKUP(R66,KBOB,13,FALSE)*S66)/T66),((VLOOKUP(U66,KBOB,13,FALSE)*V66)/W66),((VLOOKUP(X66,KBOB,13,FALSE)*Y66)/Z66),((VLOOKUP(AA66,KBOB,13,FALSE)*AB66)/AC66),((VLOOKUP(AD66,KBOB,13,FALSE)*AE66)/AF66),((VLOOKUP(AJ66,KBOB,13,FALSE)*AK66)/AL66))</f>
        <v>0.4879521504851661</v>
      </c>
      <c r="AT66" s="937">
        <f>SUM(((VLOOKUP(R66,KBOB,4,FALSE)*S66)/T66),((VLOOKUP(U66,KBOB,4,FALSE)*V66)/W66),((VLOOKUP(X66,KBOB,4,FALSE)*Y66)/Z66),((VLOOKUP(AA66,KBOB,4,FALSE)*AB66)/AC66),((VLOOKUP(AD66,KBOB,4,FALSE)*AE66)/AF66),((VLOOKUP(AJ66,KBOB,4,FALSE)*AK66)/AL66))</f>
        <v>933.19760449866669</v>
      </c>
    </row>
    <row r="67" spans="1:46" ht="30">
      <c r="A67" s="1062"/>
      <c r="B67" s="1062"/>
      <c r="C67" s="1062"/>
      <c r="D67" s="523" t="s">
        <v>1106</v>
      </c>
      <c r="E67" s="856">
        <v>0.35</v>
      </c>
      <c r="F67" s="523">
        <v>0.04</v>
      </c>
      <c r="G67" s="548" t="s">
        <v>1191</v>
      </c>
      <c r="H67" s="134" t="str">
        <f t="shared" si="5"/>
        <v>Zweischalenmauerwerk verputzt, Kerndämmung_MINERGIE_P_Wü</v>
      </c>
      <c r="I67" s="505" t="s">
        <v>94</v>
      </c>
      <c r="J67" s="134">
        <v>15</v>
      </c>
      <c r="K67" s="134">
        <v>30</v>
      </c>
      <c r="L67" s="505" t="s">
        <v>44</v>
      </c>
      <c r="M67" s="134">
        <v>135</v>
      </c>
      <c r="N67" s="134">
        <v>60</v>
      </c>
      <c r="O67" s="505" t="s">
        <v>108</v>
      </c>
      <c r="P67" s="134">
        <v>25.5</v>
      </c>
      <c r="Q67" s="134">
        <v>60</v>
      </c>
      <c r="R67" s="505" t="s">
        <v>231</v>
      </c>
      <c r="S67" s="857">
        <v>7.7</v>
      </c>
      <c r="T67" s="134">
        <v>40</v>
      </c>
      <c r="U67" s="505" t="s">
        <v>44</v>
      </c>
      <c r="V67" s="134">
        <v>112.5</v>
      </c>
      <c r="W67" s="134">
        <v>40</v>
      </c>
      <c r="X67" s="505" t="s">
        <v>108</v>
      </c>
      <c r="Y67" s="134">
        <v>21.25</v>
      </c>
      <c r="Z67" s="134">
        <v>40</v>
      </c>
      <c r="AA67" s="505" t="s">
        <v>110</v>
      </c>
      <c r="AB67" s="134">
        <v>22.5</v>
      </c>
      <c r="AC67" s="134">
        <v>30</v>
      </c>
      <c r="AD67" s="505" t="s">
        <v>27</v>
      </c>
      <c r="AE67" s="134"/>
      <c r="AF67" s="134">
        <v>1</v>
      </c>
      <c r="AG67" s="893" t="s">
        <v>338</v>
      </c>
      <c r="AH67" s="894">
        <v>0.3</v>
      </c>
      <c r="AI67" s="894">
        <v>30</v>
      </c>
      <c r="AJ67" s="893" t="s">
        <v>1164</v>
      </c>
      <c r="AK67" s="894">
        <v>0.3</v>
      </c>
      <c r="AL67" s="894">
        <v>30</v>
      </c>
      <c r="AM67" s="134"/>
      <c r="AN67" s="498">
        <f t="shared" si="0"/>
        <v>26.60794291259938</v>
      </c>
      <c r="AO67" s="498">
        <f t="shared" ref="AO67:AO98" si="6">SUM(((VLOOKUP(I67,KBOB,13,FALSE)*J67)/K67),((VLOOKUP(L67,KBOB,13,FALSE)*M67)/N67),((VLOOKUP(O67,KBOB,13,FALSE)*P67)/Q67),((VLOOKUP(R67,KBOB,13,FALSE)*S67)/T67),((VLOOKUP(U67,KBOB,13,FALSE)*V67)/W67),((VLOOKUP(X67,KBOB,13,FALSE)*Y67)/Z67),((VLOOKUP(AA67,KBOB,13,FALSE)*AB67)/AC67),((VLOOKUP(AD67,KBOB,13,FALSE)*AE67)/AF67),((VLOOKUP(AG67,KBOB,13,FALSE)*AH67)/AI67),((VLOOKUP(AJ67,KBOB,13,FALSE)*AK67)/AL67))</f>
        <v>1.9714197133800002</v>
      </c>
      <c r="AP67" s="498">
        <f t="shared" si="2"/>
        <v>1749.7293844162498</v>
      </c>
      <c r="AR67" s="935">
        <f>SUM(((VLOOKUP(R67,KBOB,10,FALSE)*S67)/T67),((VLOOKUP(U67,KBOB,10,FALSE)*V67)/W67),((VLOOKUP(X67,KBOB,10,FALSE)*Y67)/Z67),((VLOOKUP(AA67,KBOB,10,FALSE)*AB67)/AC67),((VLOOKUP(AD67,KBOB,10,FALSE)*AE67)/AF67),((VLOOKUP(AJ67,KBOB,10,FALSE)*AK67)/AL67))</f>
        <v>18.785645645137084</v>
      </c>
      <c r="AS67" s="935">
        <f>SUM(((VLOOKUP(R67,KBOB,13,FALSE)*S67)/T67),((VLOOKUP(U67,KBOB,13,FALSE)*V67)/W67),((VLOOKUP(X67,KBOB,13,FALSE)*Y67)/Z67),((VLOOKUP(AA67,KBOB,13,FALSE)*AB67)/AC67),((VLOOKUP(AD67,KBOB,13,FALSE)*AE67)/AF67),((VLOOKUP(AJ67,KBOB,13,FALSE)*AK67)/AL67))</f>
        <v>1.2723503421000002</v>
      </c>
      <c r="AT67" s="935">
        <f>SUM(((VLOOKUP(R67,KBOB,4,FALSE)*S67)/T67),((VLOOKUP(U67,KBOB,4,FALSE)*V67)/W67),((VLOOKUP(X67,KBOB,4,FALSE)*Y67)/Z67),((VLOOKUP(AA67,KBOB,4,FALSE)*AB67)/AC67),((VLOOKUP(AD67,KBOB,4,FALSE)*AE67)/AF67),((VLOOKUP(AJ67,KBOB,4,FALSE)*AK67)/AL67))</f>
        <v>1179.93480498125</v>
      </c>
    </row>
    <row r="68" spans="1:46" ht="30">
      <c r="A68" s="1067"/>
      <c r="B68" s="1067"/>
      <c r="C68" s="1067"/>
      <c r="D68" s="523" t="s">
        <v>1107</v>
      </c>
      <c r="E68" s="860">
        <v>0.44</v>
      </c>
      <c r="F68" s="575">
        <v>0.04</v>
      </c>
      <c r="G68" s="538" t="s">
        <v>1108</v>
      </c>
      <c r="H68" s="134" t="str">
        <f t="shared" si="5"/>
        <v>Holzelementwand mit zwischenliegender Wärmedämmung_MINERGIE_P_Wü</v>
      </c>
      <c r="I68" s="505" t="s">
        <v>181</v>
      </c>
      <c r="J68" s="134">
        <v>7.05</v>
      </c>
      <c r="K68" s="1006">
        <v>30</v>
      </c>
      <c r="L68" s="505" t="s">
        <v>161</v>
      </c>
      <c r="M68" s="134">
        <v>12</v>
      </c>
      <c r="N68" s="1006">
        <v>40</v>
      </c>
      <c r="O68" s="505" t="s">
        <v>215</v>
      </c>
      <c r="P68" s="134">
        <v>0.188</v>
      </c>
      <c r="Q68" s="1006">
        <v>40</v>
      </c>
      <c r="R68" s="505" t="s">
        <v>249</v>
      </c>
      <c r="S68" s="857">
        <v>13.2</v>
      </c>
      <c r="T68" s="1006">
        <v>40</v>
      </c>
      <c r="U68" s="505" t="s">
        <v>177</v>
      </c>
      <c r="V68" s="134">
        <v>15.228</v>
      </c>
      <c r="W68" s="1006">
        <v>40</v>
      </c>
      <c r="X68" s="505" t="s">
        <v>183</v>
      </c>
      <c r="Y68" s="134">
        <v>9</v>
      </c>
      <c r="Z68" s="1006">
        <v>40</v>
      </c>
      <c r="AA68" s="505" t="s">
        <v>181</v>
      </c>
      <c r="AB68" s="134">
        <v>11.28</v>
      </c>
      <c r="AC68" s="1006">
        <v>40</v>
      </c>
      <c r="AD68" s="505" t="s">
        <v>27</v>
      </c>
      <c r="AE68" s="134"/>
      <c r="AF68" s="134">
        <v>1</v>
      </c>
      <c r="AG68" s="893" t="s">
        <v>338</v>
      </c>
      <c r="AH68" s="894">
        <v>0.3</v>
      </c>
      <c r="AI68" s="894">
        <v>30</v>
      </c>
      <c r="AJ68" s="893" t="s">
        <v>1164</v>
      </c>
      <c r="AK68" s="894">
        <v>0.3</v>
      </c>
      <c r="AL68" s="894">
        <v>30</v>
      </c>
      <c r="AM68" s="134"/>
      <c r="AN68" s="498">
        <f t="shared" si="0"/>
        <v>14.560954530297581</v>
      </c>
      <c r="AO68" s="498">
        <f t="shared" si="6"/>
        <v>0.85545896758409301</v>
      </c>
      <c r="AP68" s="498">
        <f t="shared" si="2"/>
        <v>1686.2856358529659</v>
      </c>
      <c r="AR68" s="937">
        <f>SUM(((VLOOKUP(R68,KBOB,10,FALSE)*S68)/T68),((VLOOKUP(X68,KBOB,10,FALSE)*Y68)/Z68),((VLOOKUP(AA68,KBOB,10,FALSE)*AB68)/AC68),((VLOOKUP(AD68,KBOB,10,FALSE)*AE68)/AF68),((VLOOKUP(AJ68,KBOB,10,FALSE)*AK68)/AL68))</f>
        <v>9.4620937802186891</v>
      </c>
      <c r="AS68" s="937">
        <f>SUM(((VLOOKUP(R68,KBOB,13,FALSE)*S68)/T68),((VLOOKUP(X68,KBOB,13,FALSE)*Y68)/Z68),((VLOOKUP(AA68,KBOB,13,FALSE)*AB68)/AC68),((VLOOKUP(AD68,KBOB,13,FALSE)*AE68)/AF68),((VLOOKUP(AJ68,KBOB,13,FALSE)*AK68)/AL68))</f>
        <v>0.56644865688683421</v>
      </c>
      <c r="AT68" s="937">
        <f>SUM(((VLOOKUP(R68,KBOB,4,FALSE)*S68)/T68),((VLOOKUP(X68,KBOB,4,FALSE)*Y68)/Z68),((VLOOKUP(AA68,KBOB,4,FALSE)*AB68)/AC68),((VLOOKUP(AD68,KBOB,4,FALSE)*AE68)/AF68),((VLOOKUP(AJ68,KBOB,4,FALSE)*AK68)/AL68))</f>
        <v>853.38351040873033</v>
      </c>
    </row>
    <row r="69" spans="1:46" ht="25.5">
      <c r="A69" s="1067"/>
      <c r="B69" s="1067"/>
      <c r="C69" s="1067"/>
      <c r="D69" s="555" t="s">
        <v>1109</v>
      </c>
      <c r="E69" s="854">
        <v>0.43</v>
      </c>
      <c r="F69" s="555">
        <v>0.04</v>
      </c>
      <c r="G69" s="134" t="s">
        <v>1193</v>
      </c>
      <c r="H69" s="134" t="str">
        <f t="shared" si="5"/>
        <v>Backsteinwand, Holzverkleidung_MINERGIE_P_Wü</v>
      </c>
      <c r="I69" s="552" t="s">
        <v>94</v>
      </c>
      <c r="J69" s="549">
        <v>15</v>
      </c>
      <c r="K69" s="549">
        <v>30</v>
      </c>
      <c r="L69" s="552" t="s">
        <v>44</v>
      </c>
      <c r="M69" s="549">
        <v>112.5</v>
      </c>
      <c r="N69" s="549">
        <v>60</v>
      </c>
      <c r="O69" s="552" t="s">
        <v>108</v>
      </c>
      <c r="P69" s="549">
        <v>21.25</v>
      </c>
      <c r="Q69" s="549">
        <v>60</v>
      </c>
      <c r="R69" s="552" t="s">
        <v>177</v>
      </c>
      <c r="S69" s="549">
        <v>7.6139999999999999</v>
      </c>
      <c r="T69" s="549">
        <v>40</v>
      </c>
      <c r="U69" s="552" t="s">
        <v>231</v>
      </c>
      <c r="V69" s="855">
        <v>12.9</v>
      </c>
      <c r="W69" s="549">
        <v>40</v>
      </c>
      <c r="X69" s="1003" t="s">
        <v>177</v>
      </c>
      <c r="Y69" s="1004">
        <v>1.3</v>
      </c>
      <c r="Z69" s="1004">
        <v>40</v>
      </c>
      <c r="AA69" s="552" t="s">
        <v>177</v>
      </c>
      <c r="AB69" s="549">
        <v>11.28</v>
      </c>
      <c r="AC69" s="549">
        <v>40</v>
      </c>
      <c r="AD69" s="552" t="s">
        <v>27</v>
      </c>
      <c r="AE69" s="549"/>
      <c r="AF69" s="549">
        <v>1</v>
      </c>
      <c r="AG69" s="893" t="s">
        <v>338</v>
      </c>
      <c r="AH69" s="894">
        <v>0.3</v>
      </c>
      <c r="AI69" s="894">
        <v>30</v>
      </c>
      <c r="AJ69" s="893" t="s">
        <v>1164</v>
      </c>
      <c r="AK69" s="894">
        <v>0.3</v>
      </c>
      <c r="AL69" s="894">
        <v>30</v>
      </c>
      <c r="AM69" s="546"/>
      <c r="AN69" s="498">
        <f t="shared" si="0"/>
        <v>22.590661488714012</v>
      </c>
      <c r="AO69" s="498">
        <f t="shared" si="6"/>
        <v>1.1372720103042713</v>
      </c>
      <c r="AP69" s="498">
        <f t="shared" si="2"/>
        <v>1529.7557767530616</v>
      </c>
      <c r="AR69" s="937">
        <f>SUM(((VLOOKUP(R69,KBOB,10,FALSE)*S69)/T69),((VLOOKUP(U69,KBOB,10,FALSE)*V69)/W69),((VLOOKUP(X69,KBOB,10,FALSE)*Y69)/Z69),((VLOOKUP(AA69,KBOB,10,FALSE)*AB69)/AC69),((VLOOKUP(AD69,KBOB,10,FALSE)*AE69)/AF69),((VLOOKUP(AJ69,KBOB,10,FALSE)*AK69)/AL69))</f>
        <v>15.909618617590571</v>
      </c>
      <c r="AS69" s="937">
        <f>SUM(((VLOOKUP(R69,KBOB,13,FALSE)*S69)/T69),((VLOOKUP(U69,KBOB,13,FALSE)*V69)/W69),((VLOOKUP(X69,KBOB,13,FALSE)*Y69)/Z69),((VLOOKUP(AA69,KBOB,13,FALSE)*AB69)/AC69),((VLOOKUP(AD69,KBOB,13,FALSE)*AE69)/AF69),((VLOOKUP(AJ69,KBOB,13,FALSE)*AK69)/AL69))</f>
        <v>0.54527791723760455</v>
      </c>
      <c r="AT69" s="937">
        <f>SUM(((VLOOKUP(R69,KBOB,4,FALSE)*S69)/T69),((VLOOKUP(U69,KBOB,4,FALSE)*V69)/W69),((VLOOKUP(X69,KBOB,4,FALSE)*Y69)/Z69),((VLOOKUP(AA69,KBOB,4,FALSE)*AB69)/AC69),((VLOOKUP(AD69,KBOB,4,FALSE)*AE69)/AF69),((VLOOKUP(AJ69,KBOB,4,FALSE)*AK69)/AL69))</f>
        <v>1039.1159067655615</v>
      </c>
    </row>
    <row r="70" spans="1:46" ht="15.75" thickBot="1">
      <c r="A70" s="1063"/>
      <c r="B70" s="1063"/>
      <c r="C70" s="1063"/>
      <c r="D70" s="523"/>
      <c r="E70" s="523"/>
      <c r="F70" s="523"/>
      <c r="G70" s="508"/>
      <c r="H70" s="520" t="str">
        <f t="shared" si="5"/>
        <v>_MINERGIE_P_Wü</v>
      </c>
      <c r="I70" s="551"/>
      <c r="J70" s="508"/>
      <c r="K70" s="508"/>
      <c r="L70" s="551"/>
      <c r="M70" s="508"/>
      <c r="N70" s="508"/>
      <c r="O70" s="551"/>
      <c r="P70" s="508"/>
      <c r="Q70" s="508"/>
      <c r="R70" s="551"/>
      <c r="S70" s="508"/>
      <c r="T70" s="508"/>
      <c r="U70" s="551"/>
      <c r="V70" s="508"/>
      <c r="W70" s="508"/>
      <c r="X70" s="551"/>
      <c r="Y70" s="508"/>
      <c r="Z70" s="508"/>
      <c r="AA70" s="551"/>
      <c r="AB70" s="508"/>
      <c r="AC70" s="508"/>
      <c r="AD70" s="551"/>
      <c r="AE70" s="508"/>
      <c r="AF70" s="508"/>
      <c r="AG70" s="551"/>
      <c r="AH70" s="508"/>
      <c r="AI70" s="508"/>
      <c r="AJ70" s="551"/>
      <c r="AK70" s="508"/>
      <c r="AL70" s="508"/>
      <c r="AM70" s="508"/>
      <c r="AN70" s="503" t="e">
        <f t="shared" si="0"/>
        <v>#N/A</v>
      </c>
      <c r="AO70" s="503" t="e">
        <f t="shared" si="6"/>
        <v>#N/A</v>
      </c>
      <c r="AP70" s="503" t="e">
        <f t="shared" si="2"/>
        <v>#N/A</v>
      </c>
      <c r="AR70" s="503" t="e">
        <f>SUM(((VLOOKUP(I70,KBOB,10,FALSE)*J70)/K70),((VLOOKUP(L70,KBOB,10,FALSE)*M70)/N70),((VLOOKUP(O70,KBOB,10,FALSE)*P70)/Q70),((VLOOKUP(R70,KBOB,10,FALSE)*S70)/T70),((VLOOKUP(U70,KBOB,10,FALSE)*V70)/W70),((VLOOKUP(X70,KBOB,10,FALSE)*Y70)/Z70),((VLOOKUP(AA70,KBOB,10,FALSE)*AB70)/AC70),((VLOOKUP(AD70,KBOB,10,FALSE)*AE70)/AF70),((VLOOKUP(AG70,KBOB,10,FALSE)*AH70)/AI70),((VLOOKUP(AJ70,KBOB,10,FALSE)*AK70)/AL70))</f>
        <v>#N/A</v>
      </c>
      <c r="AS70" s="503" t="e">
        <f>SUM(((VLOOKUP(I70,KBOB,13,FALSE)*J70)/K70),((VLOOKUP(L70,KBOB,13,FALSE)*M70)/N70),((VLOOKUP(O70,KBOB,13,FALSE)*P70)/Q70),((VLOOKUP(R70,KBOB,13,FALSE)*S70)/T70),((VLOOKUP(U70,KBOB,13,FALSE)*V70)/W70),((VLOOKUP(X70,KBOB,13,FALSE)*Y70)/Z70),((VLOOKUP(AA70,KBOB,13,FALSE)*AB70)/AC70),((VLOOKUP(AD70,KBOB,13,FALSE)*AE70)/AF70),((VLOOKUP(AG70,KBOB,13,FALSE)*AH70)/AI70),((VLOOKUP(AJ70,KBOB,13,FALSE)*AK70)/AL70))</f>
        <v>#N/A</v>
      </c>
      <c r="AT70" s="503" t="e">
        <f>SUM(((VLOOKUP(I70,KBOB,4,FALSE)*J70)/K70),((VLOOKUP(L70,KBOB,4,FALSE)*M70)/N70),((VLOOKUP(O70,KBOB,4,FALSE)*P70)/Q70),((VLOOKUP(R70,KBOB,4,FALSE)*S70)/T70),((VLOOKUP(U70,KBOB,4,FALSE)*V70)/W70),((VLOOKUP(X70,KBOB,4,FALSE)*Y70)/Z70),((VLOOKUP(AA70,KBOB,4,FALSE)*AB70)/AC70),((VLOOKUP(AD70,KBOB,4,FALSE)*AE70)/AF70),((VLOOKUP(AG70,KBOB,4,FALSE)*AH70)/AI70),((VLOOKUP(AJ70,KBOB,4,FALSE)*AK70)/AL70))</f>
        <v>#N/A</v>
      </c>
    </row>
    <row r="71" spans="1:46" ht="32.25" customHeight="1">
      <c r="A71" s="1065" t="s">
        <v>1022</v>
      </c>
      <c r="B71" s="1065" t="s">
        <v>398</v>
      </c>
      <c r="C71" s="1065" t="s">
        <v>380</v>
      </c>
      <c r="D71" s="862" t="s">
        <v>1149</v>
      </c>
      <c r="E71" s="862">
        <v>0.17</v>
      </c>
      <c r="F71" s="862">
        <v>3.5999999999999997E-2</v>
      </c>
      <c r="G71" s="864" t="s">
        <v>1150</v>
      </c>
      <c r="H71" s="866" t="str">
        <f>G71&amp;"_"&amp;$C$71&amp;$B$71</f>
        <v>Betonwand, Aussendämmung, Sickerplatten_MuKen_Wu</v>
      </c>
      <c r="I71" s="865" t="s">
        <v>37</v>
      </c>
      <c r="J71" s="864">
        <v>595</v>
      </c>
      <c r="K71" s="864">
        <v>60</v>
      </c>
      <c r="L71" s="865" t="s">
        <v>137</v>
      </c>
      <c r="M71" s="864">
        <v>15</v>
      </c>
      <c r="N71" s="864">
        <v>60</v>
      </c>
      <c r="O71" s="865" t="s">
        <v>161</v>
      </c>
      <c r="P71" s="867">
        <v>2</v>
      </c>
      <c r="Q71" s="867">
        <v>60</v>
      </c>
      <c r="R71" s="865" t="s">
        <v>217</v>
      </c>
      <c r="S71" s="867">
        <v>3.5</v>
      </c>
      <c r="T71" s="867">
        <v>60</v>
      </c>
      <c r="U71" s="868" t="s">
        <v>241</v>
      </c>
      <c r="V71" s="864">
        <v>5.0999999999999996</v>
      </c>
      <c r="W71" s="864">
        <v>60</v>
      </c>
      <c r="X71" s="868" t="s">
        <v>238</v>
      </c>
      <c r="Y71" s="864">
        <v>1.1000000000000001</v>
      </c>
      <c r="Z71" s="864">
        <v>60</v>
      </c>
      <c r="AA71" s="869" t="s">
        <v>27</v>
      </c>
      <c r="AB71" s="864"/>
      <c r="AC71" s="864">
        <v>1</v>
      </c>
      <c r="AD71" s="869" t="s">
        <v>27</v>
      </c>
      <c r="AE71" s="864"/>
      <c r="AF71" s="864">
        <v>1</v>
      </c>
      <c r="AG71" s="550" t="s">
        <v>27</v>
      </c>
      <c r="AH71" s="528"/>
      <c r="AI71" s="528">
        <v>1</v>
      </c>
      <c r="AJ71" s="550" t="s">
        <v>27</v>
      </c>
      <c r="AK71" s="528"/>
      <c r="AL71" s="528">
        <v>1</v>
      </c>
      <c r="AM71" s="127"/>
      <c r="AN71" s="495">
        <f t="shared" si="0"/>
        <v>24.361972369412509</v>
      </c>
      <c r="AO71" s="495">
        <f t="shared" si="6"/>
        <v>2.923595751909136</v>
      </c>
      <c r="AP71" s="495">
        <f t="shared" si="2"/>
        <v>2778.1812936299998</v>
      </c>
      <c r="AR71" s="936">
        <f t="shared" ref="AR71:AR85" si="7">SUM(((VLOOKUP(R71,KBOB,10,FALSE)*S71)/T71),((VLOOKUP(U71,KBOB,10,FALSE)*V71)/W71),((VLOOKUP(X71,KBOB,10,FALSE)*Y71)/Z71),((VLOOKUP(AA71,KBOB,10,FALSE)*AB71)/AC71),((VLOOKUP(AD71,KBOB,10,FALSE)*AE71)/AF71),((VLOOKUP(AG71,KBOB,10,FALSE)*AH71)/AI71),((VLOOKUP(AJ71,KBOB,10,FALSE)*AK71)/AL71))</f>
        <v>13.010702046325816</v>
      </c>
      <c r="AS71" s="936">
        <f t="shared" ref="AS71:AS85" si="8">SUM(((VLOOKUP(R71,KBOB,13,FALSE)*S71)/T71),((VLOOKUP(U71,KBOB,13,FALSE)*V71)/W71),((VLOOKUP(X71,KBOB,13,FALSE)*Y71)/Z71),((VLOOKUP(AA71,KBOB,13,FALSE)*AB71)/AC71),((VLOOKUP(AD71,KBOB,13,FALSE)*AE71)/AF71),((VLOOKUP(AG71,KBOB,13,FALSE)*AH71)/AI71),((VLOOKUP(AJ71,KBOB,13,FALSE)*AK71)/AL71))+0.25*$AO$141</f>
        <v>1.54623453575</v>
      </c>
      <c r="AT71" s="936">
        <f t="shared" ref="AT71:AT85" si="9">SUM(((VLOOKUP(R71,KBOB,4,FALSE)*S71)/T71),((VLOOKUP(U71,KBOB,4,FALSE)*V71)/W71),((VLOOKUP(X71,KBOB,4,FALSE)*Y71)/Z71),((VLOOKUP(AA71,KBOB,4,FALSE)*AB71)/AC71),((VLOOKUP(AD71,KBOB,4,FALSE)*AE71)/AF71),((VLOOKUP(AG71,KBOB,4,FALSE)*AH71)/AI71),((VLOOKUP(AJ71,KBOB,4,FALSE)*AK71)/AL71))+0.25*$AP$141</f>
        <v>988.97389666666675</v>
      </c>
    </row>
    <row r="72" spans="1:46">
      <c r="A72" s="1065"/>
      <c r="B72" s="1065"/>
      <c r="C72" s="1065"/>
      <c r="D72" s="541"/>
      <c r="E72" s="541"/>
      <c r="F72" s="541"/>
      <c r="G72" s="521"/>
      <c r="H72" s="520" t="str">
        <f>G72&amp;"_"&amp;$C$71&amp;$B$71</f>
        <v>_MuKen_Wu</v>
      </c>
      <c r="I72" s="531"/>
      <c r="J72" s="521"/>
      <c r="K72" s="521"/>
      <c r="L72" s="531"/>
      <c r="M72" s="521"/>
      <c r="N72" s="521"/>
      <c r="O72" s="497"/>
      <c r="P72" s="497"/>
      <c r="Q72" s="497"/>
      <c r="R72" s="531"/>
      <c r="S72" s="521"/>
      <c r="T72" s="521"/>
      <c r="U72" s="531"/>
      <c r="V72" s="521"/>
      <c r="W72" s="521"/>
      <c r="X72" s="531"/>
      <c r="Y72" s="521"/>
      <c r="Z72" s="521"/>
      <c r="AA72" s="531"/>
      <c r="AB72" s="521"/>
      <c r="AC72" s="521"/>
      <c r="AD72" s="531"/>
      <c r="AE72" s="521"/>
      <c r="AF72" s="521"/>
      <c r="AG72" s="531"/>
      <c r="AH72" s="521"/>
      <c r="AI72" s="521"/>
      <c r="AJ72" s="531"/>
      <c r="AK72" s="521"/>
      <c r="AL72" s="521"/>
      <c r="AM72" s="129"/>
      <c r="AN72" s="498" t="e">
        <f t="shared" si="0"/>
        <v>#N/A</v>
      </c>
      <c r="AO72" s="498" t="e">
        <f t="shared" si="6"/>
        <v>#N/A</v>
      </c>
      <c r="AP72" s="498" t="e">
        <f t="shared" si="2"/>
        <v>#N/A</v>
      </c>
      <c r="AR72" s="498" t="e">
        <f t="shared" si="7"/>
        <v>#N/A</v>
      </c>
      <c r="AS72" s="498" t="e">
        <f t="shared" si="8"/>
        <v>#N/A</v>
      </c>
      <c r="AT72" s="498" t="e">
        <f t="shared" si="9"/>
        <v>#N/A</v>
      </c>
    </row>
    <row r="73" spans="1:46">
      <c r="A73" s="1065"/>
      <c r="B73" s="1065"/>
      <c r="C73" s="1065"/>
      <c r="D73" s="541"/>
      <c r="E73" s="541"/>
      <c r="F73" s="541"/>
      <c r="G73" s="129"/>
      <c r="H73" s="520" t="str">
        <f>G73&amp;"_"&amp;$C$71&amp;$B$71</f>
        <v>_MuKen_Wu</v>
      </c>
      <c r="I73" s="496"/>
      <c r="J73" s="129"/>
      <c r="K73" s="129"/>
      <c r="L73" s="497"/>
      <c r="M73" s="129"/>
      <c r="N73" s="129"/>
      <c r="O73" s="497"/>
      <c r="P73" s="497"/>
      <c r="Q73" s="497"/>
      <c r="R73" s="497"/>
      <c r="S73" s="129"/>
      <c r="T73" s="129"/>
      <c r="U73" s="496"/>
      <c r="V73" s="129"/>
      <c r="W73" s="129"/>
      <c r="X73" s="497"/>
      <c r="Y73" s="129"/>
      <c r="Z73" s="129"/>
      <c r="AA73" s="497"/>
      <c r="AB73" s="129"/>
      <c r="AC73" s="129"/>
      <c r="AD73" s="497"/>
      <c r="AE73" s="129"/>
      <c r="AF73" s="129"/>
      <c r="AG73" s="497"/>
      <c r="AH73" s="129"/>
      <c r="AI73" s="129"/>
      <c r="AJ73" s="497"/>
      <c r="AK73" s="129"/>
      <c r="AL73" s="129"/>
      <c r="AM73" s="129"/>
      <c r="AN73" s="498" t="e">
        <f t="shared" ref="AN73:AN104" si="10">SUM(((VLOOKUP(I73,KBOB,10,FALSE)*J73)/K73),((VLOOKUP(L73,KBOB,10,FALSE)*M73)/N73),((VLOOKUP(O73,KBOB,10,FALSE)*P73)/Q73),((VLOOKUP(R73,KBOB,10,FALSE)*S73)/T73),((VLOOKUP(U73,KBOB,10,FALSE)*V73)/W73),((VLOOKUP(X73,KBOB,10,FALSE)*Y73)/Z73),((VLOOKUP(AA73,KBOB,10,FALSE)*AB73)/AC73),((VLOOKUP(AD73,KBOB,10,FALSE)*AE73)/AF73),((VLOOKUP(AG73,KBOB,10,FALSE)*AH73)/AI73),((VLOOKUP(AJ73,KBOB,10,FALSE)*AK73)/AL73))</f>
        <v>#N/A</v>
      </c>
      <c r="AO73" s="498" t="e">
        <f t="shared" si="6"/>
        <v>#N/A</v>
      </c>
      <c r="AP73" s="498" t="e">
        <f t="shared" ref="AP73:AP104" si="11">SUM(((VLOOKUP(I73,KBOB,4,FALSE)*J73)/K73),((VLOOKUP(L73,KBOB,4,FALSE)*M73)/N73),((VLOOKUP(O73,KBOB,4,FALSE)*P73)/Q73),((VLOOKUP(R73,KBOB,4,FALSE)*S73)/T73),((VLOOKUP(U73,KBOB,4,FALSE)*V73)/W73),((VLOOKUP(X73,KBOB,4,FALSE)*Y73)/Z73),((VLOOKUP(AA73,KBOB,4,FALSE)*AB73)/AC73),((VLOOKUP(AD73,KBOB,4,FALSE)*AE73)/AF73),((VLOOKUP(AG73,KBOB,4,FALSE)*AH73)/AI73),((VLOOKUP(AJ73,KBOB,4,FALSE)*AK73)/AL73))</f>
        <v>#N/A</v>
      </c>
      <c r="AR73" s="498" t="e">
        <f t="shared" si="7"/>
        <v>#N/A</v>
      </c>
      <c r="AS73" s="498" t="e">
        <f t="shared" si="8"/>
        <v>#N/A</v>
      </c>
      <c r="AT73" s="498" t="e">
        <f t="shared" si="9"/>
        <v>#N/A</v>
      </c>
    </row>
    <row r="74" spans="1:46">
      <c r="A74" s="1065"/>
      <c r="B74" s="1065"/>
      <c r="C74" s="1065"/>
      <c r="D74" s="541"/>
      <c r="E74" s="541"/>
      <c r="F74" s="541"/>
      <c r="G74" s="129"/>
      <c r="H74" s="520" t="str">
        <f>G74&amp;"_"&amp;$C$71&amp;$B$71</f>
        <v>_MuKen_Wu</v>
      </c>
      <c r="I74" s="497"/>
      <c r="J74" s="129"/>
      <c r="K74" s="129"/>
      <c r="L74" s="497"/>
      <c r="M74" s="129"/>
      <c r="N74" s="129"/>
      <c r="O74" s="497"/>
      <c r="P74" s="129"/>
      <c r="Q74" s="129"/>
      <c r="R74" s="497"/>
      <c r="S74" s="129"/>
      <c r="T74" s="129"/>
      <c r="U74" s="497"/>
      <c r="V74" s="129"/>
      <c r="W74" s="129"/>
      <c r="X74" s="497"/>
      <c r="Y74" s="129"/>
      <c r="Z74" s="129"/>
      <c r="AA74" s="497"/>
      <c r="AB74" s="129"/>
      <c r="AC74" s="129"/>
      <c r="AD74" s="497"/>
      <c r="AE74" s="129"/>
      <c r="AF74" s="129"/>
      <c r="AG74" s="497"/>
      <c r="AH74" s="129"/>
      <c r="AI74" s="129"/>
      <c r="AJ74" s="497"/>
      <c r="AK74" s="129"/>
      <c r="AL74" s="129"/>
      <c r="AM74" s="129"/>
      <c r="AN74" s="498" t="e">
        <f t="shared" si="10"/>
        <v>#N/A</v>
      </c>
      <c r="AO74" s="498" t="e">
        <f t="shared" si="6"/>
        <v>#N/A</v>
      </c>
      <c r="AP74" s="498" t="e">
        <f t="shared" si="11"/>
        <v>#N/A</v>
      </c>
      <c r="AR74" s="498" t="e">
        <f t="shared" si="7"/>
        <v>#N/A</v>
      </c>
      <c r="AS74" s="498" t="e">
        <f t="shared" si="8"/>
        <v>#N/A</v>
      </c>
      <c r="AT74" s="498" t="e">
        <f t="shared" si="9"/>
        <v>#N/A</v>
      </c>
    </row>
    <row r="75" spans="1:46">
      <c r="A75" s="1065"/>
      <c r="B75" s="1065"/>
      <c r="C75" s="1065"/>
      <c r="D75" s="569"/>
      <c r="E75" s="569"/>
      <c r="F75" s="569"/>
      <c r="G75" s="130"/>
      <c r="H75" s="539" t="str">
        <f>G75&amp;"_"&amp;$C$71&amp;$B$71</f>
        <v>_MuKen_Wu</v>
      </c>
      <c r="I75" s="499"/>
      <c r="J75" s="500"/>
      <c r="K75" s="500"/>
      <c r="L75" s="499"/>
      <c r="M75" s="500"/>
      <c r="N75" s="500"/>
      <c r="O75" s="499"/>
      <c r="P75" s="500"/>
      <c r="Q75" s="500"/>
      <c r="R75" s="499"/>
      <c r="S75" s="500"/>
      <c r="T75" s="500"/>
      <c r="U75" s="499"/>
      <c r="V75" s="500"/>
      <c r="W75" s="500"/>
      <c r="X75" s="499"/>
      <c r="Y75" s="500"/>
      <c r="Z75" s="500"/>
      <c r="AA75" s="499"/>
      <c r="AB75" s="500"/>
      <c r="AC75" s="500"/>
      <c r="AD75" s="499"/>
      <c r="AE75" s="500"/>
      <c r="AF75" s="500"/>
      <c r="AG75" s="499"/>
      <c r="AH75" s="500"/>
      <c r="AI75" s="500"/>
      <c r="AJ75" s="615"/>
      <c r="AK75" s="616"/>
      <c r="AL75" s="500"/>
      <c r="AM75" s="500"/>
      <c r="AN75" s="501" t="e">
        <f t="shared" si="10"/>
        <v>#N/A</v>
      </c>
      <c r="AO75" s="501" t="e">
        <f t="shared" si="6"/>
        <v>#N/A</v>
      </c>
      <c r="AP75" s="501" t="e">
        <f t="shared" si="11"/>
        <v>#N/A</v>
      </c>
      <c r="AR75" s="498" t="e">
        <f t="shared" si="7"/>
        <v>#N/A</v>
      </c>
      <c r="AS75" s="498" t="e">
        <f t="shared" si="8"/>
        <v>#N/A</v>
      </c>
      <c r="AT75" s="498" t="e">
        <f t="shared" si="9"/>
        <v>#N/A</v>
      </c>
    </row>
    <row r="76" spans="1:46" ht="30.75" customHeight="1">
      <c r="A76" s="1065"/>
      <c r="B76" s="1065"/>
      <c r="C76" s="1065" t="s">
        <v>381</v>
      </c>
      <c r="D76" s="846" t="s">
        <v>1149</v>
      </c>
      <c r="E76" s="846">
        <v>0.23</v>
      </c>
      <c r="F76" s="846">
        <v>3.5999999999999997E-2</v>
      </c>
      <c r="G76" s="864" t="s">
        <v>1150</v>
      </c>
      <c r="H76" s="847" t="str">
        <f>G76&amp;"_"&amp;$C$76&amp;$B$71</f>
        <v>Betonwand, Aussendämmung, Sickerplatten_MINERGIE_Wu</v>
      </c>
      <c r="I76" s="865" t="s">
        <v>37</v>
      </c>
      <c r="J76" s="864">
        <v>595</v>
      </c>
      <c r="K76" s="864">
        <v>60</v>
      </c>
      <c r="L76" s="865" t="s">
        <v>137</v>
      </c>
      <c r="M76" s="864">
        <v>15</v>
      </c>
      <c r="N76" s="864">
        <v>60</v>
      </c>
      <c r="O76" s="865" t="s">
        <v>161</v>
      </c>
      <c r="P76" s="867">
        <v>2</v>
      </c>
      <c r="Q76" s="867">
        <v>60</v>
      </c>
      <c r="R76" s="865" t="s">
        <v>217</v>
      </c>
      <c r="S76" s="867">
        <v>3.5</v>
      </c>
      <c r="T76" s="867">
        <v>60</v>
      </c>
      <c r="U76" s="868" t="s">
        <v>241</v>
      </c>
      <c r="V76" s="864">
        <v>6.9</v>
      </c>
      <c r="W76" s="864">
        <v>60</v>
      </c>
      <c r="X76" s="868" t="s">
        <v>238</v>
      </c>
      <c r="Y76" s="864">
        <v>1.1000000000000001</v>
      </c>
      <c r="Z76" s="864">
        <v>60</v>
      </c>
      <c r="AA76" s="869" t="s">
        <v>27</v>
      </c>
      <c r="AB76" s="864"/>
      <c r="AC76" s="864">
        <v>1</v>
      </c>
      <c r="AD76" s="869" t="s">
        <v>27</v>
      </c>
      <c r="AE76" s="864"/>
      <c r="AF76" s="864">
        <v>1</v>
      </c>
      <c r="AG76" s="527" t="s">
        <v>27</v>
      </c>
      <c r="AH76" s="526"/>
      <c r="AI76" s="526">
        <v>1</v>
      </c>
      <c r="AJ76" s="530" t="s">
        <v>27</v>
      </c>
      <c r="AK76" s="584"/>
      <c r="AL76" s="526">
        <v>1</v>
      </c>
      <c r="AM76" s="127"/>
      <c r="AN76" s="137">
        <f t="shared" si="10"/>
        <v>27.348397805139111</v>
      </c>
      <c r="AO76" s="137">
        <f t="shared" si="6"/>
        <v>3.351665751909136</v>
      </c>
      <c r="AP76" s="137">
        <f t="shared" si="11"/>
        <v>3032.8812936299996</v>
      </c>
      <c r="AR76" s="936">
        <f t="shared" si="7"/>
        <v>15.997127482052418</v>
      </c>
      <c r="AS76" s="936">
        <f t="shared" si="8"/>
        <v>1.97430453575</v>
      </c>
      <c r="AT76" s="936">
        <f t="shared" si="9"/>
        <v>1243.6738966666667</v>
      </c>
    </row>
    <row r="77" spans="1:46">
      <c r="A77" s="1065"/>
      <c r="B77" s="1065"/>
      <c r="C77" s="1065"/>
      <c r="D77" s="541"/>
      <c r="E77" s="541"/>
      <c r="F77" s="541"/>
      <c r="G77" s="129"/>
      <c r="H77" s="520" t="str">
        <f>G77&amp;"_"&amp;$C$76&amp;$B$71</f>
        <v>_MINERGIE_Wu</v>
      </c>
      <c r="I77" s="497"/>
      <c r="J77" s="129"/>
      <c r="K77" s="129"/>
      <c r="L77" s="497"/>
      <c r="M77" s="129"/>
      <c r="N77" s="129"/>
      <c r="O77" s="527"/>
      <c r="P77" s="526"/>
      <c r="Q77" s="526"/>
      <c r="R77" s="527"/>
      <c r="S77" s="526"/>
      <c r="T77" s="526"/>
      <c r="U77" s="527"/>
      <c r="V77" s="129"/>
      <c r="W77" s="129"/>
      <c r="X77" s="497"/>
      <c r="Y77" s="129"/>
      <c r="Z77" s="129"/>
      <c r="AA77" s="497"/>
      <c r="AB77" s="129"/>
      <c r="AC77" s="129"/>
      <c r="AD77" s="497"/>
      <c r="AE77" s="129"/>
      <c r="AF77" s="129"/>
      <c r="AG77" s="497"/>
      <c r="AH77" s="129"/>
      <c r="AI77" s="129"/>
      <c r="AJ77" s="497"/>
      <c r="AK77" s="129"/>
      <c r="AL77" s="129"/>
      <c r="AM77" s="129"/>
      <c r="AN77" s="498" t="e">
        <f t="shared" si="10"/>
        <v>#N/A</v>
      </c>
      <c r="AO77" s="498" t="e">
        <f t="shared" si="6"/>
        <v>#N/A</v>
      </c>
      <c r="AP77" s="498" t="e">
        <f t="shared" si="11"/>
        <v>#N/A</v>
      </c>
      <c r="AR77" s="498" t="e">
        <f t="shared" si="7"/>
        <v>#N/A</v>
      </c>
      <c r="AS77" s="498" t="e">
        <f t="shared" si="8"/>
        <v>#N/A</v>
      </c>
      <c r="AT77" s="498" t="e">
        <f t="shared" si="9"/>
        <v>#N/A</v>
      </c>
    </row>
    <row r="78" spans="1:46">
      <c r="A78" s="1065"/>
      <c r="B78" s="1065"/>
      <c r="C78" s="1065"/>
      <c r="D78" s="541"/>
      <c r="E78" s="541"/>
      <c r="F78" s="541"/>
      <c r="G78" s="129"/>
      <c r="H78" s="520" t="str">
        <f>G78&amp;"_"&amp;$C$76&amp;$B$71</f>
        <v>_MINERGIE_Wu</v>
      </c>
      <c r="I78" s="497"/>
      <c r="J78" s="129"/>
      <c r="K78" s="129"/>
      <c r="L78" s="497"/>
      <c r="M78" s="129"/>
      <c r="N78" s="129"/>
      <c r="O78" s="527"/>
      <c r="P78" s="526"/>
      <c r="Q78" s="526"/>
      <c r="R78" s="527"/>
      <c r="S78" s="526"/>
      <c r="T78" s="526"/>
      <c r="U78" s="527"/>
      <c r="V78" s="129"/>
      <c r="W78" s="129"/>
      <c r="X78" s="497"/>
      <c r="Y78" s="129"/>
      <c r="Z78" s="129"/>
      <c r="AA78" s="497"/>
      <c r="AB78" s="129"/>
      <c r="AC78" s="129"/>
      <c r="AD78" s="497"/>
      <c r="AE78" s="129"/>
      <c r="AF78" s="129"/>
      <c r="AG78" s="497"/>
      <c r="AH78" s="129"/>
      <c r="AI78" s="129"/>
      <c r="AJ78" s="497"/>
      <c r="AK78" s="129"/>
      <c r="AL78" s="129"/>
      <c r="AM78" s="129"/>
      <c r="AN78" s="498" t="e">
        <f t="shared" si="10"/>
        <v>#N/A</v>
      </c>
      <c r="AO78" s="498" t="e">
        <f t="shared" si="6"/>
        <v>#N/A</v>
      </c>
      <c r="AP78" s="498" t="e">
        <f t="shared" si="11"/>
        <v>#N/A</v>
      </c>
      <c r="AR78" s="498" t="e">
        <f t="shared" si="7"/>
        <v>#N/A</v>
      </c>
      <c r="AS78" s="498" t="e">
        <f t="shared" si="8"/>
        <v>#N/A</v>
      </c>
      <c r="AT78" s="498" t="e">
        <f t="shared" si="9"/>
        <v>#N/A</v>
      </c>
    </row>
    <row r="79" spans="1:46">
      <c r="A79" s="1065"/>
      <c r="B79" s="1065"/>
      <c r="C79" s="1065"/>
      <c r="D79" s="541"/>
      <c r="E79" s="541"/>
      <c r="F79" s="541"/>
      <c r="G79" s="129"/>
      <c r="H79" s="520" t="str">
        <f>G79&amp;"_"&amp;$C$76&amp;$B$71</f>
        <v>_MINERGIE_Wu</v>
      </c>
      <c r="I79" s="497"/>
      <c r="J79" s="129"/>
      <c r="K79" s="129"/>
      <c r="L79" s="497"/>
      <c r="M79" s="129"/>
      <c r="N79" s="129"/>
      <c r="O79" s="527"/>
      <c r="P79" s="526"/>
      <c r="Q79" s="526"/>
      <c r="R79" s="527"/>
      <c r="S79" s="526"/>
      <c r="T79" s="526"/>
      <c r="U79" s="527"/>
      <c r="V79" s="129"/>
      <c r="W79" s="129"/>
      <c r="X79" s="497"/>
      <c r="Y79" s="129"/>
      <c r="Z79" s="129"/>
      <c r="AA79" s="497"/>
      <c r="AB79" s="129"/>
      <c r="AC79" s="129"/>
      <c r="AD79" s="497"/>
      <c r="AE79" s="129"/>
      <c r="AF79" s="129"/>
      <c r="AG79" s="497"/>
      <c r="AH79" s="129"/>
      <c r="AI79" s="129"/>
      <c r="AJ79" s="497"/>
      <c r="AK79" s="129"/>
      <c r="AL79" s="129"/>
      <c r="AM79" s="129"/>
      <c r="AN79" s="498" t="e">
        <f t="shared" si="10"/>
        <v>#N/A</v>
      </c>
      <c r="AO79" s="498" t="e">
        <f t="shared" si="6"/>
        <v>#N/A</v>
      </c>
      <c r="AP79" s="498" t="e">
        <f t="shared" si="11"/>
        <v>#N/A</v>
      </c>
      <c r="AR79" s="498" t="e">
        <f t="shared" si="7"/>
        <v>#N/A</v>
      </c>
      <c r="AS79" s="498" t="e">
        <f t="shared" si="8"/>
        <v>#N/A</v>
      </c>
      <c r="AT79" s="498" t="e">
        <f t="shared" si="9"/>
        <v>#N/A</v>
      </c>
    </row>
    <row r="80" spans="1:46">
      <c r="A80" s="1065"/>
      <c r="B80" s="1065"/>
      <c r="C80" s="1065"/>
      <c r="D80" s="569"/>
      <c r="E80" s="569"/>
      <c r="F80" s="569"/>
      <c r="G80" s="130"/>
      <c r="H80" s="520" t="str">
        <f>G80&amp;"_"&amp;$C$76&amp;$B$71</f>
        <v>_MINERGIE_Wu</v>
      </c>
      <c r="I80" s="499"/>
      <c r="J80" s="500"/>
      <c r="K80" s="500"/>
      <c r="L80" s="499"/>
      <c r="M80" s="500"/>
      <c r="N80" s="500"/>
      <c r="O80" s="535"/>
      <c r="P80" s="536"/>
      <c r="Q80" s="536"/>
      <c r="R80" s="535"/>
      <c r="S80" s="536"/>
      <c r="T80" s="536"/>
      <c r="U80" s="535"/>
      <c r="V80" s="500"/>
      <c r="W80" s="500"/>
      <c r="X80" s="499"/>
      <c r="Y80" s="500"/>
      <c r="Z80" s="500"/>
      <c r="AA80" s="499"/>
      <c r="AB80" s="500"/>
      <c r="AC80" s="500"/>
      <c r="AD80" s="499"/>
      <c r="AE80" s="500"/>
      <c r="AF80" s="500"/>
      <c r="AG80" s="499"/>
      <c r="AH80" s="500"/>
      <c r="AI80" s="500"/>
      <c r="AJ80" s="499"/>
      <c r="AK80" s="500"/>
      <c r="AL80" s="500"/>
      <c r="AM80" s="500"/>
      <c r="AN80" s="501" t="e">
        <f t="shared" si="10"/>
        <v>#N/A</v>
      </c>
      <c r="AO80" s="501" t="e">
        <f t="shared" si="6"/>
        <v>#N/A</v>
      </c>
      <c r="AP80" s="501" t="e">
        <f t="shared" si="11"/>
        <v>#N/A</v>
      </c>
      <c r="AR80" s="498" t="e">
        <f t="shared" si="7"/>
        <v>#N/A</v>
      </c>
      <c r="AS80" s="498" t="e">
        <f t="shared" si="8"/>
        <v>#N/A</v>
      </c>
      <c r="AT80" s="498" t="e">
        <f t="shared" si="9"/>
        <v>#N/A</v>
      </c>
    </row>
    <row r="81" spans="1:46" ht="33" customHeight="1">
      <c r="A81" s="1065"/>
      <c r="B81" s="1065"/>
      <c r="C81" s="1065" t="s">
        <v>401</v>
      </c>
      <c r="D81" s="863" t="s">
        <v>1149</v>
      </c>
      <c r="E81" s="846">
        <v>0.34</v>
      </c>
      <c r="F81" s="870">
        <v>3.5999999999999997E-2</v>
      </c>
      <c r="G81" s="864" t="s">
        <v>1150</v>
      </c>
      <c r="H81" s="844" t="str">
        <f>G81&amp;"_"&amp;$C$81&amp;$B$71</f>
        <v>Betonwand, Aussendämmung, Sickerplatten_MINERGIE_P_Wu</v>
      </c>
      <c r="I81" s="865" t="s">
        <v>37</v>
      </c>
      <c r="J81" s="864">
        <v>595</v>
      </c>
      <c r="K81" s="864">
        <v>60</v>
      </c>
      <c r="L81" s="865" t="s">
        <v>137</v>
      </c>
      <c r="M81" s="864">
        <v>15</v>
      </c>
      <c r="N81" s="864">
        <v>60</v>
      </c>
      <c r="O81" s="865" t="s">
        <v>161</v>
      </c>
      <c r="P81" s="867">
        <v>2</v>
      </c>
      <c r="Q81" s="867">
        <v>60</v>
      </c>
      <c r="R81" s="865" t="s">
        <v>217</v>
      </c>
      <c r="S81" s="867">
        <v>3.5</v>
      </c>
      <c r="T81" s="867">
        <v>60</v>
      </c>
      <c r="U81" s="868" t="s">
        <v>241</v>
      </c>
      <c r="V81" s="864">
        <v>10.199999999999999</v>
      </c>
      <c r="W81" s="864">
        <v>60</v>
      </c>
      <c r="X81" s="868" t="s">
        <v>238</v>
      </c>
      <c r="Y81" s="864">
        <v>1.1000000000000001</v>
      </c>
      <c r="Z81" s="864">
        <v>60</v>
      </c>
      <c r="AA81" s="869" t="s">
        <v>27</v>
      </c>
      <c r="AB81" s="864"/>
      <c r="AC81" s="864">
        <v>1</v>
      </c>
      <c r="AD81" s="869" t="s">
        <v>27</v>
      </c>
      <c r="AE81" s="864"/>
      <c r="AF81" s="864">
        <v>1</v>
      </c>
      <c r="AG81" s="497" t="s">
        <v>27</v>
      </c>
      <c r="AH81" s="520"/>
      <c r="AI81" s="520">
        <v>1</v>
      </c>
      <c r="AJ81" s="497" t="s">
        <v>27</v>
      </c>
      <c r="AK81" s="520"/>
      <c r="AL81" s="520">
        <v>1</v>
      </c>
      <c r="AM81" s="127"/>
      <c r="AN81" s="495">
        <f t="shared" si="10"/>
        <v>32.823511103971207</v>
      </c>
      <c r="AO81" s="495">
        <f t="shared" si="6"/>
        <v>4.1364607519091354</v>
      </c>
      <c r="AP81" s="495">
        <f t="shared" si="11"/>
        <v>3499.8312936299999</v>
      </c>
      <c r="AR81" s="936">
        <f t="shared" si="7"/>
        <v>21.472240780884515</v>
      </c>
      <c r="AS81" s="936">
        <f t="shared" si="8"/>
        <v>2.7590995357500003</v>
      </c>
      <c r="AT81" s="936">
        <f t="shared" si="9"/>
        <v>1710.6238966666665</v>
      </c>
    </row>
    <row r="82" spans="1:46">
      <c r="A82" s="1065"/>
      <c r="B82" s="1065"/>
      <c r="C82" s="1065"/>
      <c r="D82" s="571"/>
      <c r="E82" s="541"/>
      <c r="F82" s="572"/>
      <c r="G82" s="129"/>
      <c r="H82" s="520" t="str">
        <f>G82&amp;"_"&amp;$C$81&amp;$B$71</f>
        <v>_MINERGIE_P_Wu</v>
      </c>
      <c r="I82" s="497"/>
      <c r="J82" s="129"/>
      <c r="K82" s="129"/>
      <c r="L82" s="497"/>
      <c r="M82" s="129"/>
      <c r="N82" s="129"/>
      <c r="O82" s="527"/>
      <c r="P82" s="526"/>
      <c r="Q82" s="526"/>
      <c r="R82" s="527"/>
      <c r="S82" s="526"/>
      <c r="T82" s="526"/>
      <c r="U82" s="527"/>
      <c r="V82" s="129"/>
      <c r="W82" s="129"/>
      <c r="X82" s="497"/>
      <c r="Y82" s="129"/>
      <c r="Z82" s="129"/>
      <c r="AA82" s="497"/>
      <c r="AB82" s="129"/>
      <c r="AC82" s="129"/>
      <c r="AD82" s="497"/>
      <c r="AE82" s="129"/>
      <c r="AF82" s="129"/>
      <c r="AG82" s="497"/>
      <c r="AH82" s="129"/>
      <c r="AI82" s="129"/>
      <c r="AJ82" s="497"/>
      <c r="AK82" s="129"/>
      <c r="AL82" s="129"/>
      <c r="AM82" s="129"/>
      <c r="AN82" s="498" t="e">
        <f t="shared" si="10"/>
        <v>#N/A</v>
      </c>
      <c r="AO82" s="498" t="e">
        <f t="shared" si="6"/>
        <v>#N/A</v>
      </c>
      <c r="AP82" s="498" t="e">
        <f t="shared" si="11"/>
        <v>#N/A</v>
      </c>
      <c r="AR82" s="498" t="e">
        <f t="shared" si="7"/>
        <v>#N/A</v>
      </c>
      <c r="AS82" s="498" t="e">
        <f t="shared" si="8"/>
        <v>#N/A</v>
      </c>
      <c r="AT82" s="498" t="e">
        <f t="shared" si="9"/>
        <v>#N/A</v>
      </c>
    </row>
    <row r="83" spans="1:46">
      <c r="A83" s="1065"/>
      <c r="B83" s="1065"/>
      <c r="C83" s="1065"/>
      <c r="D83" s="571"/>
      <c r="E83" s="541"/>
      <c r="F83" s="572"/>
      <c r="G83" s="129"/>
      <c r="H83" s="520" t="str">
        <f>G83&amp;"_"&amp;$C$81&amp;$B$71</f>
        <v>_MINERGIE_P_Wu</v>
      </c>
      <c r="I83" s="497"/>
      <c r="J83" s="129"/>
      <c r="K83" s="129"/>
      <c r="L83" s="497"/>
      <c r="M83" s="129"/>
      <c r="N83" s="129"/>
      <c r="O83" s="527"/>
      <c r="P83" s="526"/>
      <c r="Q83" s="526"/>
      <c r="R83" s="527"/>
      <c r="S83" s="526"/>
      <c r="T83" s="526"/>
      <c r="U83" s="527"/>
      <c r="V83" s="129"/>
      <c r="W83" s="129"/>
      <c r="X83" s="497"/>
      <c r="Y83" s="129"/>
      <c r="Z83" s="129"/>
      <c r="AA83" s="497"/>
      <c r="AB83" s="129"/>
      <c r="AC83" s="129"/>
      <c r="AD83" s="497"/>
      <c r="AE83" s="129"/>
      <c r="AF83" s="129"/>
      <c r="AG83" s="497"/>
      <c r="AH83" s="129"/>
      <c r="AI83" s="129"/>
      <c r="AJ83" s="497"/>
      <c r="AK83" s="129"/>
      <c r="AL83" s="129"/>
      <c r="AM83" s="129"/>
      <c r="AN83" s="498" t="e">
        <f t="shared" si="10"/>
        <v>#N/A</v>
      </c>
      <c r="AO83" s="498" t="e">
        <f t="shared" si="6"/>
        <v>#N/A</v>
      </c>
      <c r="AP83" s="498" t="e">
        <f t="shared" si="11"/>
        <v>#N/A</v>
      </c>
      <c r="AR83" s="498" t="e">
        <f t="shared" si="7"/>
        <v>#N/A</v>
      </c>
      <c r="AS83" s="498" t="e">
        <f t="shared" si="8"/>
        <v>#N/A</v>
      </c>
      <c r="AT83" s="498" t="e">
        <f t="shared" si="9"/>
        <v>#N/A</v>
      </c>
    </row>
    <row r="84" spans="1:46">
      <c r="A84" s="1065"/>
      <c r="B84" s="1065"/>
      <c r="C84" s="1065"/>
      <c r="D84" s="571"/>
      <c r="E84" s="541"/>
      <c r="F84" s="572"/>
      <c r="G84" s="129"/>
      <c r="H84" s="520" t="str">
        <f>G84&amp;"_"&amp;$C$81&amp;$B$71</f>
        <v>_MINERGIE_P_Wu</v>
      </c>
      <c r="I84" s="497"/>
      <c r="J84" s="129"/>
      <c r="K84" s="129"/>
      <c r="L84" s="497"/>
      <c r="M84" s="129"/>
      <c r="N84" s="129"/>
      <c r="O84" s="497"/>
      <c r="P84" s="129"/>
      <c r="Q84" s="129"/>
      <c r="R84" s="497"/>
      <c r="S84" s="129"/>
      <c r="T84" s="129"/>
      <c r="U84" s="497"/>
      <c r="V84" s="129"/>
      <c r="W84" s="129"/>
      <c r="X84" s="497"/>
      <c r="Y84" s="129"/>
      <c r="Z84" s="129"/>
      <c r="AA84" s="497"/>
      <c r="AB84" s="129"/>
      <c r="AC84" s="129"/>
      <c r="AD84" s="497"/>
      <c r="AE84" s="129"/>
      <c r="AF84" s="129"/>
      <c r="AG84" s="497"/>
      <c r="AH84" s="129"/>
      <c r="AI84" s="129"/>
      <c r="AJ84" s="497"/>
      <c r="AK84" s="129"/>
      <c r="AL84" s="129"/>
      <c r="AM84" s="129"/>
      <c r="AN84" s="498" t="e">
        <f t="shared" si="10"/>
        <v>#N/A</v>
      </c>
      <c r="AO84" s="498" t="e">
        <f t="shared" si="6"/>
        <v>#N/A</v>
      </c>
      <c r="AP84" s="498" t="e">
        <f t="shared" si="11"/>
        <v>#N/A</v>
      </c>
      <c r="AR84" s="498" t="e">
        <f t="shared" si="7"/>
        <v>#N/A</v>
      </c>
      <c r="AS84" s="498" t="e">
        <f t="shared" si="8"/>
        <v>#N/A</v>
      </c>
      <c r="AT84" s="498" t="e">
        <f t="shared" si="9"/>
        <v>#N/A</v>
      </c>
    </row>
    <row r="85" spans="1:46" ht="15.75" thickBot="1">
      <c r="A85" s="1066"/>
      <c r="B85" s="1066"/>
      <c r="C85" s="1066"/>
      <c r="D85" s="573"/>
      <c r="E85" s="569"/>
      <c r="F85" s="574"/>
      <c r="G85" s="131"/>
      <c r="H85" s="563" t="str">
        <f>G85&amp;"_"&amp;$C$81&amp;$B$71</f>
        <v>_MINERGIE_P_Wu</v>
      </c>
      <c r="I85" s="502"/>
      <c r="J85" s="502"/>
      <c r="K85" s="502"/>
      <c r="L85" s="502"/>
      <c r="M85" s="502"/>
      <c r="N85" s="502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  <c r="AA85" s="502"/>
      <c r="AB85" s="502"/>
      <c r="AC85" s="502"/>
      <c r="AD85" s="502"/>
      <c r="AE85" s="502"/>
      <c r="AF85" s="502"/>
      <c r="AG85" s="502"/>
      <c r="AH85" s="502"/>
      <c r="AI85" s="502"/>
      <c r="AJ85" s="502"/>
      <c r="AK85" s="502"/>
      <c r="AL85" s="502"/>
      <c r="AM85" s="502"/>
      <c r="AN85" s="503" t="e">
        <f t="shared" si="10"/>
        <v>#N/A</v>
      </c>
      <c r="AO85" s="503" t="e">
        <f t="shared" si="6"/>
        <v>#N/A</v>
      </c>
      <c r="AP85" s="503" t="e">
        <f t="shared" si="11"/>
        <v>#N/A</v>
      </c>
      <c r="AR85" s="498" t="e">
        <f t="shared" si="7"/>
        <v>#N/A</v>
      </c>
      <c r="AS85" s="498" t="e">
        <f t="shared" si="8"/>
        <v>#N/A</v>
      </c>
      <c r="AT85" s="498" t="e">
        <f t="shared" si="9"/>
        <v>#N/A</v>
      </c>
    </row>
    <row r="86" spans="1:46" ht="30">
      <c r="A86" s="1062" t="s">
        <v>384</v>
      </c>
      <c r="B86" s="1062" t="s">
        <v>399</v>
      </c>
      <c r="C86" s="1062" t="s">
        <v>380</v>
      </c>
      <c r="D86" s="522" t="s">
        <v>1101</v>
      </c>
      <c r="E86" s="852">
        <v>0.12</v>
      </c>
      <c r="F86" s="522">
        <v>3.7999999999999999E-2</v>
      </c>
      <c r="G86" s="970" t="s">
        <v>1102</v>
      </c>
      <c r="H86" s="559" t="str">
        <f>G86&amp;"_"&amp;$C$86&amp;$B$86</f>
        <v>Betondecke, Wärmedämmung, Trittschalldämmung, Unterlagsboden_MuKen_Bu</v>
      </c>
      <c r="I86" s="532" t="s">
        <v>104</v>
      </c>
      <c r="J86" s="532">
        <v>129.5</v>
      </c>
      <c r="K86" s="532">
        <v>30</v>
      </c>
      <c r="L86" s="532" t="s">
        <v>215</v>
      </c>
      <c r="M86" s="532">
        <v>0.2</v>
      </c>
      <c r="N86" s="532">
        <v>30</v>
      </c>
      <c r="O86" s="532" t="s">
        <v>231</v>
      </c>
      <c r="P86" s="532">
        <v>2</v>
      </c>
      <c r="Q86" s="532">
        <v>30</v>
      </c>
      <c r="R86" s="532" t="s">
        <v>238</v>
      </c>
      <c r="S86" s="871">
        <v>3.6</v>
      </c>
      <c r="T86" s="532">
        <v>30</v>
      </c>
      <c r="U86" s="505" t="s">
        <v>37</v>
      </c>
      <c r="V86" s="534">
        <v>618.79999999999995</v>
      </c>
      <c r="W86" s="534">
        <v>60</v>
      </c>
      <c r="X86" s="505" t="s">
        <v>137</v>
      </c>
      <c r="Y86" s="134">
        <v>20.8</v>
      </c>
      <c r="Z86" s="134">
        <v>60</v>
      </c>
      <c r="AA86" s="505" t="s">
        <v>161</v>
      </c>
      <c r="AB86" s="134">
        <v>1</v>
      </c>
      <c r="AC86" s="134">
        <v>60</v>
      </c>
      <c r="AD86" s="893" t="s">
        <v>296</v>
      </c>
      <c r="AE86" s="894">
        <v>1</v>
      </c>
      <c r="AF86" s="894">
        <v>30</v>
      </c>
      <c r="AG86" s="893" t="s">
        <v>338</v>
      </c>
      <c r="AH86" s="894">
        <v>0.3</v>
      </c>
      <c r="AI86" s="894">
        <v>30</v>
      </c>
      <c r="AJ86" s="532" t="s">
        <v>27</v>
      </c>
      <c r="AK86" s="532"/>
      <c r="AL86" s="133">
        <v>1</v>
      </c>
      <c r="AM86" s="133"/>
      <c r="AN86" s="137">
        <f t="shared" si="10"/>
        <v>39.910192966003798</v>
      </c>
      <c r="AO86" s="137">
        <f t="shared" si="6"/>
        <v>3.5761295204921684</v>
      </c>
      <c r="AP86" s="137">
        <f t="shared" si="11"/>
        <v>4046.4403453051996</v>
      </c>
      <c r="AR86" s="938">
        <f>SUM(((VLOOKUP(I86,KBOB,10,FALSE)*J86)/K86),((VLOOKUP(L86,KBOB,10,FALSE)*M86)/N86),((VLOOKUP(O86,KBOB,10,FALSE)*P86)/Q86),((VLOOKUP(R86,KBOB,10,FALSE)*S86)/T86),((VLOOKUP(AD86,KBOB,10,FALSE)*AE86)/AF86))</f>
        <v>26.967458184336159</v>
      </c>
      <c r="AS86" s="938">
        <f>SUM(((VLOOKUP(I86,KBOB,13,FALSE)*J86)/K86),((VLOOKUP(L86,KBOB,13,FALSE)*M86)/N86),((VLOOKUP(O86,KBOB,13,FALSE)*P86)/Q86),((VLOOKUP(R86,KBOB,13,FALSE)*S86)/T86),((VLOOKUP(AD86,KBOB,13,FALSE)*AE86)/AF86))</f>
        <v>2.0656192651733334</v>
      </c>
      <c r="AT86" s="938">
        <f>SUM(((VLOOKUP(I86,KBOB,4,FALSE)*J86)/K86),((VLOOKUP(L86,KBOB,4,FALSE)*M86)/N86),((VLOOKUP(O86,KBOB,4,FALSE)*P86)/Q86),((VLOOKUP(R86,KBOB,4,FALSE)*S86)/T86),((VLOOKUP(AD86,KBOB,4,FALSE)*AE86)/AF86))</f>
        <v>1967.4624665966667</v>
      </c>
    </row>
    <row r="87" spans="1:46" ht="45">
      <c r="A87" s="1062"/>
      <c r="B87" s="1062"/>
      <c r="C87" s="1062"/>
      <c r="D87" s="523" t="s">
        <v>1246</v>
      </c>
      <c r="E87" s="523">
        <v>0.105</v>
      </c>
      <c r="F87" s="523">
        <v>0.04</v>
      </c>
      <c r="G87" s="971" t="s">
        <v>1247</v>
      </c>
      <c r="H87" s="134" t="str">
        <f>G87&amp;"_"&amp;$C$86&amp;$B$86</f>
        <v>Betondecke, Wärmedämmung, Trittschalldämmung, Unterlagsboden inklusive Deckendämmung_MuKen_Bu</v>
      </c>
      <c r="I87" s="505" t="s">
        <v>104</v>
      </c>
      <c r="J87" s="134">
        <v>129.5</v>
      </c>
      <c r="K87" s="134">
        <v>30</v>
      </c>
      <c r="L87" s="505" t="s">
        <v>215</v>
      </c>
      <c r="M87" s="134">
        <v>0.2</v>
      </c>
      <c r="N87" s="134">
        <v>30</v>
      </c>
      <c r="O87" s="505" t="s">
        <v>231</v>
      </c>
      <c r="P87" s="134">
        <v>2</v>
      </c>
      <c r="Q87" s="134">
        <v>30</v>
      </c>
      <c r="R87" s="505" t="s">
        <v>238</v>
      </c>
      <c r="S87" s="134">
        <v>0.4</v>
      </c>
      <c r="T87" s="134">
        <v>30</v>
      </c>
      <c r="U87" s="505" t="s">
        <v>37</v>
      </c>
      <c r="V87" s="134">
        <v>428.4</v>
      </c>
      <c r="W87" s="134">
        <v>60</v>
      </c>
      <c r="X87" s="505" t="s">
        <v>137</v>
      </c>
      <c r="Y87" s="134">
        <v>14.4</v>
      </c>
      <c r="Z87" s="134">
        <v>60</v>
      </c>
      <c r="AA87" s="505" t="s">
        <v>161</v>
      </c>
      <c r="AB87" s="134">
        <v>1</v>
      </c>
      <c r="AC87" s="134">
        <v>60</v>
      </c>
      <c r="AD87" s="505" t="s">
        <v>249</v>
      </c>
      <c r="AE87" s="134">
        <v>3.2</v>
      </c>
      <c r="AF87" s="134">
        <v>30</v>
      </c>
      <c r="AG87" s="893" t="s">
        <v>296</v>
      </c>
      <c r="AH87" s="894">
        <v>1</v>
      </c>
      <c r="AI87" s="894">
        <v>30</v>
      </c>
      <c r="AJ87" s="893" t="s">
        <v>338</v>
      </c>
      <c r="AK87" s="894">
        <v>0.3</v>
      </c>
      <c r="AL87" s="894">
        <v>30</v>
      </c>
      <c r="AM87" s="134"/>
      <c r="AN87" s="498">
        <f t="shared" si="10"/>
        <v>26.411086678200896</v>
      </c>
      <c r="AO87" s="498">
        <f t="shared" si="6"/>
        <v>2.444332283338035</v>
      </c>
      <c r="AP87" s="498">
        <f t="shared" si="11"/>
        <v>2976.4676646769331</v>
      </c>
      <c r="AR87" s="973">
        <f>SUM(((VLOOKUP(I87,KBOB,10,FALSE)*J87)/K87),((VLOOKUP(L87,KBOB,10,FALSE)*M87)/N87),((VLOOKUP(O87,KBOB,10,FALSE)*P87)/Q87),((VLOOKUP(R87,KBOB,10,FALSE)*S87)/T87),((VLOOKUP(AD87,KBOB,10,FALSE)*AE87)/AF87),((VLOOKUP(AG87,KBOB,10,FALSE)*AH87)/AI87))</f>
        <v>17.352955575918024</v>
      </c>
      <c r="AS87" s="973">
        <f>SUM(((VLOOKUP(I87,KBOB,13,FALSE)*J87)/K87),((VLOOKUP(L87,KBOB,13,FALSE)*M87)/N87),((VLOOKUP(O87,KBOB,13,FALSE)*P87)/Q87),((VLOOKUP(R87,KBOB,13,FALSE)*S87)/T87),((VLOOKUP(AD87,KBOB,13,FALSE)*AE87)/AF87),((VLOOKUP(AG87,KBOB,13,FALSE)*AH87)/AI87))</f>
        <v>1.3911552651733334</v>
      </c>
      <c r="AT87" s="973">
        <f>SUM(((VLOOKUP(I87,KBOB,4,FALSE)*J87)/K87),((VLOOKUP(L87,KBOB,4,FALSE)*M87)/N87),((VLOOKUP(O87,KBOB,4,FALSE)*P87)/Q87),((VLOOKUP(R87,KBOB,4,FALSE)*S87)/T87),((VLOOKUP(AD87,KBOB,4,FALSE)*AE87)/AF87),((VLOOKUP(AG87,KBOB,4,FALSE)*AH87)/AI87))</f>
        <v>1525.8624665966665</v>
      </c>
    </row>
    <row r="88" spans="1:46">
      <c r="A88" s="1062"/>
      <c r="B88" s="1062"/>
      <c r="C88" s="1062"/>
      <c r="D88" s="523"/>
      <c r="E88" s="523"/>
      <c r="F88" s="523"/>
      <c r="G88" s="971"/>
      <c r="H88" s="134" t="str">
        <f>G88&amp;"_"&amp;$C$86&amp;$B$86</f>
        <v>_MuKen_Bu</v>
      </c>
      <c r="I88" s="505"/>
      <c r="J88" s="134"/>
      <c r="K88" s="134"/>
      <c r="L88" s="505"/>
      <c r="M88" s="134"/>
      <c r="N88" s="134"/>
      <c r="O88" s="505"/>
      <c r="P88" s="134"/>
      <c r="Q88" s="134"/>
      <c r="R88" s="505"/>
      <c r="S88" s="134"/>
      <c r="T88" s="134"/>
      <c r="U88" s="505"/>
      <c r="V88" s="134"/>
      <c r="W88" s="134"/>
      <c r="X88" s="505"/>
      <c r="Y88" s="134"/>
      <c r="Z88" s="134"/>
      <c r="AA88" s="505"/>
      <c r="AB88" s="134"/>
      <c r="AC88" s="134"/>
      <c r="AD88" s="505"/>
      <c r="AE88" s="134"/>
      <c r="AF88" s="134"/>
      <c r="AG88" s="505"/>
      <c r="AH88" s="134"/>
      <c r="AI88" s="134"/>
      <c r="AJ88" s="505"/>
      <c r="AK88" s="134"/>
      <c r="AL88" s="134"/>
      <c r="AM88" s="134"/>
      <c r="AN88" s="498" t="e">
        <f t="shared" si="10"/>
        <v>#N/A</v>
      </c>
      <c r="AO88" s="498" t="e">
        <f t="shared" si="6"/>
        <v>#N/A</v>
      </c>
      <c r="AP88" s="498" t="e">
        <f t="shared" si="11"/>
        <v>#N/A</v>
      </c>
      <c r="AR88" s="498" t="e">
        <f>SUM(((VLOOKUP(I88,KBOB,10,FALSE)*J88)/K88),((VLOOKUP(L88,KBOB,10,FALSE)*M88)/N88),((VLOOKUP(O88,KBOB,10,FALSE)*P88)/Q88),((VLOOKUP(R88,KBOB,10,FALSE)*S88)/T88))</f>
        <v>#N/A</v>
      </c>
      <c r="AS88" s="498" t="e">
        <f>SUM(((VLOOKUP(I88,KBOB,13,FALSE)*J88)/K88),((VLOOKUP(L88,KBOB,13,FALSE)*M88)/N88),((VLOOKUP(O88,KBOB,13,FALSE)*P88)/Q88),((VLOOKUP(R88,KBOB,13,FALSE)*S88)/T88))</f>
        <v>#N/A</v>
      </c>
      <c r="AT88" s="498" t="e">
        <f>SUM(((VLOOKUP(I88,KBOB,4,FALSE)*J88)/K88),((VLOOKUP(L88,KBOB,4,FALSE)*M88)/N88),((VLOOKUP(O88,KBOB,4,FALSE)*P88)/Q88),((VLOOKUP(R88,KBOB,4,FALSE)*S88)/T88))</f>
        <v>#N/A</v>
      </c>
    </row>
    <row r="89" spans="1:46">
      <c r="A89" s="1062"/>
      <c r="B89" s="1062"/>
      <c r="C89" s="1062"/>
      <c r="D89" s="523"/>
      <c r="E89" s="523"/>
      <c r="F89" s="523"/>
      <c r="G89" s="971"/>
      <c r="H89" s="134" t="str">
        <f>G89&amp;"_"&amp;$C$86&amp;$B$86</f>
        <v>_MuKen_Bu</v>
      </c>
      <c r="I89" s="505"/>
      <c r="J89" s="134"/>
      <c r="K89" s="134"/>
      <c r="L89" s="505"/>
      <c r="M89" s="134"/>
      <c r="N89" s="134"/>
      <c r="O89" s="505"/>
      <c r="P89" s="134"/>
      <c r="Q89" s="134"/>
      <c r="R89" s="505"/>
      <c r="S89" s="134"/>
      <c r="T89" s="134"/>
      <c r="U89" s="505"/>
      <c r="V89" s="134"/>
      <c r="W89" s="134"/>
      <c r="X89" s="505"/>
      <c r="Y89" s="134"/>
      <c r="Z89" s="134"/>
      <c r="AA89" s="505"/>
      <c r="AB89" s="134"/>
      <c r="AC89" s="134"/>
      <c r="AD89" s="505"/>
      <c r="AE89" s="134"/>
      <c r="AF89" s="134"/>
      <c r="AG89" s="505"/>
      <c r="AH89" s="134"/>
      <c r="AI89" s="134"/>
      <c r="AJ89" s="505"/>
      <c r="AK89" s="134"/>
      <c r="AL89" s="134"/>
      <c r="AM89" s="134"/>
      <c r="AN89" s="498" t="e">
        <f t="shared" si="10"/>
        <v>#N/A</v>
      </c>
      <c r="AO89" s="498" t="e">
        <f t="shared" si="6"/>
        <v>#N/A</v>
      </c>
      <c r="AP89" s="498" t="e">
        <f t="shared" si="11"/>
        <v>#N/A</v>
      </c>
      <c r="AR89" s="498" t="e">
        <f>SUM(((VLOOKUP(I89,KBOB,10,FALSE)*J89)/K89),((VLOOKUP(L89,KBOB,10,FALSE)*M89)/N89),((VLOOKUP(O89,KBOB,10,FALSE)*P89)/Q89),((VLOOKUP(R89,KBOB,10,FALSE)*S89)/T89))</f>
        <v>#N/A</v>
      </c>
      <c r="AS89" s="498" t="e">
        <f>SUM(((VLOOKUP(I89,KBOB,13,FALSE)*J89)/K89),((VLOOKUP(L89,KBOB,13,FALSE)*M89)/N89),((VLOOKUP(O89,KBOB,13,FALSE)*P89)/Q89),((VLOOKUP(R89,KBOB,13,FALSE)*S89)/T89))</f>
        <v>#N/A</v>
      </c>
      <c r="AT89" s="498" t="e">
        <f>SUM(((VLOOKUP(I89,KBOB,4,FALSE)*J89)/K89),((VLOOKUP(L89,KBOB,4,FALSE)*M89)/N89),((VLOOKUP(O89,KBOB,4,FALSE)*P89)/Q89),((VLOOKUP(R89,KBOB,4,FALSE)*S89)/T89))</f>
        <v>#N/A</v>
      </c>
    </row>
    <row r="90" spans="1:46">
      <c r="A90" s="1062"/>
      <c r="B90" s="1062"/>
      <c r="C90" s="1062"/>
      <c r="D90" s="533"/>
      <c r="E90" s="533"/>
      <c r="F90" s="533"/>
      <c r="G90" s="972"/>
      <c r="H90" s="538" t="str">
        <f>G90&amp;"_"&amp;$C$86&amp;$B$86</f>
        <v>_MuKen_Bu</v>
      </c>
      <c r="I90" s="506"/>
      <c r="J90" s="507"/>
      <c r="K90" s="507"/>
      <c r="L90" s="506"/>
      <c r="M90" s="507"/>
      <c r="N90" s="507"/>
      <c r="O90" s="506"/>
      <c r="P90" s="507"/>
      <c r="Q90" s="507"/>
      <c r="R90" s="506"/>
      <c r="S90" s="507"/>
      <c r="T90" s="507"/>
      <c r="U90" s="506"/>
      <c r="V90" s="507"/>
      <c r="W90" s="507"/>
      <c r="X90" s="506"/>
      <c r="Y90" s="507"/>
      <c r="Z90" s="507"/>
      <c r="AA90" s="506"/>
      <c r="AB90" s="507"/>
      <c r="AC90" s="507"/>
      <c r="AD90" s="506"/>
      <c r="AE90" s="507"/>
      <c r="AF90" s="507"/>
      <c r="AG90" s="506"/>
      <c r="AH90" s="507"/>
      <c r="AI90" s="507"/>
      <c r="AJ90" s="506"/>
      <c r="AK90" s="507"/>
      <c r="AL90" s="507"/>
      <c r="AM90" s="507"/>
      <c r="AN90" s="501" t="e">
        <f t="shared" si="10"/>
        <v>#N/A</v>
      </c>
      <c r="AO90" s="501" t="e">
        <f t="shared" si="6"/>
        <v>#N/A</v>
      </c>
      <c r="AP90" s="501" t="e">
        <f t="shared" si="11"/>
        <v>#N/A</v>
      </c>
      <c r="AR90" s="501" t="e">
        <f>SUM(((VLOOKUP(I90,KBOB,10,FALSE)*J90)/K90),((VLOOKUP(L90,KBOB,10,FALSE)*M90)/N90),((VLOOKUP(O90,KBOB,10,FALSE)*P90)/Q90),((VLOOKUP(R90,KBOB,10,FALSE)*S90)/T90))</f>
        <v>#N/A</v>
      </c>
      <c r="AS90" s="501" t="e">
        <f>SUM(((VLOOKUP(I90,KBOB,13,FALSE)*J90)/K90),((VLOOKUP(L90,KBOB,13,FALSE)*M90)/N90),((VLOOKUP(O90,KBOB,13,FALSE)*P90)/Q90),((VLOOKUP(R90,KBOB,13,FALSE)*S90)/T90))</f>
        <v>#N/A</v>
      </c>
      <c r="AT90" s="501" t="e">
        <f>SUM(((VLOOKUP(I90,KBOB,4,FALSE)*J90)/K90),((VLOOKUP(L90,KBOB,4,FALSE)*M90)/N90),((VLOOKUP(O90,KBOB,4,FALSE)*P90)/Q90),((VLOOKUP(R90,KBOB,4,FALSE)*S90)/T90))</f>
        <v>#N/A</v>
      </c>
    </row>
    <row r="91" spans="1:46" ht="30">
      <c r="A91" s="1062"/>
      <c r="B91" s="1062"/>
      <c r="C91" s="1062" t="s">
        <v>381</v>
      </c>
      <c r="D91" s="525" t="s">
        <v>1101</v>
      </c>
      <c r="E91" s="525">
        <v>0.16</v>
      </c>
      <c r="F91" s="525">
        <v>3.7999999999999999E-2</v>
      </c>
      <c r="G91" s="971" t="s">
        <v>1102</v>
      </c>
      <c r="H91" s="133" t="str">
        <f>G91&amp;"_"&amp;$C$91&amp;$B$86</f>
        <v>Betondecke, Wärmedämmung, Trittschalldämmung, Unterlagsboden_MINERGIE_Bu</v>
      </c>
      <c r="I91" s="505" t="s">
        <v>104</v>
      </c>
      <c r="J91" s="133">
        <v>129.5</v>
      </c>
      <c r="K91" s="133">
        <v>30</v>
      </c>
      <c r="L91" s="504" t="s">
        <v>215</v>
      </c>
      <c r="M91" s="133">
        <v>0.2</v>
      </c>
      <c r="N91" s="133">
        <v>30</v>
      </c>
      <c r="O91" s="504" t="s">
        <v>231</v>
      </c>
      <c r="P91" s="133">
        <v>2</v>
      </c>
      <c r="Q91" s="133">
        <v>30</v>
      </c>
      <c r="R91" s="504" t="s">
        <v>238</v>
      </c>
      <c r="S91" s="133">
        <v>4.8</v>
      </c>
      <c r="T91" s="133">
        <v>30</v>
      </c>
      <c r="U91" s="505" t="s">
        <v>37</v>
      </c>
      <c r="V91" s="534">
        <v>618.79999999999995</v>
      </c>
      <c r="W91" s="534">
        <v>60</v>
      </c>
      <c r="X91" s="505" t="s">
        <v>137</v>
      </c>
      <c r="Y91" s="134">
        <v>20.8</v>
      </c>
      <c r="Z91" s="134">
        <v>60</v>
      </c>
      <c r="AA91" s="505" t="s">
        <v>161</v>
      </c>
      <c r="AB91" s="134">
        <v>1</v>
      </c>
      <c r="AC91" s="134">
        <v>60</v>
      </c>
      <c r="AD91" s="893" t="s">
        <v>296</v>
      </c>
      <c r="AE91" s="894">
        <v>1</v>
      </c>
      <c r="AF91" s="894">
        <v>30</v>
      </c>
      <c r="AG91" s="893" t="s">
        <v>338</v>
      </c>
      <c r="AH91" s="894">
        <v>0.3</v>
      </c>
      <c r="AI91" s="894">
        <v>30</v>
      </c>
      <c r="AJ91" s="504" t="s">
        <v>27</v>
      </c>
      <c r="AK91" s="133"/>
      <c r="AL91" s="133">
        <v>1</v>
      </c>
      <c r="AM91" s="133"/>
      <c r="AN91" s="137">
        <f t="shared" si="10"/>
        <v>44.123631444160601</v>
      </c>
      <c r="AO91" s="137">
        <f t="shared" si="6"/>
        <v>3.8706535204921684</v>
      </c>
      <c r="AP91" s="137">
        <f t="shared" si="11"/>
        <v>4255.2403453052002</v>
      </c>
      <c r="AR91" s="938">
        <f>SUM(((VLOOKUP(I91,KBOB,10,FALSE)*J91)/K91),((VLOOKUP(L91,KBOB,10,FALSE)*M91)/N91),((VLOOKUP(O91,KBOB,10,FALSE)*P91)/Q91),((VLOOKUP(R91,KBOB,10,FALSE)*S91)/T91),((VLOOKUP(AD91,KBOB,10,FALSE)*AE91)/AF91))</f>
        <v>31.180896662492955</v>
      </c>
      <c r="AS91" s="938">
        <f>SUM(((VLOOKUP(I91,KBOB,13,FALSE)*J91)/K91),((VLOOKUP(L91,KBOB,13,FALSE)*M91)/N91),((VLOOKUP(O91,KBOB,13,FALSE)*P91)/Q91),((VLOOKUP(R91,KBOB,13,FALSE)*S91)/T91),((VLOOKUP(AD91,KBOB,13,FALSE)*AE91)/AF91))</f>
        <v>2.3601432651733334</v>
      </c>
      <c r="AT91" s="938">
        <f>SUM(((VLOOKUP(I91,KBOB,4,FALSE)*J91)/K91),((VLOOKUP(L91,KBOB,4,FALSE)*M91)/N91),((VLOOKUP(O91,KBOB,4,FALSE)*P91)/Q91),((VLOOKUP(R91,KBOB,4,FALSE)*S91)/T91),((VLOOKUP(AD91,KBOB,4,FALSE)*AE91)/AF91))</f>
        <v>2176.2624665966669</v>
      </c>
    </row>
    <row r="92" spans="1:46" ht="45">
      <c r="A92" s="1062"/>
      <c r="B92" s="1062"/>
      <c r="C92" s="1062"/>
      <c r="D92" s="523" t="s">
        <v>1246</v>
      </c>
      <c r="E92" s="523">
        <v>0.14000000000000001</v>
      </c>
      <c r="F92" s="523">
        <v>0.04</v>
      </c>
      <c r="G92" s="971" t="s">
        <v>1247</v>
      </c>
      <c r="H92" s="134" t="str">
        <f>G92&amp;"_"&amp;$C$91&amp;$B$86</f>
        <v>Betondecke, Wärmedämmung, Trittschalldämmung, Unterlagsboden inklusive Deckendämmung_MINERGIE_Bu</v>
      </c>
      <c r="I92" s="505" t="s">
        <v>104</v>
      </c>
      <c r="J92" s="134">
        <v>129.5</v>
      </c>
      <c r="K92" s="134">
        <v>30</v>
      </c>
      <c r="L92" s="505" t="s">
        <v>215</v>
      </c>
      <c r="M92" s="134">
        <v>0.2</v>
      </c>
      <c r="N92" s="134">
        <v>30</v>
      </c>
      <c r="O92" s="505" t="s">
        <v>231</v>
      </c>
      <c r="P92" s="134">
        <v>2</v>
      </c>
      <c r="Q92" s="134">
        <v>30</v>
      </c>
      <c r="R92" s="505" t="s">
        <v>238</v>
      </c>
      <c r="S92" s="134">
        <v>0.4</v>
      </c>
      <c r="T92" s="134">
        <v>30</v>
      </c>
      <c r="U92" s="505" t="s">
        <v>37</v>
      </c>
      <c r="V92" s="134">
        <v>428.4</v>
      </c>
      <c r="W92" s="134">
        <v>60</v>
      </c>
      <c r="X92" s="505" t="s">
        <v>137</v>
      </c>
      <c r="Y92" s="134">
        <v>14.4</v>
      </c>
      <c r="Z92" s="134">
        <v>60</v>
      </c>
      <c r="AA92" s="505" t="s">
        <v>161</v>
      </c>
      <c r="AB92" s="134">
        <v>1</v>
      </c>
      <c r="AC92" s="134">
        <v>60</v>
      </c>
      <c r="AD92" s="505" t="s">
        <v>249</v>
      </c>
      <c r="AE92" s="134">
        <v>4.2</v>
      </c>
      <c r="AF92" s="134">
        <v>30</v>
      </c>
      <c r="AG92" s="893" t="s">
        <v>296</v>
      </c>
      <c r="AH92" s="894">
        <v>1</v>
      </c>
      <c r="AI92" s="894">
        <v>30</v>
      </c>
      <c r="AJ92" s="893" t="s">
        <v>338</v>
      </c>
      <c r="AK92" s="894">
        <v>0.3</v>
      </c>
      <c r="AL92" s="894">
        <v>30</v>
      </c>
      <c r="AM92" s="134"/>
      <c r="AN92" s="498">
        <f t="shared" si="10"/>
        <v>26.917753344867563</v>
      </c>
      <c r="AO92" s="498">
        <f t="shared" si="6"/>
        <v>2.4789989500047014</v>
      </c>
      <c r="AP92" s="498">
        <f t="shared" si="11"/>
        <v>3012.4676646769331</v>
      </c>
      <c r="AR92" s="973">
        <f>SUM(((VLOOKUP(I92,KBOB,10,FALSE)*J92)/K92),((VLOOKUP(L92,KBOB,10,FALSE)*M92)/N92),((VLOOKUP(O92,KBOB,10,FALSE)*P92)/Q92),((VLOOKUP(R92,KBOB,10,FALSE)*S92)/T92),((VLOOKUP(AD92,KBOB,10,FALSE)*AE92)/AF92),((VLOOKUP(AG92,KBOB,10,FALSE)*AH92)/AI92))</f>
        <v>17.859622242584692</v>
      </c>
      <c r="AS92" s="973">
        <f>SUM(((VLOOKUP(I92,KBOB,13,FALSE)*J92)/K92),((VLOOKUP(L92,KBOB,13,FALSE)*M92)/N92),((VLOOKUP(O92,KBOB,13,FALSE)*P92)/Q92),((VLOOKUP(R92,KBOB,13,FALSE)*S92)/T92),((VLOOKUP(AD92,KBOB,13,FALSE)*AE92)/AF92),((VLOOKUP(AG92,KBOB,13,FALSE)*AH92)/AI92))</f>
        <v>1.4258219318400001</v>
      </c>
      <c r="AT92" s="973">
        <f>SUM(((VLOOKUP(I92,KBOB,4,FALSE)*J92)/K92),((VLOOKUP(L92,KBOB,4,FALSE)*M92)/N92),((VLOOKUP(O92,KBOB,4,FALSE)*P92)/Q92),((VLOOKUP(R92,KBOB,4,FALSE)*S92)/T92),((VLOOKUP(AD92,KBOB,4,FALSE)*AE92)/AF92),((VLOOKUP(AG92,KBOB,4,FALSE)*AH92)/AI92))</f>
        <v>1561.8624665966665</v>
      </c>
    </row>
    <row r="93" spans="1:46">
      <c r="A93" s="1062"/>
      <c r="B93" s="1062"/>
      <c r="C93" s="1062"/>
      <c r="D93" s="523"/>
      <c r="E93" s="523"/>
      <c r="F93" s="523"/>
      <c r="G93" s="971"/>
      <c r="H93" s="134" t="str">
        <f>G93&amp;"_"&amp;$C$91&amp;$B$86</f>
        <v>_MINERGIE_Bu</v>
      </c>
      <c r="I93" s="505"/>
      <c r="J93" s="134"/>
      <c r="K93" s="134"/>
      <c r="L93" s="505"/>
      <c r="M93" s="134"/>
      <c r="N93" s="134"/>
      <c r="O93" s="505"/>
      <c r="P93" s="134"/>
      <c r="Q93" s="134"/>
      <c r="R93" s="505"/>
      <c r="S93" s="134"/>
      <c r="T93" s="134"/>
      <c r="U93" s="505"/>
      <c r="V93" s="134"/>
      <c r="W93" s="134"/>
      <c r="X93" s="505"/>
      <c r="Y93" s="134"/>
      <c r="Z93" s="134"/>
      <c r="AA93" s="505"/>
      <c r="AB93" s="134"/>
      <c r="AC93" s="134"/>
      <c r="AD93" s="505"/>
      <c r="AE93" s="134"/>
      <c r="AF93" s="134"/>
      <c r="AG93" s="505"/>
      <c r="AH93" s="134"/>
      <c r="AI93" s="134"/>
      <c r="AJ93" s="505"/>
      <c r="AK93" s="134"/>
      <c r="AL93" s="134"/>
      <c r="AM93" s="134"/>
      <c r="AN93" s="498" t="e">
        <f t="shared" si="10"/>
        <v>#N/A</v>
      </c>
      <c r="AO93" s="498" t="e">
        <f t="shared" si="6"/>
        <v>#N/A</v>
      </c>
      <c r="AP93" s="498" t="e">
        <f t="shared" si="11"/>
        <v>#N/A</v>
      </c>
      <c r="AR93" s="498" t="e">
        <f>SUM(((VLOOKUP(I93,KBOB,10,FALSE)*J93)/K93),((VLOOKUP(L93,KBOB,10,FALSE)*M93)/N93),((VLOOKUP(O93,KBOB,10,FALSE)*P93)/Q93),((VLOOKUP(R93,KBOB,10,FALSE)*S93)/T93))</f>
        <v>#N/A</v>
      </c>
      <c r="AS93" s="498" t="e">
        <f>SUM(((VLOOKUP(I93,KBOB,13,FALSE)*J93)/K93),((VLOOKUP(L93,KBOB,13,FALSE)*M93)/N93),((VLOOKUP(O93,KBOB,13,FALSE)*P93)/Q93),((VLOOKUP(R93,KBOB,13,FALSE)*S93)/T93))</f>
        <v>#N/A</v>
      </c>
      <c r="AT93" s="498" t="e">
        <f>SUM(((VLOOKUP(I93,KBOB,4,FALSE)*J93)/K93),((VLOOKUP(L93,KBOB,4,FALSE)*M93)/N93),((VLOOKUP(O93,KBOB,4,FALSE)*P93)/Q93),((VLOOKUP(R93,KBOB,4,FALSE)*S93)/T93))</f>
        <v>#N/A</v>
      </c>
    </row>
    <row r="94" spans="1:46">
      <c r="A94" s="1062"/>
      <c r="B94" s="1062"/>
      <c r="C94" s="1062"/>
      <c r="D94" s="523"/>
      <c r="E94" s="523"/>
      <c r="F94" s="523"/>
      <c r="G94" s="971"/>
      <c r="H94" s="134" t="str">
        <f>G94&amp;"_"&amp;$C$91&amp;$B$86</f>
        <v>_MINERGIE_Bu</v>
      </c>
      <c r="I94" s="505"/>
      <c r="J94" s="134"/>
      <c r="K94" s="134"/>
      <c r="L94" s="505"/>
      <c r="M94" s="134"/>
      <c r="N94" s="134"/>
      <c r="O94" s="505"/>
      <c r="P94" s="134"/>
      <c r="Q94" s="134"/>
      <c r="R94" s="505"/>
      <c r="S94" s="134"/>
      <c r="T94" s="134"/>
      <c r="U94" s="505"/>
      <c r="V94" s="134"/>
      <c r="W94" s="134"/>
      <c r="X94" s="505"/>
      <c r="Y94" s="134"/>
      <c r="Z94" s="134"/>
      <c r="AA94" s="505"/>
      <c r="AB94" s="134"/>
      <c r="AC94" s="134"/>
      <c r="AD94" s="505"/>
      <c r="AE94" s="134"/>
      <c r="AF94" s="134"/>
      <c r="AG94" s="505"/>
      <c r="AH94" s="134"/>
      <c r="AI94" s="134"/>
      <c r="AJ94" s="505"/>
      <c r="AK94" s="134"/>
      <c r="AL94" s="134"/>
      <c r="AM94" s="134"/>
      <c r="AN94" s="498" t="e">
        <f t="shared" si="10"/>
        <v>#N/A</v>
      </c>
      <c r="AO94" s="498" t="e">
        <f t="shared" si="6"/>
        <v>#N/A</v>
      </c>
      <c r="AP94" s="498" t="e">
        <f t="shared" si="11"/>
        <v>#N/A</v>
      </c>
      <c r="AR94" s="498" t="e">
        <f>SUM(((VLOOKUP(I94,KBOB,10,FALSE)*J94)/K94),((VLOOKUP(L94,KBOB,10,FALSE)*M94)/N94),((VLOOKUP(O94,KBOB,10,FALSE)*P94)/Q94),((VLOOKUP(R94,KBOB,10,FALSE)*S94)/T94))</f>
        <v>#N/A</v>
      </c>
      <c r="AS94" s="498" t="e">
        <f>SUM(((VLOOKUP(I94,KBOB,13,FALSE)*J94)/K94),((VLOOKUP(L94,KBOB,13,FALSE)*M94)/N94),((VLOOKUP(O94,KBOB,13,FALSE)*P94)/Q94),((VLOOKUP(R94,KBOB,13,FALSE)*S94)/T94))</f>
        <v>#N/A</v>
      </c>
      <c r="AT94" s="498" t="e">
        <f>SUM(((VLOOKUP(I94,KBOB,4,FALSE)*J94)/K94),((VLOOKUP(L94,KBOB,4,FALSE)*M94)/N94),((VLOOKUP(O94,KBOB,4,FALSE)*P94)/Q94),((VLOOKUP(R94,KBOB,4,FALSE)*S94)/T94))</f>
        <v>#N/A</v>
      </c>
    </row>
    <row r="95" spans="1:46">
      <c r="A95" s="1062"/>
      <c r="B95" s="1062"/>
      <c r="C95" s="1062"/>
      <c r="D95" s="533"/>
      <c r="E95" s="533"/>
      <c r="F95" s="533"/>
      <c r="G95" s="972"/>
      <c r="H95" s="538" t="str">
        <f>G95&amp;"_"&amp;$C$91&amp;$B$86</f>
        <v>_MINERGIE_Bu</v>
      </c>
      <c r="I95" s="506"/>
      <c r="J95" s="507"/>
      <c r="K95" s="507"/>
      <c r="L95" s="506"/>
      <c r="M95" s="507"/>
      <c r="N95" s="507"/>
      <c r="O95" s="506"/>
      <c r="P95" s="507"/>
      <c r="Q95" s="507"/>
      <c r="R95" s="506"/>
      <c r="S95" s="507"/>
      <c r="T95" s="507"/>
      <c r="U95" s="506"/>
      <c r="V95" s="507"/>
      <c r="W95" s="507"/>
      <c r="X95" s="506"/>
      <c r="Y95" s="507"/>
      <c r="Z95" s="507"/>
      <c r="AA95" s="506"/>
      <c r="AB95" s="507"/>
      <c r="AC95" s="507"/>
      <c r="AD95" s="506"/>
      <c r="AE95" s="507"/>
      <c r="AF95" s="507"/>
      <c r="AG95" s="506"/>
      <c r="AH95" s="507"/>
      <c r="AI95" s="507"/>
      <c r="AJ95" s="506"/>
      <c r="AK95" s="507"/>
      <c r="AL95" s="507"/>
      <c r="AM95" s="507"/>
      <c r="AN95" s="501" t="e">
        <f t="shared" si="10"/>
        <v>#N/A</v>
      </c>
      <c r="AO95" s="501" t="e">
        <f t="shared" si="6"/>
        <v>#N/A</v>
      </c>
      <c r="AP95" s="501" t="e">
        <f t="shared" si="11"/>
        <v>#N/A</v>
      </c>
      <c r="AR95" s="501" t="e">
        <f>SUM(((VLOOKUP(I95,KBOB,10,FALSE)*J95)/K95),((VLOOKUP(L95,KBOB,10,FALSE)*M95)/N95),((VLOOKUP(O95,KBOB,10,FALSE)*P95)/Q95),((VLOOKUP(R95,KBOB,10,FALSE)*S95)/T95))</f>
        <v>#N/A</v>
      </c>
      <c r="AS95" s="501" t="e">
        <f>SUM(((VLOOKUP(I95,KBOB,13,FALSE)*J95)/K95),((VLOOKUP(L95,KBOB,13,FALSE)*M95)/N95),((VLOOKUP(O95,KBOB,13,FALSE)*P95)/Q95),((VLOOKUP(R95,KBOB,13,FALSE)*S95)/T95))</f>
        <v>#N/A</v>
      </c>
      <c r="AT95" s="501" t="e">
        <f>SUM(((VLOOKUP(I95,KBOB,4,FALSE)*J95)/K95),((VLOOKUP(L95,KBOB,4,FALSE)*M95)/N95),((VLOOKUP(O95,KBOB,4,FALSE)*P95)/Q95),((VLOOKUP(R95,KBOB,4,FALSE)*S95)/T95))</f>
        <v>#N/A</v>
      </c>
    </row>
    <row r="96" spans="1:46" ht="30">
      <c r="A96" s="1062"/>
      <c r="B96" s="1062"/>
      <c r="C96" s="1062" t="s">
        <v>401</v>
      </c>
      <c r="D96" s="525" t="s">
        <v>1101</v>
      </c>
      <c r="E96" s="525">
        <v>0.22</v>
      </c>
      <c r="F96" s="525">
        <v>3.7999999999999999E-2</v>
      </c>
      <c r="G96" s="971" t="s">
        <v>1102</v>
      </c>
      <c r="H96" s="133" t="str">
        <f>G96&amp;"_"&amp;$C$96&amp;$B$86</f>
        <v>Betondecke, Wärmedämmung, Trittschalldämmung, Unterlagsboden_MINERGIE_P_Bu</v>
      </c>
      <c r="I96" s="505" t="s">
        <v>104</v>
      </c>
      <c r="J96" s="133">
        <v>129.5</v>
      </c>
      <c r="K96" s="133">
        <v>30</v>
      </c>
      <c r="L96" s="504" t="s">
        <v>215</v>
      </c>
      <c r="M96" s="133">
        <v>0.2</v>
      </c>
      <c r="N96" s="133">
        <v>30</v>
      </c>
      <c r="O96" s="504" t="s">
        <v>231</v>
      </c>
      <c r="P96" s="133">
        <v>2</v>
      </c>
      <c r="Q96" s="133">
        <v>30</v>
      </c>
      <c r="R96" s="504" t="s">
        <v>238</v>
      </c>
      <c r="S96" s="133">
        <v>6.6</v>
      </c>
      <c r="T96" s="133">
        <v>30</v>
      </c>
      <c r="U96" s="505" t="s">
        <v>37</v>
      </c>
      <c r="V96" s="534">
        <v>428.4</v>
      </c>
      <c r="W96" s="534">
        <v>60</v>
      </c>
      <c r="X96" s="505" t="s">
        <v>137</v>
      </c>
      <c r="Y96" s="134">
        <v>14.4</v>
      </c>
      <c r="Z96" s="134">
        <v>60</v>
      </c>
      <c r="AA96" s="505" t="s">
        <v>161</v>
      </c>
      <c r="AB96" s="134">
        <v>1</v>
      </c>
      <c r="AC96" s="134">
        <v>60</v>
      </c>
      <c r="AD96" s="893" t="s">
        <v>296</v>
      </c>
      <c r="AE96" s="894">
        <v>1</v>
      </c>
      <c r="AF96" s="894">
        <v>30</v>
      </c>
      <c r="AG96" s="893" t="s">
        <v>338</v>
      </c>
      <c r="AH96" s="894">
        <v>0.3</v>
      </c>
      <c r="AI96" s="894">
        <v>30</v>
      </c>
      <c r="AJ96" s="504" t="s">
        <v>27</v>
      </c>
      <c r="AK96" s="133"/>
      <c r="AL96" s="133">
        <v>1</v>
      </c>
      <c r="AM96" s="133"/>
      <c r="AN96" s="495">
        <f t="shared" si="10"/>
        <v>46.559185482011024</v>
      </c>
      <c r="AO96" s="495">
        <f t="shared" si="6"/>
        <v>3.8551062833380345</v>
      </c>
      <c r="AP96" s="495">
        <f t="shared" si="11"/>
        <v>3940.0676646769334</v>
      </c>
      <c r="AR96" s="938">
        <f>SUM(((VLOOKUP(I96,KBOB,10,FALSE)*J96)/K96),((VLOOKUP(L96,KBOB,10,FALSE)*M96)/N96),((VLOOKUP(O96,KBOB,10,FALSE)*P96)/Q96),((VLOOKUP(R96,KBOB,10,FALSE)*S96)/T96),((VLOOKUP(AD96,KBOB,10,FALSE)*AE96)/AF96))</f>
        <v>37.501054379728153</v>
      </c>
      <c r="AS96" s="938">
        <f>SUM(((VLOOKUP(I96,KBOB,13,FALSE)*J96)/K96),((VLOOKUP(L96,KBOB,13,FALSE)*M96)/N96),((VLOOKUP(O96,KBOB,13,FALSE)*P96)/Q96),((VLOOKUP(R96,KBOB,13,FALSE)*S96)/T96),((VLOOKUP(AD96,KBOB,13,FALSE)*AE96)/AF96))</f>
        <v>2.8019292651733334</v>
      </c>
      <c r="AT96" s="938">
        <f>SUM(((VLOOKUP(I96,KBOB,4,FALSE)*J96)/K96),((VLOOKUP(L96,KBOB,4,FALSE)*M96)/N96),((VLOOKUP(O96,KBOB,4,FALSE)*P96)/Q96),((VLOOKUP(R96,KBOB,4,FALSE)*S96)/T96),((VLOOKUP(AD96,KBOB,4,FALSE)*AE96)/AF96))</f>
        <v>2489.4624665966667</v>
      </c>
    </row>
    <row r="97" spans="1:46" ht="45">
      <c r="A97" s="1062"/>
      <c r="B97" s="1062"/>
      <c r="C97" s="1062"/>
      <c r="D97" s="523" t="s">
        <v>1246</v>
      </c>
      <c r="E97" s="523">
        <v>0.21</v>
      </c>
      <c r="F97" s="523">
        <v>0.04</v>
      </c>
      <c r="G97" s="971" t="s">
        <v>1247</v>
      </c>
      <c r="H97" s="134" t="str">
        <f>G97&amp;"_"&amp;$C$96&amp;$B$86</f>
        <v>Betondecke, Wärmedämmung, Trittschalldämmung, Unterlagsboden inklusive Deckendämmung_MINERGIE_P_Bu</v>
      </c>
      <c r="I97" s="505" t="s">
        <v>104</v>
      </c>
      <c r="J97" s="134">
        <v>129.5</v>
      </c>
      <c r="K97" s="134">
        <v>30</v>
      </c>
      <c r="L97" s="505" t="s">
        <v>215</v>
      </c>
      <c r="M97" s="134">
        <v>0.2</v>
      </c>
      <c r="N97" s="134">
        <v>30</v>
      </c>
      <c r="O97" s="505" t="s">
        <v>231</v>
      </c>
      <c r="P97" s="134">
        <v>2</v>
      </c>
      <c r="Q97" s="134">
        <v>30</v>
      </c>
      <c r="R97" s="505" t="s">
        <v>238</v>
      </c>
      <c r="S97" s="134">
        <v>0.4</v>
      </c>
      <c r="T97" s="134">
        <v>30</v>
      </c>
      <c r="U97" s="505" t="s">
        <v>37</v>
      </c>
      <c r="V97" s="134">
        <v>428.4</v>
      </c>
      <c r="W97" s="134">
        <v>60</v>
      </c>
      <c r="X97" s="505" t="s">
        <v>137</v>
      </c>
      <c r="Y97" s="134">
        <v>14.4</v>
      </c>
      <c r="Z97" s="134">
        <v>60</v>
      </c>
      <c r="AA97" s="505" t="s">
        <v>161</v>
      </c>
      <c r="AB97" s="134">
        <v>1</v>
      </c>
      <c r="AC97" s="134">
        <v>60</v>
      </c>
      <c r="AD97" s="505" t="s">
        <v>249</v>
      </c>
      <c r="AE97" s="134">
        <v>6.3</v>
      </c>
      <c r="AF97" s="134">
        <v>30</v>
      </c>
      <c r="AG97" s="893" t="s">
        <v>296</v>
      </c>
      <c r="AH97" s="894">
        <v>1</v>
      </c>
      <c r="AI97" s="894">
        <v>30</v>
      </c>
      <c r="AJ97" s="893" t="s">
        <v>338</v>
      </c>
      <c r="AK97" s="894">
        <v>0.3</v>
      </c>
      <c r="AL97" s="894">
        <v>30</v>
      </c>
      <c r="AM97" s="134"/>
      <c r="AN97" s="498">
        <f t="shared" si="10"/>
        <v>27.981753344867563</v>
      </c>
      <c r="AO97" s="498">
        <f t="shared" si="6"/>
        <v>2.5517989500047014</v>
      </c>
      <c r="AP97" s="498">
        <f t="shared" si="11"/>
        <v>3088.0676646769334</v>
      </c>
      <c r="AR97" s="973">
        <f>SUM(((VLOOKUP(I97,KBOB,10,FALSE)*J97)/K97),((VLOOKUP(L97,KBOB,10,FALSE)*M97)/N97),((VLOOKUP(O97,KBOB,10,FALSE)*P97)/Q97),((VLOOKUP(R97,KBOB,10,FALSE)*S97)/T97),((VLOOKUP(AD97,KBOB,10,FALSE)*AE97)/AF97),((VLOOKUP(AG97,KBOB,10,FALSE)*AH97)/AI97))</f>
        <v>18.923622242584692</v>
      </c>
      <c r="AS97" s="973">
        <f>SUM(((VLOOKUP(I97,KBOB,13,FALSE)*J97)/K97),((VLOOKUP(L97,KBOB,13,FALSE)*M97)/N97),((VLOOKUP(O97,KBOB,13,FALSE)*P97)/Q97),((VLOOKUP(R97,KBOB,13,FALSE)*S97)/T97),((VLOOKUP(AD97,KBOB,13,FALSE)*AE97)/AF97),((VLOOKUP(AG97,KBOB,13,FALSE)*AH97)/AI97))</f>
        <v>1.49862193184</v>
      </c>
      <c r="AT97" s="973">
        <f>SUM(((VLOOKUP(I97,KBOB,4,FALSE)*J97)/K97),((VLOOKUP(L97,KBOB,4,FALSE)*M97)/N97),((VLOOKUP(O97,KBOB,4,FALSE)*P97)/Q97),((VLOOKUP(R97,KBOB,4,FALSE)*S97)/T97),((VLOOKUP(AD97,KBOB,4,FALSE)*AE97)/AF97),((VLOOKUP(AG97,KBOB,4,FALSE)*AH97)/AI97))</f>
        <v>1637.4624665966667</v>
      </c>
    </row>
    <row r="98" spans="1:46">
      <c r="A98" s="1062"/>
      <c r="B98" s="1062"/>
      <c r="C98" s="1062"/>
      <c r="D98" s="523"/>
      <c r="E98" s="523"/>
      <c r="F98" s="523"/>
      <c r="G98" s="134"/>
      <c r="H98" s="134" t="str">
        <f>G98&amp;"_"&amp;$C$96&amp;$B$86</f>
        <v>_MINERGIE_P_Bu</v>
      </c>
      <c r="I98" s="505"/>
      <c r="J98" s="134"/>
      <c r="K98" s="134"/>
      <c r="L98" s="505"/>
      <c r="M98" s="134"/>
      <c r="N98" s="134"/>
      <c r="O98" s="505"/>
      <c r="P98" s="134"/>
      <c r="Q98" s="134"/>
      <c r="R98" s="505"/>
      <c r="S98" s="134"/>
      <c r="T98" s="134"/>
      <c r="U98" s="505"/>
      <c r="V98" s="134"/>
      <c r="W98" s="134"/>
      <c r="X98" s="505"/>
      <c r="Y98" s="134"/>
      <c r="Z98" s="134"/>
      <c r="AA98" s="505"/>
      <c r="AB98" s="134"/>
      <c r="AC98" s="134"/>
      <c r="AD98" s="505"/>
      <c r="AE98" s="134"/>
      <c r="AF98" s="134"/>
      <c r="AG98" s="505"/>
      <c r="AH98" s="134"/>
      <c r="AI98" s="134"/>
      <c r="AJ98" s="505"/>
      <c r="AK98" s="134"/>
      <c r="AL98" s="134"/>
      <c r="AM98" s="134"/>
      <c r="AN98" s="498" t="e">
        <f t="shared" si="10"/>
        <v>#N/A</v>
      </c>
      <c r="AO98" s="498" t="e">
        <f t="shared" si="6"/>
        <v>#N/A</v>
      </c>
      <c r="AP98" s="498" t="e">
        <f t="shared" si="11"/>
        <v>#N/A</v>
      </c>
      <c r="AR98" s="498" t="e">
        <f>SUM(((VLOOKUP(I98,KBOB,10,FALSE)*J98)/K98),((VLOOKUP(L98,KBOB,10,FALSE)*M98)/N98),((VLOOKUP(O98,KBOB,10,FALSE)*P98)/Q98),((VLOOKUP(R98,KBOB,10,FALSE)*S98)/T98))</f>
        <v>#N/A</v>
      </c>
      <c r="AS98" s="498" t="e">
        <f>SUM(((VLOOKUP(I98,KBOB,13,FALSE)*J98)/K98),((VLOOKUP(L98,KBOB,13,FALSE)*M98)/N98),((VLOOKUP(O98,KBOB,13,FALSE)*P98)/Q98),((VLOOKUP(R98,KBOB,13,FALSE)*S98)/T98))</f>
        <v>#N/A</v>
      </c>
      <c r="AT98" s="498" t="e">
        <f>SUM(((VLOOKUP(I98,KBOB,4,FALSE)*J98)/K98),((VLOOKUP(L98,KBOB,4,FALSE)*M98)/N98),((VLOOKUP(O98,KBOB,4,FALSE)*P98)/Q98),((VLOOKUP(R98,KBOB,4,FALSE)*S98)/T98))</f>
        <v>#N/A</v>
      </c>
    </row>
    <row r="99" spans="1:46">
      <c r="A99" s="1062"/>
      <c r="B99" s="1062"/>
      <c r="C99" s="1062"/>
      <c r="D99" s="523"/>
      <c r="E99" s="523"/>
      <c r="F99" s="523"/>
      <c r="G99" s="134"/>
      <c r="H99" s="134" t="str">
        <f>G99&amp;"_"&amp;$C$96&amp;$B$86</f>
        <v>_MINERGIE_P_Bu</v>
      </c>
      <c r="I99" s="505"/>
      <c r="J99" s="134"/>
      <c r="K99" s="134"/>
      <c r="L99" s="505"/>
      <c r="M99" s="134"/>
      <c r="N99" s="134"/>
      <c r="O99" s="505"/>
      <c r="P99" s="134"/>
      <c r="Q99" s="134"/>
      <c r="R99" s="505"/>
      <c r="S99" s="134"/>
      <c r="T99" s="134"/>
      <c r="U99" s="505"/>
      <c r="V99" s="134"/>
      <c r="W99" s="134"/>
      <c r="X99" s="505"/>
      <c r="Y99" s="134"/>
      <c r="Z99" s="134"/>
      <c r="AA99" s="505"/>
      <c r="AB99" s="134"/>
      <c r="AC99" s="134"/>
      <c r="AD99" s="505"/>
      <c r="AE99" s="134"/>
      <c r="AF99" s="134"/>
      <c r="AG99" s="505"/>
      <c r="AH99" s="134"/>
      <c r="AI99" s="134"/>
      <c r="AJ99" s="505"/>
      <c r="AK99" s="134"/>
      <c r="AL99" s="134"/>
      <c r="AM99" s="134"/>
      <c r="AN99" s="498" t="e">
        <f t="shared" si="10"/>
        <v>#N/A</v>
      </c>
      <c r="AO99" s="498" t="e">
        <f t="shared" ref="AO99:AO121" si="12">SUM(((VLOOKUP(I99,KBOB,13,FALSE)*J99)/K99),((VLOOKUP(L99,KBOB,13,FALSE)*M99)/N99),((VLOOKUP(O99,KBOB,13,FALSE)*P99)/Q99),((VLOOKUP(R99,KBOB,13,FALSE)*S99)/T99),((VLOOKUP(U99,KBOB,13,FALSE)*V99)/W99),((VLOOKUP(X99,KBOB,13,FALSE)*Y99)/Z99),((VLOOKUP(AA99,KBOB,13,FALSE)*AB99)/AC99),((VLOOKUP(AD99,KBOB,13,FALSE)*AE99)/AF99),((VLOOKUP(AG99,KBOB,13,FALSE)*AH99)/AI99),((VLOOKUP(AJ99,KBOB,13,FALSE)*AK99)/AL99))</f>
        <v>#N/A</v>
      </c>
      <c r="AP99" s="498" t="e">
        <f t="shared" si="11"/>
        <v>#N/A</v>
      </c>
      <c r="AR99" s="498" t="e">
        <f>SUM(((VLOOKUP(I99,KBOB,10,FALSE)*J99)/K99),((VLOOKUP(L99,KBOB,10,FALSE)*M99)/N99),((VLOOKUP(O99,KBOB,10,FALSE)*P99)/Q99),((VLOOKUP(R99,KBOB,10,FALSE)*S99)/T99))</f>
        <v>#N/A</v>
      </c>
      <c r="AS99" s="498" t="e">
        <f>SUM(((VLOOKUP(I99,KBOB,13,FALSE)*J99)/K99),((VLOOKUP(L99,KBOB,13,FALSE)*M99)/N99),((VLOOKUP(O99,KBOB,13,FALSE)*P99)/Q99),((VLOOKUP(R99,KBOB,13,FALSE)*S99)/T99))</f>
        <v>#N/A</v>
      </c>
      <c r="AT99" s="498" t="e">
        <f>SUM(((VLOOKUP(I99,KBOB,4,FALSE)*J99)/K99),((VLOOKUP(L99,KBOB,4,FALSE)*M99)/N99),((VLOOKUP(O99,KBOB,4,FALSE)*P99)/Q99),((VLOOKUP(R99,KBOB,4,FALSE)*S99)/T99))</f>
        <v>#N/A</v>
      </c>
    </row>
    <row r="100" spans="1:46" ht="15.75" thickBot="1">
      <c r="A100" s="1063"/>
      <c r="B100" s="1063"/>
      <c r="C100" s="1063"/>
      <c r="D100" s="524"/>
      <c r="E100" s="524"/>
      <c r="F100" s="524"/>
      <c r="G100" s="136"/>
      <c r="H100" s="538" t="str">
        <f>G100&amp;"_"&amp;$C$96&amp;$B$86</f>
        <v>_MINERGIE_P_Bu</v>
      </c>
      <c r="I100" s="508"/>
      <c r="J100" s="508"/>
      <c r="K100" s="508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  <c r="AA100" s="508"/>
      <c r="AB100" s="508"/>
      <c r="AC100" s="508"/>
      <c r="AD100" s="508"/>
      <c r="AE100" s="508"/>
      <c r="AF100" s="508"/>
      <c r="AG100" s="508"/>
      <c r="AH100" s="508"/>
      <c r="AI100" s="508"/>
      <c r="AJ100" s="508"/>
      <c r="AK100" s="508"/>
      <c r="AL100" s="508"/>
      <c r="AM100" s="508"/>
      <c r="AN100" s="503" t="e">
        <f t="shared" si="10"/>
        <v>#N/A</v>
      </c>
      <c r="AO100" s="503" t="e">
        <f t="shared" si="12"/>
        <v>#N/A</v>
      </c>
      <c r="AP100" s="503" t="e">
        <f t="shared" si="11"/>
        <v>#N/A</v>
      </c>
      <c r="AR100" s="501" t="e">
        <f>SUM(((VLOOKUP(I100,KBOB,10,FALSE)*J100)/K100),((VLOOKUP(L100,KBOB,10,FALSE)*M100)/N100),((VLOOKUP(O100,KBOB,10,FALSE)*P100)/Q100),((VLOOKUP(R100,KBOB,10,FALSE)*S100)/T100))</f>
        <v>#N/A</v>
      </c>
      <c r="AS100" s="501" t="e">
        <f>SUM(((VLOOKUP(I100,KBOB,13,FALSE)*J100)/K100),((VLOOKUP(L100,KBOB,13,FALSE)*M100)/N100),((VLOOKUP(O100,KBOB,13,FALSE)*P100)/Q100),((VLOOKUP(R100,KBOB,13,FALSE)*S100)/T100))</f>
        <v>#N/A</v>
      </c>
      <c r="AT100" s="501" t="e">
        <f>SUM(((VLOOKUP(I100,KBOB,4,FALSE)*J100)/K100),((VLOOKUP(L100,KBOB,4,FALSE)*M100)/N100),((VLOOKUP(O100,KBOB,4,FALSE)*P100)/Q100),((VLOOKUP(R100,KBOB,4,FALSE)*S100)/T100))</f>
        <v>#N/A</v>
      </c>
    </row>
    <row r="101" spans="1:46" ht="30">
      <c r="A101" s="1065" t="s">
        <v>385</v>
      </c>
      <c r="B101" s="1065" t="s">
        <v>400</v>
      </c>
      <c r="C101" s="1065" t="s">
        <v>380</v>
      </c>
      <c r="D101" s="862" t="s">
        <v>1151</v>
      </c>
      <c r="E101" s="862">
        <v>0.17</v>
      </c>
      <c r="F101" s="568">
        <v>3.7999999999999999E-2</v>
      </c>
      <c r="G101" s="872" t="s">
        <v>1163</v>
      </c>
      <c r="H101" s="562" t="str">
        <f>G101&amp;"_"&amp;$C$101&amp;$B$101</f>
        <v>Wärmedämmung, Betonplatte,  Zementüberzug_MuKen_BE</v>
      </c>
      <c r="I101" s="869" t="s">
        <v>104</v>
      </c>
      <c r="J101" s="873">
        <v>55.5</v>
      </c>
      <c r="K101" s="873">
        <v>60</v>
      </c>
      <c r="L101" s="874" t="s">
        <v>35</v>
      </c>
      <c r="M101" s="873">
        <v>596.25</v>
      </c>
      <c r="N101" s="873">
        <v>60</v>
      </c>
      <c r="O101" s="874" t="s">
        <v>137</v>
      </c>
      <c r="P101" s="872">
        <v>20</v>
      </c>
      <c r="Q101" s="872">
        <v>60</v>
      </c>
      <c r="R101" s="874" t="s">
        <v>161</v>
      </c>
      <c r="S101" s="872">
        <v>1</v>
      </c>
      <c r="T101" s="872">
        <v>60</v>
      </c>
      <c r="U101" s="865" t="s">
        <v>217</v>
      </c>
      <c r="V101" s="867">
        <v>4.5999999999999996</v>
      </c>
      <c r="W101" s="867">
        <v>60</v>
      </c>
      <c r="X101" s="868" t="s">
        <v>241</v>
      </c>
      <c r="Y101" s="864">
        <v>5.0999999999999996</v>
      </c>
      <c r="Z101" s="864">
        <v>60</v>
      </c>
      <c r="AA101" s="874" t="s">
        <v>33</v>
      </c>
      <c r="AB101" s="872">
        <v>175.2</v>
      </c>
      <c r="AC101" s="872">
        <v>60</v>
      </c>
      <c r="AD101" s="496" t="s">
        <v>27</v>
      </c>
      <c r="AE101" s="127"/>
      <c r="AF101" s="127">
        <v>1</v>
      </c>
      <c r="AG101" s="496" t="s">
        <v>27</v>
      </c>
      <c r="AH101" s="127"/>
      <c r="AI101" s="127">
        <v>1</v>
      </c>
      <c r="AJ101" s="496" t="s">
        <v>27</v>
      </c>
      <c r="AK101" s="127"/>
      <c r="AL101" s="127">
        <v>1</v>
      </c>
      <c r="AM101" s="127"/>
      <c r="AN101" s="137">
        <f>SUM(((VLOOKUP(I101,KBOB,10,FALSE)*J101)/K101),((VLOOKUP(L101,KBOB,10,FALSE)*M101)/N101),((VLOOKUP(O101,KBOB,10,FALSE)*P101)/Q101),((VLOOKUP(R101,KBOB,10,FALSE)*S101)/T101),((VLOOKUP(U101,KBOB,10,FALSE)*V101)/W101),((VLOOKUP(X101,KBOB,10,FALSE)*Y101)/Z101),((VLOOKUP(AA101,KBOB,10,FALSE)*AB101)/AC101),((VLOOKUP(AD101,KBOB,10,FALSE)*AE101)/AF101),((VLOOKUP(AG101,KBOB,10,FALSE)*AH101)/AI101),((VLOOKUP(AJ101,KBOB,10,FALSE)*AK101)/AL101))</f>
        <v>25.916726399363348</v>
      </c>
      <c r="AO101" s="137">
        <f t="shared" si="12"/>
        <v>2.8264303886145679</v>
      </c>
      <c r="AP101" s="137">
        <f t="shared" si="11"/>
        <v>3116.7501906141665</v>
      </c>
      <c r="AR101" s="1071" t="s">
        <v>1175</v>
      </c>
      <c r="AS101" s="1072"/>
      <c r="AT101" s="1073"/>
    </row>
    <row r="102" spans="1:46" ht="45">
      <c r="A102" s="1065"/>
      <c r="B102" s="1065"/>
      <c r="C102" s="1065"/>
      <c r="D102" s="541" t="s">
        <v>1242</v>
      </c>
      <c r="E102" s="541">
        <v>0.14000000000000001</v>
      </c>
      <c r="F102" s="541">
        <v>3.2000000000000001E-2</v>
      </c>
      <c r="G102" s="129" t="s">
        <v>1243</v>
      </c>
      <c r="H102" s="520" t="str">
        <f>G102&amp;"_"&amp;$C$101&amp;$B$101</f>
        <v>Betondecke, Wärmedämmung, Trittschalldämmung, Unterlagsboden mit Bodenheizung_MuKen_BE</v>
      </c>
      <c r="I102" s="497" t="s">
        <v>104</v>
      </c>
      <c r="J102" s="129">
        <v>148</v>
      </c>
      <c r="K102" s="129">
        <v>30</v>
      </c>
      <c r="L102" s="497" t="s">
        <v>1244</v>
      </c>
      <c r="M102" s="129">
        <v>1</v>
      </c>
      <c r="N102" s="129">
        <v>30</v>
      </c>
      <c r="O102" s="497" t="s">
        <v>215</v>
      </c>
      <c r="P102" s="129">
        <v>0.2</v>
      </c>
      <c r="Q102" s="129">
        <v>30</v>
      </c>
      <c r="R102" s="497" t="s">
        <v>231</v>
      </c>
      <c r="S102" s="129">
        <v>2</v>
      </c>
      <c r="T102" s="129">
        <v>30</v>
      </c>
      <c r="U102" s="497" t="s">
        <v>244</v>
      </c>
      <c r="V102" s="129">
        <v>4.2</v>
      </c>
      <c r="W102" s="129">
        <v>30</v>
      </c>
      <c r="X102" s="497" t="s">
        <v>37</v>
      </c>
      <c r="Y102" s="129">
        <v>428.4</v>
      </c>
      <c r="Z102" s="129">
        <v>60</v>
      </c>
      <c r="AA102" s="497" t="s">
        <v>137</v>
      </c>
      <c r="AB102" s="129">
        <v>14.4</v>
      </c>
      <c r="AC102" s="129">
        <v>60</v>
      </c>
      <c r="AD102" s="497" t="s">
        <v>161</v>
      </c>
      <c r="AE102" s="129">
        <v>1</v>
      </c>
      <c r="AF102" s="129">
        <v>60</v>
      </c>
      <c r="AG102" s="496" t="s">
        <v>27</v>
      </c>
      <c r="AH102" s="127"/>
      <c r="AI102" s="127">
        <v>1</v>
      </c>
      <c r="AJ102" s="496" t="s">
        <v>27</v>
      </c>
      <c r="AK102" s="127"/>
      <c r="AL102" s="127">
        <v>1</v>
      </c>
      <c r="AM102" s="129"/>
      <c r="AN102" s="498">
        <f t="shared" si="10"/>
        <v>36.103086408517463</v>
      </c>
      <c r="AO102" s="498">
        <f t="shared" si="12"/>
        <v>3.2526151497913678</v>
      </c>
      <c r="AP102" s="498">
        <f t="shared" si="11"/>
        <v>3428.6337313335994</v>
      </c>
      <c r="AR102" s="1074"/>
      <c r="AS102" s="1075"/>
      <c r="AT102" s="1076"/>
    </row>
    <row r="103" spans="1:46">
      <c r="A103" s="1065"/>
      <c r="B103" s="1065"/>
      <c r="C103" s="1065"/>
      <c r="D103" s="541"/>
      <c r="E103" s="541"/>
      <c r="F103" s="541"/>
      <c r="G103" s="129"/>
      <c r="H103" s="520" t="str">
        <f>G103&amp;"_"&amp;$C$101&amp;$B$101</f>
        <v>_MuKen_BE</v>
      </c>
      <c r="I103" s="497"/>
      <c r="J103" s="129"/>
      <c r="K103" s="129"/>
      <c r="L103" s="497"/>
      <c r="M103" s="129"/>
      <c r="N103" s="129"/>
      <c r="O103" s="497"/>
      <c r="P103" s="129"/>
      <c r="Q103" s="129"/>
      <c r="R103" s="497"/>
      <c r="S103" s="129"/>
      <c r="T103" s="129"/>
      <c r="U103" s="497"/>
      <c r="V103" s="129"/>
      <c r="W103" s="129"/>
      <c r="X103" s="497"/>
      <c r="Y103" s="129"/>
      <c r="Z103" s="129"/>
      <c r="AA103" s="497"/>
      <c r="AB103" s="129"/>
      <c r="AC103" s="129"/>
      <c r="AD103" s="497"/>
      <c r="AE103" s="129"/>
      <c r="AF103" s="129"/>
      <c r="AG103" s="497"/>
      <c r="AH103" s="129"/>
      <c r="AI103" s="129"/>
      <c r="AJ103" s="497"/>
      <c r="AK103" s="129"/>
      <c r="AL103" s="129"/>
      <c r="AM103" s="129"/>
      <c r="AN103" s="498" t="e">
        <f t="shared" si="10"/>
        <v>#N/A</v>
      </c>
      <c r="AO103" s="498" t="e">
        <f t="shared" si="12"/>
        <v>#N/A</v>
      </c>
      <c r="AP103" s="498" t="e">
        <f t="shared" si="11"/>
        <v>#N/A</v>
      </c>
      <c r="AR103" s="1074"/>
      <c r="AS103" s="1075"/>
      <c r="AT103" s="1076"/>
    </row>
    <row r="104" spans="1:46">
      <c r="A104" s="1065"/>
      <c r="B104" s="1065"/>
      <c r="C104" s="1065"/>
      <c r="D104" s="541"/>
      <c r="E104" s="541"/>
      <c r="F104" s="541"/>
      <c r="G104" s="129"/>
      <c r="H104" s="520" t="str">
        <f>G104&amp;"_"&amp;$C$101&amp;$B$101</f>
        <v>_MuKen_BE</v>
      </c>
      <c r="I104" s="497"/>
      <c r="J104" s="129"/>
      <c r="K104" s="129"/>
      <c r="L104" s="497"/>
      <c r="M104" s="129"/>
      <c r="N104" s="129"/>
      <c r="O104" s="497"/>
      <c r="P104" s="129"/>
      <c r="Q104" s="129"/>
      <c r="R104" s="497"/>
      <c r="S104" s="129"/>
      <c r="T104" s="129"/>
      <c r="U104" s="497"/>
      <c r="V104" s="129"/>
      <c r="W104" s="129"/>
      <c r="X104" s="497"/>
      <c r="Y104" s="129"/>
      <c r="Z104" s="129"/>
      <c r="AA104" s="497"/>
      <c r="AB104" s="129"/>
      <c r="AC104" s="129"/>
      <c r="AD104" s="497"/>
      <c r="AE104" s="129"/>
      <c r="AF104" s="129"/>
      <c r="AG104" s="497"/>
      <c r="AH104" s="129"/>
      <c r="AI104" s="129"/>
      <c r="AJ104" s="497"/>
      <c r="AK104" s="129"/>
      <c r="AL104" s="129"/>
      <c r="AM104" s="129"/>
      <c r="AN104" s="498" t="e">
        <f t="shared" si="10"/>
        <v>#N/A</v>
      </c>
      <c r="AO104" s="498" t="e">
        <f t="shared" si="12"/>
        <v>#N/A</v>
      </c>
      <c r="AP104" s="498" t="e">
        <f t="shared" si="11"/>
        <v>#N/A</v>
      </c>
      <c r="AR104" s="1074"/>
      <c r="AS104" s="1075"/>
      <c r="AT104" s="1076"/>
    </row>
    <row r="105" spans="1:46">
      <c r="A105" s="1065"/>
      <c r="B105" s="1065"/>
      <c r="C105" s="1065"/>
      <c r="D105" s="543"/>
      <c r="E105" s="569"/>
      <c r="F105" s="569"/>
      <c r="G105" s="130"/>
      <c r="H105" s="563" t="str">
        <f>G105&amp;"_"&amp;$C$101&amp;$B$101</f>
        <v>_MuKen_BE</v>
      </c>
      <c r="I105" s="499"/>
      <c r="J105" s="500"/>
      <c r="K105" s="500"/>
      <c r="L105" s="499"/>
      <c r="M105" s="500"/>
      <c r="N105" s="500"/>
      <c r="O105" s="499"/>
      <c r="P105" s="500"/>
      <c r="Q105" s="500"/>
      <c r="R105" s="499"/>
      <c r="S105" s="500"/>
      <c r="T105" s="500"/>
      <c r="U105" s="499"/>
      <c r="V105" s="500"/>
      <c r="W105" s="500"/>
      <c r="X105" s="499"/>
      <c r="Y105" s="500"/>
      <c r="Z105" s="500"/>
      <c r="AA105" s="499"/>
      <c r="AB105" s="500"/>
      <c r="AC105" s="500"/>
      <c r="AD105" s="499"/>
      <c r="AE105" s="500"/>
      <c r="AF105" s="500"/>
      <c r="AG105" s="499"/>
      <c r="AH105" s="500"/>
      <c r="AI105" s="500"/>
      <c r="AJ105" s="499"/>
      <c r="AK105" s="500"/>
      <c r="AL105" s="500"/>
      <c r="AM105" s="500"/>
      <c r="AN105" s="501" t="e">
        <f t="shared" ref="AN105:AN115" si="13">SUM(((VLOOKUP(I105,KBOB,10,FALSE)*J105)/K105),((VLOOKUP(L105,KBOB,10,FALSE)*M105)/N105),((VLOOKUP(O105,KBOB,10,FALSE)*P105)/Q105),((VLOOKUP(R105,KBOB,10,FALSE)*S105)/T105),((VLOOKUP(U105,KBOB,10,FALSE)*V105)/W105),((VLOOKUP(X105,KBOB,10,FALSE)*Y105)/Z105),((VLOOKUP(AA105,KBOB,10,FALSE)*AB105)/AC105),((VLOOKUP(AD105,KBOB,10,FALSE)*AE105)/AF105),((VLOOKUP(AG105,KBOB,10,FALSE)*AH105)/AI105),((VLOOKUP(AJ105,KBOB,10,FALSE)*AK105)/AL105))</f>
        <v>#N/A</v>
      </c>
      <c r="AO105" s="501" t="e">
        <f t="shared" si="12"/>
        <v>#N/A</v>
      </c>
      <c r="AP105" s="501" t="e">
        <f t="shared" ref="AP105:AP121" si="14">SUM(((VLOOKUP(I105,KBOB,4,FALSE)*J105)/K105),((VLOOKUP(L105,KBOB,4,FALSE)*M105)/N105),((VLOOKUP(O105,KBOB,4,FALSE)*P105)/Q105),((VLOOKUP(R105,KBOB,4,FALSE)*S105)/T105),((VLOOKUP(U105,KBOB,4,FALSE)*V105)/W105),((VLOOKUP(X105,KBOB,4,FALSE)*Y105)/Z105),((VLOOKUP(AA105,KBOB,4,FALSE)*AB105)/AC105),((VLOOKUP(AD105,KBOB,4,FALSE)*AE105)/AF105),((VLOOKUP(AG105,KBOB,4,FALSE)*AH105)/AI105),((VLOOKUP(AJ105,KBOB,4,FALSE)*AK105)/AL105))</f>
        <v>#N/A</v>
      </c>
      <c r="AR105" s="1074"/>
      <c r="AS105" s="1075"/>
      <c r="AT105" s="1076"/>
    </row>
    <row r="106" spans="1:46" ht="30">
      <c r="A106" s="1065"/>
      <c r="B106" s="1065"/>
      <c r="C106" s="1065" t="s">
        <v>381</v>
      </c>
      <c r="D106" s="846" t="s">
        <v>1151</v>
      </c>
      <c r="E106" s="846">
        <v>0.23</v>
      </c>
      <c r="F106" s="540">
        <v>3.7999999999999999E-2</v>
      </c>
      <c r="G106" s="872" t="s">
        <v>1163</v>
      </c>
      <c r="H106" s="517" t="str">
        <f>G106&amp;"_"&amp;$C$106&amp;$B$101</f>
        <v>Wärmedämmung, Betonplatte,  Zementüberzug_MINERGIE_BE</v>
      </c>
      <c r="I106" s="869" t="s">
        <v>104</v>
      </c>
      <c r="J106" s="873">
        <v>55.5</v>
      </c>
      <c r="K106" s="873">
        <v>60</v>
      </c>
      <c r="L106" s="874" t="s">
        <v>35</v>
      </c>
      <c r="M106" s="873">
        <v>596.25</v>
      </c>
      <c r="N106" s="873">
        <v>60</v>
      </c>
      <c r="O106" s="874" t="s">
        <v>137</v>
      </c>
      <c r="P106" s="872">
        <v>20</v>
      </c>
      <c r="Q106" s="872">
        <v>60</v>
      </c>
      <c r="R106" s="874" t="s">
        <v>161</v>
      </c>
      <c r="S106" s="872">
        <v>1</v>
      </c>
      <c r="T106" s="872">
        <v>60</v>
      </c>
      <c r="U106" s="865" t="s">
        <v>217</v>
      </c>
      <c r="V106" s="867">
        <v>4.5999999999999996</v>
      </c>
      <c r="W106" s="867">
        <v>60</v>
      </c>
      <c r="X106" s="868" t="s">
        <v>241</v>
      </c>
      <c r="Y106" s="864">
        <v>6.9</v>
      </c>
      <c r="Z106" s="864">
        <v>60</v>
      </c>
      <c r="AA106" s="874" t="s">
        <v>33</v>
      </c>
      <c r="AB106" s="872">
        <v>175.2</v>
      </c>
      <c r="AC106" s="872">
        <v>60</v>
      </c>
      <c r="AD106" s="496" t="s">
        <v>27</v>
      </c>
      <c r="AE106" s="127"/>
      <c r="AF106" s="127">
        <v>1</v>
      </c>
      <c r="AG106" s="496" t="s">
        <v>27</v>
      </c>
      <c r="AH106" s="127"/>
      <c r="AI106" s="127">
        <v>1</v>
      </c>
      <c r="AJ106" s="496" t="s">
        <v>27</v>
      </c>
      <c r="AK106" s="127"/>
      <c r="AL106" s="127">
        <v>1</v>
      </c>
      <c r="AM106" s="127"/>
      <c r="AN106" s="137">
        <f t="shared" si="13"/>
        <v>28.90315183508995</v>
      </c>
      <c r="AO106" s="137">
        <f t="shared" si="12"/>
        <v>3.2545003886145678</v>
      </c>
      <c r="AP106" s="137">
        <f t="shared" si="14"/>
        <v>3371.4501906141663</v>
      </c>
      <c r="AR106" s="1074"/>
      <c r="AS106" s="1075"/>
      <c r="AT106" s="1076"/>
    </row>
    <row r="107" spans="1:46" ht="45">
      <c r="A107" s="1065"/>
      <c r="B107" s="1065"/>
      <c r="C107" s="1065"/>
      <c r="D107" s="541" t="s">
        <v>1242</v>
      </c>
      <c r="E107" s="541">
        <v>0.19</v>
      </c>
      <c r="F107" s="541">
        <v>3.2000000000000001E-2</v>
      </c>
      <c r="G107" s="129" t="s">
        <v>1243</v>
      </c>
      <c r="H107" s="520" t="str">
        <f>G107&amp;"_"&amp;$C$106&amp;$B$101</f>
        <v>Betondecke, Wärmedämmung, Trittschalldämmung, Unterlagsboden mit Bodenheizung_MINERGIE_BE</v>
      </c>
      <c r="I107" s="497" t="s">
        <v>104</v>
      </c>
      <c r="J107" s="129">
        <v>148</v>
      </c>
      <c r="K107" s="129">
        <v>30</v>
      </c>
      <c r="L107" s="497" t="s">
        <v>1244</v>
      </c>
      <c r="M107" s="129">
        <v>1</v>
      </c>
      <c r="N107" s="129">
        <v>30</v>
      </c>
      <c r="O107" s="497" t="s">
        <v>215</v>
      </c>
      <c r="P107" s="129">
        <v>0.2</v>
      </c>
      <c r="Q107" s="129">
        <v>30</v>
      </c>
      <c r="R107" s="497" t="s">
        <v>231</v>
      </c>
      <c r="S107" s="129">
        <v>2</v>
      </c>
      <c r="T107" s="129">
        <v>30</v>
      </c>
      <c r="U107" s="497" t="s">
        <v>244</v>
      </c>
      <c r="V107" s="129">
        <v>5.7</v>
      </c>
      <c r="W107" s="129">
        <v>30</v>
      </c>
      <c r="X107" s="497" t="s">
        <v>37</v>
      </c>
      <c r="Y107" s="129">
        <v>428.4</v>
      </c>
      <c r="Z107" s="129">
        <v>60</v>
      </c>
      <c r="AA107" s="497" t="s">
        <v>137</v>
      </c>
      <c r="AB107" s="129">
        <v>14.4</v>
      </c>
      <c r="AC107" s="129">
        <v>60</v>
      </c>
      <c r="AD107" s="497" t="s">
        <v>161</v>
      </c>
      <c r="AE107" s="129">
        <v>1</v>
      </c>
      <c r="AF107" s="129">
        <v>60</v>
      </c>
      <c r="AG107" s="496" t="s">
        <v>27</v>
      </c>
      <c r="AH107" s="127"/>
      <c r="AI107" s="127">
        <v>1</v>
      </c>
      <c r="AJ107" s="496" t="s">
        <v>27</v>
      </c>
      <c r="AK107" s="127"/>
      <c r="AL107" s="127">
        <v>1</v>
      </c>
      <c r="AM107" s="129"/>
      <c r="AN107" s="498">
        <f t="shared" si="13"/>
        <v>41.170040692172464</v>
      </c>
      <c r="AO107" s="498">
        <f t="shared" si="12"/>
        <v>3.5920051497913676</v>
      </c>
      <c r="AP107" s="498">
        <f t="shared" si="14"/>
        <v>3733.6337313336003</v>
      </c>
      <c r="AR107" s="1074"/>
      <c r="AS107" s="1075"/>
      <c r="AT107" s="1076"/>
    </row>
    <row r="108" spans="1:46">
      <c r="A108" s="1065"/>
      <c r="B108" s="1065"/>
      <c r="C108" s="1065"/>
      <c r="D108" s="541"/>
      <c r="E108" s="541"/>
      <c r="F108" s="541"/>
      <c r="G108" s="129"/>
      <c r="H108" s="520" t="str">
        <f>G108&amp;"_"&amp;$C$106&amp;$B$101</f>
        <v>_MINERGIE_BE</v>
      </c>
      <c r="I108" s="497"/>
      <c r="J108" s="129"/>
      <c r="K108" s="129"/>
      <c r="L108" s="497"/>
      <c r="M108" s="129"/>
      <c r="N108" s="129"/>
      <c r="O108" s="497"/>
      <c r="P108" s="129"/>
      <c r="Q108" s="129"/>
      <c r="R108" s="497"/>
      <c r="S108" s="129"/>
      <c r="T108" s="129"/>
      <c r="U108" s="497"/>
      <c r="V108" s="129"/>
      <c r="W108" s="129"/>
      <c r="X108" s="497"/>
      <c r="Y108" s="129"/>
      <c r="Z108" s="129"/>
      <c r="AA108" s="497"/>
      <c r="AB108" s="129"/>
      <c r="AC108" s="129"/>
      <c r="AD108" s="497"/>
      <c r="AE108" s="129"/>
      <c r="AF108" s="129"/>
      <c r="AG108" s="497"/>
      <c r="AH108" s="129"/>
      <c r="AI108" s="129"/>
      <c r="AJ108" s="497"/>
      <c r="AK108" s="129"/>
      <c r="AL108" s="129"/>
      <c r="AM108" s="129"/>
      <c r="AN108" s="498" t="e">
        <f t="shared" si="13"/>
        <v>#N/A</v>
      </c>
      <c r="AO108" s="498" t="e">
        <f t="shared" si="12"/>
        <v>#N/A</v>
      </c>
      <c r="AP108" s="498" t="e">
        <f t="shared" si="14"/>
        <v>#N/A</v>
      </c>
      <c r="AR108" s="1074"/>
      <c r="AS108" s="1075"/>
      <c r="AT108" s="1076"/>
    </row>
    <row r="109" spans="1:46">
      <c r="A109" s="1065"/>
      <c r="B109" s="1065"/>
      <c r="C109" s="1065"/>
      <c r="D109" s="541"/>
      <c r="E109" s="541"/>
      <c r="F109" s="541"/>
      <c r="G109" s="129"/>
      <c r="H109" s="520" t="str">
        <f>G109&amp;"_"&amp;$C$106&amp;$B$101</f>
        <v>_MINERGIE_BE</v>
      </c>
      <c r="I109" s="497"/>
      <c r="J109" s="129"/>
      <c r="K109" s="129"/>
      <c r="L109" s="497"/>
      <c r="M109" s="129"/>
      <c r="N109" s="129"/>
      <c r="O109" s="497"/>
      <c r="P109" s="129"/>
      <c r="Q109" s="129"/>
      <c r="R109" s="497"/>
      <c r="S109" s="129"/>
      <c r="T109" s="129"/>
      <c r="U109" s="497"/>
      <c r="V109" s="129"/>
      <c r="W109" s="129"/>
      <c r="X109" s="497"/>
      <c r="Y109" s="129"/>
      <c r="Z109" s="129"/>
      <c r="AA109" s="497"/>
      <c r="AB109" s="129"/>
      <c r="AC109" s="129"/>
      <c r="AD109" s="497"/>
      <c r="AE109" s="129"/>
      <c r="AF109" s="129"/>
      <c r="AG109" s="497"/>
      <c r="AH109" s="129"/>
      <c r="AI109" s="129"/>
      <c r="AJ109" s="497"/>
      <c r="AK109" s="129"/>
      <c r="AL109" s="129"/>
      <c r="AM109" s="129"/>
      <c r="AN109" s="498" t="e">
        <f t="shared" si="13"/>
        <v>#N/A</v>
      </c>
      <c r="AO109" s="498" t="e">
        <f t="shared" si="12"/>
        <v>#N/A</v>
      </c>
      <c r="AP109" s="498" t="e">
        <f t="shared" si="14"/>
        <v>#N/A</v>
      </c>
      <c r="AR109" s="1074"/>
      <c r="AS109" s="1075"/>
      <c r="AT109" s="1076"/>
    </row>
    <row r="110" spans="1:46">
      <c r="A110" s="1065"/>
      <c r="B110" s="1065"/>
      <c r="C110" s="1065"/>
      <c r="D110" s="543"/>
      <c r="E110" s="569"/>
      <c r="F110" s="569"/>
      <c r="G110" s="130"/>
      <c r="H110" s="563" t="str">
        <f>G110&amp;"_"&amp;$C$106&amp;$B$101</f>
        <v>_MINERGIE_BE</v>
      </c>
      <c r="I110" s="499"/>
      <c r="J110" s="500"/>
      <c r="K110" s="500"/>
      <c r="L110" s="499"/>
      <c r="M110" s="500"/>
      <c r="N110" s="500"/>
      <c r="O110" s="499"/>
      <c r="P110" s="500"/>
      <c r="Q110" s="500"/>
      <c r="R110" s="499"/>
      <c r="S110" s="500"/>
      <c r="T110" s="500"/>
      <c r="U110" s="499"/>
      <c r="V110" s="500"/>
      <c r="W110" s="500"/>
      <c r="X110" s="499"/>
      <c r="Y110" s="500"/>
      <c r="Z110" s="500"/>
      <c r="AA110" s="499"/>
      <c r="AB110" s="500"/>
      <c r="AC110" s="500"/>
      <c r="AD110" s="499"/>
      <c r="AE110" s="500"/>
      <c r="AF110" s="500"/>
      <c r="AG110" s="499"/>
      <c r="AH110" s="500"/>
      <c r="AI110" s="500"/>
      <c r="AJ110" s="499"/>
      <c r="AK110" s="500"/>
      <c r="AL110" s="500"/>
      <c r="AM110" s="500"/>
      <c r="AN110" s="501" t="e">
        <f t="shared" si="13"/>
        <v>#N/A</v>
      </c>
      <c r="AO110" s="501" t="e">
        <f t="shared" si="12"/>
        <v>#N/A</v>
      </c>
      <c r="AP110" s="501" t="e">
        <f t="shared" si="14"/>
        <v>#N/A</v>
      </c>
      <c r="AR110" s="1074"/>
      <c r="AS110" s="1075"/>
      <c r="AT110" s="1076"/>
    </row>
    <row r="111" spans="1:46" ht="30">
      <c r="A111" s="1065"/>
      <c r="B111" s="1065"/>
      <c r="C111" s="1065" t="s">
        <v>401</v>
      </c>
      <c r="D111" s="846" t="s">
        <v>1151</v>
      </c>
      <c r="E111" s="846">
        <v>0.35</v>
      </c>
      <c r="F111" s="570">
        <v>3.7999999999999999E-2</v>
      </c>
      <c r="G111" s="872" t="s">
        <v>1163</v>
      </c>
      <c r="H111" s="517" t="str">
        <f>G111&amp;"_"&amp;$C$111&amp;$B$101</f>
        <v>Wärmedämmung, Betonplatte,  Zementüberzug_MINERGIE_P_BE</v>
      </c>
      <c r="I111" s="869" t="s">
        <v>104</v>
      </c>
      <c r="J111" s="873">
        <v>55.5</v>
      </c>
      <c r="K111" s="873">
        <v>60</v>
      </c>
      <c r="L111" s="874" t="s">
        <v>35</v>
      </c>
      <c r="M111" s="873">
        <v>596.25</v>
      </c>
      <c r="N111" s="873">
        <v>60</v>
      </c>
      <c r="O111" s="874" t="s">
        <v>137</v>
      </c>
      <c r="P111" s="872">
        <v>20</v>
      </c>
      <c r="Q111" s="872">
        <v>60</v>
      </c>
      <c r="R111" s="874" t="s">
        <v>161</v>
      </c>
      <c r="S111" s="872">
        <v>1</v>
      </c>
      <c r="T111" s="872">
        <v>60</v>
      </c>
      <c r="U111" s="865" t="s">
        <v>217</v>
      </c>
      <c r="V111" s="867">
        <v>4.5999999999999996</v>
      </c>
      <c r="W111" s="867">
        <v>60</v>
      </c>
      <c r="X111" s="868" t="s">
        <v>241</v>
      </c>
      <c r="Y111" s="864">
        <v>10.5</v>
      </c>
      <c r="Z111" s="864">
        <v>60</v>
      </c>
      <c r="AA111" s="874" t="s">
        <v>33</v>
      </c>
      <c r="AB111" s="872">
        <v>175.2</v>
      </c>
      <c r="AC111" s="872">
        <v>60</v>
      </c>
      <c r="AD111" s="496" t="s">
        <v>27</v>
      </c>
      <c r="AE111" s="517"/>
      <c r="AF111" s="517">
        <v>1</v>
      </c>
      <c r="AG111" s="496" t="s">
        <v>27</v>
      </c>
      <c r="AH111" s="517"/>
      <c r="AI111" s="517">
        <v>1</v>
      </c>
      <c r="AJ111" s="496" t="s">
        <v>27</v>
      </c>
      <c r="AK111" s="517"/>
      <c r="AL111" s="517">
        <v>1</v>
      </c>
      <c r="AM111" s="127"/>
      <c r="AN111" s="495">
        <f t="shared" si="13"/>
        <v>34.876002706543154</v>
      </c>
      <c r="AO111" s="495">
        <f t="shared" si="12"/>
        <v>4.1106403886145682</v>
      </c>
      <c r="AP111" s="495">
        <f t="shared" si="14"/>
        <v>3880.8501906141664</v>
      </c>
      <c r="AR111" s="1074"/>
      <c r="AS111" s="1075"/>
      <c r="AT111" s="1076"/>
    </row>
    <row r="112" spans="1:46" ht="45">
      <c r="A112" s="1065"/>
      <c r="B112" s="1065"/>
      <c r="C112" s="1065"/>
      <c r="D112" s="541" t="s">
        <v>1242</v>
      </c>
      <c r="E112" s="541">
        <v>0.28999999999999998</v>
      </c>
      <c r="F112" s="541">
        <v>3.2000000000000001E-2</v>
      </c>
      <c r="G112" s="129" t="s">
        <v>1243</v>
      </c>
      <c r="H112" s="520" t="str">
        <f>G112&amp;"_"&amp;$C$111&amp;$B$101</f>
        <v>Betondecke, Wärmedämmung, Trittschalldämmung, Unterlagsboden mit Bodenheizung_MINERGIE_P_BE</v>
      </c>
      <c r="I112" s="497" t="s">
        <v>104</v>
      </c>
      <c r="J112" s="129">
        <v>148</v>
      </c>
      <c r="K112" s="129">
        <v>30</v>
      </c>
      <c r="L112" s="497" t="s">
        <v>1244</v>
      </c>
      <c r="M112" s="129">
        <v>1</v>
      </c>
      <c r="N112" s="129">
        <v>30</v>
      </c>
      <c r="O112" s="497" t="s">
        <v>215</v>
      </c>
      <c r="P112" s="129">
        <v>0.2</v>
      </c>
      <c r="Q112" s="129">
        <v>30</v>
      </c>
      <c r="R112" s="497" t="s">
        <v>231</v>
      </c>
      <c r="S112" s="129">
        <v>2</v>
      </c>
      <c r="T112" s="129">
        <v>30</v>
      </c>
      <c r="U112" s="497" t="s">
        <v>244</v>
      </c>
      <c r="V112" s="129">
        <v>8.6999999999999993</v>
      </c>
      <c r="W112" s="129">
        <v>30</v>
      </c>
      <c r="X112" s="497" t="s">
        <v>37</v>
      </c>
      <c r="Y112" s="129">
        <v>428.4</v>
      </c>
      <c r="Z112" s="129">
        <v>60</v>
      </c>
      <c r="AA112" s="497" t="s">
        <v>137</v>
      </c>
      <c r="AB112" s="129">
        <v>14.4</v>
      </c>
      <c r="AC112" s="129">
        <v>60</v>
      </c>
      <c r="AD112" s="497" t="s">
        <v>161</v>
      </c>
      <c r="AE112" s="129">
        <v>1</v>
      </c>
      <c r="AF112" s="129">
        <v>60</v>
      </c>
      <c r="AG112" s="496" t="s">
        <v>27</v>
      </c>
      <c r="AH112" s="127"/>
      <c r="AI112" s="127">
        <v>1</v>
      </c>
      <c r="AJ112" s="496" t="s">
        <v>27</v>
      </c>
      <c r="AK112" s="127"/>
      <c r="AL112" s="127">
        <v>1</v>
      </c>
      <c r="AM112" s="129"/>
      <c r="AN112" s="498">
        <f t="shared" si="13"/>
        <v>51.303949259482458</v>
      </c>
      <c r="AO112" s="498">
        <f t="shared" si="12"/>
        <v>4.2707851497913678</v>
      </c>
      <c r="AP112" s="498">
        <f t="shared" si="14"/>
        <v>4343.6337313335998</v>
      </c>
      <c r="AR112" s="1074"/>
      <c r="AS112" s="1075"/>
      <c r="AT112" s="1076"/>
    </row>
    <row r="113" spans="1:46">
      <c r="A113" s="1065"/>
      <c r="B113" s="1065"/>
      <c r="C113" s="1065"/>
      <c r="D113" s="571"/>
      <c r="E113" s="541"/>
      <c r="F113" s="572"/>
      <c r="G113" s="129"/>
      <c r="H113" s="520" t="str">
        <f>G113&amp;"_"&amp;$C$111&amp;$B$101</f>
        <v>_MINERGIE_P_BE</v>
      </c>
      <c r="I113" s="497"/>
      <c r="J113" s="129"/>
      <c r="K113" s="129"/>
      <c r="L113" s="497"/>
      <c r="M113" s="129"/>
      <c r="N113" s="129"/>
      <c r="O113" s="497"/>
      <c r="P113" s="129"/>
      <c r="Q113" s="129"/>
      <c r="R113" s="497"/>
      <c r="S113" s="129"/>
      <c r="T113" s="129"/>
      <c r="U113" s="497"/>
      <c r="V113" s="129"/>
      <c r="W113" s="129"/>
      <c r="X113" s="497"/>
      <c r="Y113" s="129"/>
      <c r="Z113" s="129"/>
      <c r="AA113" s="497"/>
      <c r="AB113" s="129"/>
      <c r="AC113" s="129"/>
      <c r="AD113" s="497"/>
      <c r="AE113" s="129"/>
      <c r="AF113" s="129"/>
      <c r="AG113" s="497"/>
      <c r="AH113" s="129"/>
      <c r="AI113" s="129"/>
      <c r="AJ113" s="497"/>
      <c r="AK113" s="129"/>
      <c r="AL113" s="129"/>
      <c r="AM113" s="129"/>
      <c r="AN113" s="498" t="e">
        <f t="shared" si="13"/>
        <v>#N/A</v>
      </c>
      <c r="AO113" s="498" t="e">
        <f t="shared" si="12"/>
        <v>#N/A</v>
      </c>
      <c r="AP113" s="498" t="e">
        <f t="shared" si="14"/>
        <v>#N/A</v>
      </c>
      <c r="AR113" s="1074"/>
      <c r="AS113" s="1075"/>
      <c r="AT113" s="1076"/>
    </row>
    <row r="114" spans="1:46">
      <c r="A114" s="1065"/>
      <c r="B114" s="1065"/>
      <c r="C114" s="1065"/>
      <c r="D114" s="571"/>
      <c r="E114" s="541"/>
      <c r="F114" s="572"/>
      <c r="G114" s="129"/>
      <c r="H114" s="520" t="str">
        <f>G114&amp;"_"&amp;$C$111&amp;$B$101</f>
        <v>_MINERGIE_P_BE</v>
      </c>
      <c r="I114" s="497"/>
      <c r="J114" s="129"/>
      <c r="K114" s="129"/>
      <c r="L114" s="497"/>
      <c r="M114" s="129"/>
      <c r="N114" s="129"/>
      <c r="O114" s="497"/>
      <c r="P114" s="129"/>
      <c r="Q114" s="129"/>
      <c r="R114" s="497"/>
      <c r="S114" s="129"/>
      <c r="T114" s="129"/>
      <c r="U114" s="497"/>
      <c r="V114" s="129"/>
      <c r="W114" s="129"/>
      <c r="X114" s="497"/>
      <c r="Y114" s="129"/>
      <c r="Z114" s="129"/>
      <c r="AA114" s="497"/>
      <c r="AB114" s="129"/>
      <c r="AC114" s="129"/>
      <c r="AD114" s="497"/>
      <c r="AE114" s="129"/>
      <c r="AF114" s="129"/>
      <c r="AG114" s="497"/>
      <c r="AH114" s="129"/>
      <c r="AI114" s="129"/>
      <c r="AJ114" s="497"/>
      <c r="AK114" s="129"/>
      <c r="AL114" s="129"/>
      <c r="AM114" s="129"/>
      <c r="AN114" s="498" t="e">
        <f t="shared" si="13"/>
        <v>#N/A</v>
      </c>
      <c r="AO114" s="498" t="e">
        <f t="shared" si="12"/>
        <v>#N/A</v>
      </c>
      <c r="AP114" s="498" t="e">
        <f t="shared" si="14"/>
        <v>#N/A</v>
      </c>
      <c r="AR114" s="1074"/>
      <c r="AS114" s="1075"/>
      <c r="AT114" s="1076"/>
    </row>
    <row r="115" spans="1:46" ht="15.75" thickBot="1">
      <c r="A115" s="1066"/>
      <c r="B115" s="1066"/>
      <c r="C115" s="1066"/>
      <c r="D115" s="573"/>
      <c r="E115" s="543"/>
      <c r="F115" s="574"/>
      <c r="G115" s="131"/>
      <c r="H115" s="561" t="str">
        <f>G115&amp;"_"&amp;$C$111&amp;$B$101</f>
        <v>_MINERGIE_P_BE</v>
      </c>
      <c r="I115" s="502"/>
      <c r="J115" s="502"/>
      <c r="K115" s="502"/>
      <c r="L115" s="502"/>
      <c r="M115" s="502"/>
      <c r="N115" s="502"/>
      <c r="O115" s="502"/>
      <c r="P115" s="502"/>
      <c r="Q115" s="502"/>
      <c r="R115" s="502"/>
      <c r="S115" s="502"/>
      <c r="T115" s="502"/>
      <c r="U115" s="502"/>
      <c r="V115" s="502"/>
      <c r="W115" s="502"/>
      <c r="X115" s="502"/>
      <c r="Y115" s="502"/>
      <c r="Z115" s="502"/>
      <c r="AA115" s="502"/>
      <c r="AB115" s="502"/>
      <c r="AC115" s="502"/>
      <c r="AD115" s="502"/>
      <c r="AE115" s="502"/>
      <c r="AF115" s="502"/>
      <c r="AG115" s="502"/>
      <c r="AH115" s="502"/>
      <c r="AI115" s="502"/>
      <c r="AJ115" s="502"/>
      <c r="AK115" s="502"/>
      <c r="AL115" s="502"/>
      <c r="AM115" s="502"/>
      <c r="AN115" s="503" t="e">
        <f t="shared" si="13"/>
        <v>#N/A</v>
      </c>
      <c r="AO115" s="503" t="e">
        <f t="shared" si="12"/>
        <v>#N/A</v>
      </c>
      <c r="AP115" s="503" t="e">
        <f t="shared" si="14"/>
        <v>#N/A</v>
      </c>
      <c r="AR115" s="1077"/>
      <c r="AS115" s="1078"/>
      <c r="AT115" s="1079"/>
    </row>
    <row r="116" spans="1:46" ht="25.5">
      <c r="A116" s="1061" t="s">
        <v>1138</v>
      </c>
      <c r="B116" s="1061" t="s">
        <v>1152</v>
      </c>
      <c r="C116" s="1061" t="s">
        <v>380</v>
      </c>
      <c r="D116" s="525" t="s">
        <v>1156</v>
      </c>
      <c r="E116" s="522"/>
      <c r="F116" s="522"/>
      <c r="G116" s="133" t="s">
        <v>1157</v>
      </c>
      <c r="H116" s="890" t="str">
        <f>G116&amp;"_"&amp;$C$116&amp;$B$116</f>
        <v>Kunststofffenster 3IV_MuKen_Fe</v>
      </c>
      <c r="I116" s="504" t="s">
        <v>1153</v>
      </c>
      <c r="J116" s="967">
        <v>0.15</v>
      </c>
      <c r="K116" s="133">
        <v>30</v>
      </c>
      <c r="L116" s="544" t="s">
        <v>1160</v>
      </c>
      <c r="M116" s="133">
        <v>0.85</v>
      </c>
      <c r="N116" s="133">
        <v>30</v>
      </c>
      <c r="O116" s="840" t="s">
        <v>27</v>
      </c>
      <c r="P116" s="559"/>
      <c r="Q116" s="559">
        <v>1</v>
      </c>
      <c r="R116" s="840" t="s">
        <v>27</v>
      </c>
      <c r="S116" s="559"/>
      <c r="T116" s="559">
        <v>1</v>
      </c>
      <c r="U116" s="840" t="s">
        <v>27</v>
      </c>
      <c r="V116" s="559"/>
      <c r="W116" s="559">
        <v>1</v>
      </c>
      <c r="X116" s="840" t="s">
        <v>27</v>
      </c>
      <c r="Y116" s="559"/>
      <c r="Z116" s="559">
        <v>1</v>
      </c>
      <c r="AA116" s="840" t="s">
        <v>27</v>
      </c>
      <c r="AB116" s="559"/>
      <c r="AC116" s="559">
        <v>1</v>
      </c>
      <c r="AD116" s="840" t="s">
        <v>27</v>
      </c>
      <c r="AE116" s="559"/>
      <c r="AF116" s="559">
        <v>1</v>
      </c>
      <c r="AG116" s="840" t="s">
        <v>27</v>
      </c>
      <c r="AH116" s="559"/>
      <c r="AI116" s="559">
        <v>1</v>
      </c>
      <c r="AJ116" s="840" t="s">
        <v>27</v>
      </c>
      <c r="AK116" s="559"/>
      <c r="AL116" s="559">
        <v>1</v>
      </c>
      <c r="AM116" s="559"/>
      <c r="AN116" s="495">
        <f t="shared" ref="AN116:AN124" si="15">SUM(((VLOOKUP(I116,KBOB,10,FALSE)*J116)/K116),((VLOOKUP(L116,KBOB,10,FALSE)*M116)/N116),((VLOOKUP(O116,KBOB,10,FALSE)*P116)/Q116),((VLOOKUP(R116,KBOB,10,FALSE)*S116)/T116),((VLOOKUP(U116,KBOB,10,FALSE)*V116)/W116),((VLOOKUP(X116,KBOB,10,FALSE)*Y116)/Z116),((VLOOKUP(AA116,KBOB,10,FALSE)*AB116)/AC116),((VLOOKUP(AD116,KBOB,10,FALSE)*AE116)/AF116),((VLOOKUP(AG116,KBOB,10,FALSE)*AH116)/AI116),((VLOOKUP(AJ116,KBOB,10,FALSE)*AK116)/AL116))</f>
        <v>56.414454618811661</v>
      </c>
      <c r="AO116" s="495">
        <f t="shared" si="12"/>
        <v>3.5752811666666666</v>
      </c>
      <c r="AP116" s="495">
        <f t="shared" si="14"/>
        <v>4162</v>
      </c>
      <c r="AR116" s="936">
        <f t="shared" ref="AR116:AR124" si="16">SUM(((VLOOKUP(I116,KBOB,10,FALSE)*J116)/K116),((VLOOKUP(L116,KBOB,10,FALSE)*M116)/N116),((VLOOKUP(O116,KBOB,10,FALSE)*P116)/Q116),((VLOOKUP(R116,KBOB,10,FALSE)*S116)/T116),((VLOOKUP(U116,KBOB,10,FALSE)*V116)/W116),((VLOOKUP(X116,KBOB,10,FALSE)*Y116)/Z116),((VLOOKUP(AA116,KBOB,10,FALSE)*AB116)/AC116),((VLOOKUP(AD116,KBOB,10,FALSE)*AE116)/AF116),((VLOOKUP(AG116,KBOB,10,FALSE)*AH116)/AI116),((VLOOKUP(AJ116,KBOB,10,FALSE)*AK116)/AL116))</f>
        <v>56.414454618811661</v>
      </c>
      <c r="AS116" s="936">
        <f t="shared" ref="AS116:AS124" si="17">SUM(((VLOOKUP(I116,KBOB,13,FALSE)*J116)/K116),((VLOOKUP(L116,KBOB,13,FALSE)*M116)/N116),((VLOOKUP(O116,KBOB,13,FALSE)*P116)/Q116),((VLOOKUP(R116,KBOB,13,FALSE)*S116)/T116),((VLOOKUP(U116,KBOB,13,FALSE)*V116)/W116),((VLOOKUP(X116,KBOB,13,FALSE)*Y116)/Z116),((VLOOKUP(AA116,KBOB,13,FALSE)*AB116)/AC116),((VLOOKUP(AD116,KBOB,13,FALSE)*AE116)/AF116),((VLOOKUP(AG116,KBOB,13,FALSE)*AH116)/AI116),((VLOOKUP(AJ116,KBOB,13,FALSE)*AK116)/AL116))</f>
        <v>3.5752811666666666</v>
      </c>
      <c r="AT116" s="936">
        <f t="shared" ref="AT116:AT124" si="18">SUM(((VLOOKUP(I116,KBOB,4,FALSE)*J116)/K116),((VLOOKUP(L116,KBOB,4,FALSE)*M116)/N116),((VLOOKUP(O116,KBOB,4,FALSE)*P116)/Q116),((VLOOKUP(R116,KBOB,4,FALSE)*S116)/T116),((VLOOKUP(U116,KBOB,4,FALSE)*V116)/W116),((VLOOKUP(X116,KBOB,4,FALSE)*Y116)/Z116),((VLOOKUP(AA116,KBOB,4,FALSE)*AB116)/AC116),((VLOOKUP(AD116,KBOB,4,FALSE)*AE116)/AF116),((VLOOKUP(AG116,KBOB,4,FALSE)*AH116)/AI116),((VLOOKUP(AJ116,KBOB,4,FALSE)*AK116)/AL116))</f>
        <v>4162</v>
      </c>
    </row>
    <row r="117" spans="1:46" ht="25.5">
      <c r="A117" s="1062"/>
      <c r="B117" s="1062"/>
      <c r="C117" s="1062"/>
      <c r="D117" s="523" t="s">
        <v>1161</v>
      </c>
      <c r="E117" s="523"/>
      <c r="F117" s="523"/>
      <c r="G117" s="134" t="s">
        <v>1158</v>
      </c>
      <c r="H117" s="890" t="str">
        <f>G117&amp;"_"&amp;$C$116&amp;$B$116</f>
        <v>Holz-Metall-Fenster 3IV_MuKen_Fe</v>
      </c>
      <c r="I117" s="505" t="s">
        <v>1154</v>
      </c>
      <c r="J117" s="965">
        <v>0.15</v>
      </c>
      <c r="K117" s="134">
        <v>30</v>
      </c>
      <c r="L117" s="505" t="s">
        <v>1160</v>
      </c>
      <c r="M117" s="134">
        <v>0.85</v>
      </c>
      <c r="N117" s="134">
        <v>30</v>
      </c>
      <c r="O117" s="505" t="s">
        <v>27</v>
      </c>
      <c r="P117" s="134"/>
      <c r="Q117" s="134">
        <v>1</v>
      </c>
      <c r="R117" s="505" t="s">
        <v>27</v>
      </c>
      <c r="S117" s="134"/>
      <c r="T117" s="134">
        <v>1</v>
      </c>
      <c r="U117" s="505" t="s">
        <v>27</v>
      </c>
      <c r="V117" s="134"/>
      <c r="W117" s="134">
        <v>1</v>
      </c>
      <c r="X117" s="505" t="s">
        <v>27</v>
      </c>
      <c r="Y117" s="134"/>
      <c r="Z117" s="134">
        <v>1</v>
      </c>
      <c r="AA117" s="505" t="s">
        <v>27</v>
      </c>
      <c r="AB117" s="134"/>
      <c r="AC117" s="134">
        <v>1</v>
      </c>
      <c r="AD117" s="505" t="s">
        <v>27</v>
      </c>
      <c r="AE117" s="134"/>
      <c r="AF117" s="134">
        <v>1</v>
      </c>
      <c r="AG117" s="505" t="s">
        <v>27</v>
      </c>
      <c r="AH117" s="134"/>
      <c r="AI117" s="134">
        <v>1</v>
      </c>
      <c r="AJ117" s="505" t="s">
        <v>27</v>
      </c>
      <c r="AK117" s="134"/>
      <c r="AL117" s="134">
        <v>1</v>
      </c>
      <c r="AM117" s="134"/>
      <c r="AN117" s="495">
        <f t="shared" si="15"/>
        <v>44.864454618811664</v>
      </c>
      <c r="AO117" s="495">
        <f t="shared" si="12"/>
        <v>3.0465811666666665</v>
      </c>
      <c r="AP117" s="495">
        <f t="shared" si="14"/>
        <v>3677</v>
      </c>
      <c r="AR117" s="936">
        <f t="shared" si="16"/>
        <v>44.864454618811664</v>
      </c>
      <c r="AS117" s="936">
        <f t="shared" si="17"/>
        <v>3.0465811666666665</v>
      </c>
      <c r="AT117" s="936">
        <f t="shared" si="18"/>
        <v>3677</v>
      </c>
    </row>
    <row r="118" spans="1:46" ht="25.5">
      <c r="A118" s="1062"/>
      <c r="B118" s="1062"/>
      <c r="C118" s="1062"/>
      <c r="D118" s="533" t="s">
        <v>1162</v>
      </c>
      <c r="E118" s="533"/>
      <c r="F118" s="533"/>
      <c r="G118" s="507" t="s">
        <v>1159</v>
      </c>
      <c r="H118" s="890" t="str">
        <f>G118&amp;"_"&amp;$C$116&amp;$B$116</f>
        <v>Holzfenster 3IV_MuKen_Fe</v>
      </c>
      <c r="I118" s="506" t="s">
        <v>1155</v>
      </c>
      <c r="J118" s="966">
        <v>0.15</v>
      </c>
      <c r="K118" s="507">
        <v>30</v>
      </c>
      <c r="L118" s="889" t="s">
        <v>1160</v>
      </c>
      <c r="M118" s="507">
        <v>0.85</v>
      </c>
      <c r="N118" s="507">
        <v>30</v>
      </c>
      <c r="O118" s="505" t="s">
        <v>27</v>
      </c>
      <c r="P118" s="134"/>
      <c r="Q118" s="134">
        <v>1</v>
      </c>
      <c r="R118" s="505" t="s">
        <v>27</v>
      </c>
      <c r="S118" s="134"/>
      <c r="T118" s="134">
        <v>1</v>
      </c>
      <c r="U118" s="505" t="s">
        <v>27</v>
      </c>
      <c r="V118" s="134"/>
      <c r="W118" s="134">
        <v>1</v>
      </c>
      <c r="X118" s="505" t="s">
        <v>27</v>
      </c>
      <c r="Y118" s="134"/>
      <c r="Z118" s="134">
        <v>1</v>
      </c>
      <c r="AA118" s="505" t="s">
        <v>27</v>
      </c>
      <c r="AB118" s="134"/>
      <c r="AC118" s="134">
        <v>1</v>
      </c>
      <c r="AD118" s="505" t="s">
        <v>27</v>
      </c>
      <c r="AE118" s="134"/>
      <c r="AF118" s="134">
        <v>1</v>
      </c>
      <c r="AG118" s="505" t="s">
        <v>27</v>
      </c>
      <c r="AH118" s="134"/>
      <c r="AI118" s="134">
        <v>1</v>
      </c>
      <c r="AJ118" s="893" t="s">
        <v>1164</v>
      </c>
      <c r="AK118" s="894">
        <v>0.3</v>
      </c>
      <c r="AL118" s="894">
        <v>30</v>
      </c>
      <c r="AM118" s="507"/>
      <c r="AN118" s="495">
        <f t="shared" si="15"/>
        <v>36.949454618811664</v>
      </c>
      <c r="AO118" s="891">
        <f t="shared" si="12"/>
        <v>2.4542661666666667</v>
      </c>
      <c r="AP118" s="891">
        <f t="shared" si="14"/>
        <v>3111.9</v>
      </c>
      <c r="AR118" s="936">
        <f t="shared" si="16"/>
        <v>36.949454618811664</v>
      </c>
      <c r="AS118" s="939">
        <f t="shared" si="17"/>
        <v>2.4542661666666667</v>
      </c>
      <c r="AT118" s="939">
        <f t="shared" si="18"/>
        <v>3111.9</v>
      </c>
    </row>
    <row r="119" spans="1:46" ht="25.5">
      <c r="A119" s="1062"/>
      <c r="B119" s="1062"/>
      <c r="C119" s="1062" t="s">
        <v>381</v>
      </c>
      <c r="D119" s="525" t="s">
        <v>1156</v>
      </c>
      <c r="E119" s="525"/>
      <c r="F119" s="525"/>
      <c r="G119" s="133" t="s">
        <v>1157</v>
      </c>
      <c r="H119" s="890" t="str">
        <f>G119&amp;"_"&amp;$C$119&amp;$B$116</f>
        <v>Kunststofffenster 3IV_MINERGIE_Fe</v>
      </c>
      <c r="I119" s="504" t="s">
        <v>1153</v>
      </c>
      <c r="J119" s="967">
        <v>0.15</v>
      </c>
      <c r="K119" s="133">
        <v>30</v>
      </c>
      <c r="L119" s="544" t="s">
        <v>1160</v>
      </c>
      <c r="M119" s="133">
        <v>0.85</v>
      </c>
      <c r="N119" s="133">
        <v>30</v>
      </c>
      <c r="O119" s="504" t="s">
        <v>27</v>
      </c>
      <c r="P119" s="133"/>
      <c r="Q119" s="133">
        <v>1</v>
      </c>
      <c r="R119" s="504" t="s">
        <v>27</v>
      </c>
      <c r="S119" s="133"/>
      <c r="T119" s="133">
        <v>1</v>
      </c>
      <c r="U119" s="504" t="s">
        <v>27</v>
      </c>
      <c r="V119" s="133"/>
      <c r="W119" s="133">
        <v>1</v>
      </c>
      <c r="X119" s="504" t="s">
        <v>27</v>
      </c>
      <c r="Y119" s="133"/>
      <c r="Z119" s="133">
        <v>1</v>
      </c>
      <c r="AA119" s="504" t="s">
        <v>27</v>
      </c>
      <c r="AB119" s="133"/>
      <c r="AC119" s="133">
        <v>1</v>
      </c>
      <c r="AD119" s="504" t="s">
        <v>27</v>
      </c>
      <c r="AE119" s="133"/>
      <c r="AF119" s="133">
        <v>1</v>
      </c>
      <c r="AG119" s="504" t="s">
        <v>27</v>
      </c>
      <c r="AH119" s="133"/>
      <c r="AI119" s="133">
        <v>1</v>
      </c>
      <c r="AJ119" s="504" t="s">
        <v>27</v>
      </c>
      <c r="AK119" s="133"/>
      <c r="AL119" s="133">
        <v>1</v>
      </c>
      <c r="AM119" s="133"/>
      <c r="AN119" s="597">
        <f t="shared" si="15"/>
        <v>56.414454618811661</v>
      </c>
      <c r="AO119" s="137">
        <f t="shared" si="12"/>
        <v>3.5752811666666666</v>
      </c>
      <c r="AP119" s="137">
        <f t="shared" si="14"/>
        <v>4162</v>
      </c>
      <c r="AR119" s="940">
        <f t="shared" si="16"/>
        <v>56.414454618811661</v>
      </c>
      <c r="AS119" s="938">
        <f t="shared" si="17"/>
        <v>3.5752811666666666</v>
      </c>
      <c r="AT119" s="938">
        <f t="shared" si="18"/>
        <v>4162</v>
      </c>
    </row>
    <row r="120" spans="1:46" ht="25.5">
      <c r="A120" s="1062"/>
      <c r="B120" s="1062"/>
      <c r="C120" s="1062"/>
      <c r="D120" s="523" t="s">
        <v>1161</v>
      </c>
      <c r="E120" s="523"/>
      <c r="F120" s="523"/>
      <c r="G120" s="134" t="s">
        <v>1158</v>
      </c>
      <c r="H120" s="134" t="str">
        <f>G120&amp;"_"&amp;$C$119&amp;$B$116</f>
        <v>Holz-Metall-Fenster 3IV_MINERGIE_Fe</v>
      </c>
      <c r="I120" s="505" t="s">
        <v>1154</v>
      </c>
      <c r="J120" s="965">
        <v>0.15</v>
      </c>
      <c r="K120" s="134">
        <v>30</v>
      </c>
      <c r="L120" s="505" t="s">
        <v>1160</v>
      </c>
      <c r="M120" s="134">
        <v>0.85</v>
      </c>
      <c r="N120" s="134">
        <v>30</v>
      </c>
      <c r="O120" s="505" t="s">
        <v>27</v>
      </c>
      <c r="P120" s="134"/>
      <c r="Q120" s="134">
        <v>1</v>
      </c>
      <c r="R120" s="505" t="s">
        <v>27</v>
      </c>
      <c r="S120" s="134"/>
      <c r="T120" s="134">
        <v>1</v>
      </c>
      <c r="U120" s="505" t="s">
        <v>27</v>
      </c>
      <c r="V120" s="134"/>
      <c r="W120" s="134">
        <v>1</v>
      </c>
      <c r="X120" s="505" t="s">
        <v>27</v>
      </c>
      <c r="Y120" s="134"/>
      <c r="Z120" s="134">
        <v>1</v>
      </c>
      <c r="AA120" s="505" t="s">
        <v>27</v>
      </c>
      <c r="AB120" s="134"/>
      <c r="AC120" s="134">
        <v>1</v>
      </c>
      <c r="AD120" s="505" t="s">
        <v>27</v>
      </c>
      <c r="AE120" s="134"/>
      <c r="AF120" s="134">
        <v>1</v>
      </c>
      <c r="AG120" s="505" t="s">
        <v>27</v>
      </c>
      <c r="AH120" s="134"/>
      <c r="AI120" s="134">
        <v>1</v>
      </c>
      <c r="AJ120" s="505" t="s">
        <v>27</v>
      </c>
      <c r="AK120" s="134"/>
      <c r="AL120" s="134">
        <v>1</v>
      </c>
      <c r="AM120" s="134"/>
      <c r="AN120" s="498">
        <f t="shared" si="15"/>
        <v>44.864454618811664</v>
      </c>
      <c r="AO120" s="495">
        <f t="shared" si="12"/>
        <v>3.0465811666666665</v>
      </c>
      <c r="AP120" s="495">
        <f t="shared" si="14"/>
        <v>3677</v>
      </c>
      <c r="AR120" s="937">
        <f t="shared" si="16"/>
        <v>44.864454618811664</v>
      </c>
      <c r="AS120" s="936">
        <f t="shared" si="17"/>
        <v>3.0465811666666665</v>
      </c>
      <c r="AT120" s="936">
        <f t="shared" si="18"/>
        <v>3677</v>
      </c>
    </row>
    <row r="121" spans="1:46" ht="25.5">
      <c r="A121" s="1062"/>
      <c r="B121" s="1062"/>
      <c r="C121" s="1062"/>
      <c r="D121" s="533" t="s">
        <v>1162</v>
      </c>
      <c r="E121" s="533"/>
      <c r="F121" s="533"/>
      <c r="G121" s="507" t="s">
        <v>1159</v>
      </c>
      <c r="H121" s="549" t="str">
        <f>G121&amp;"_"&amp;$C$119&amp;$B$116</f>
        <v>Holzfenster 3IV_MINERGIE_Fe</v>
      </c>
      <c r="I121" s="506" t="s">
        <v>1155</v>
      </c>
      <c r="J121" s="966">
        <v>0.15</v>
      </c>
      <c r="K121" s="507">
        <v>30</v>
      </c>
      <c r="L121" s="889" t="s">
        <v>1160</v>
      </c>
      <c r="M121" s="507">
        <v>0.85</v>
      </c>
      <c r="N121" s="507">
        <v>30</v>
      </c>
      <c r="O121" s="506" t="s">
        <v>27</v>
      </c>
      <c r="P121" s="507"/>
      <c r="Q121" s="507">
        <v>1</v>
      </c>
      <c r="R121" s="506" t="s">
        <v>27</v>
      </c>
      <c r="S121" s="507"/>
      <c r="T121" s="507">
        <v>1</v>
      </c>
      <c r="U121" s="506" t="s">
        <v>27</v>
      </c>
      <c r="V121" s="507"/>
      <c r="W121" s="507">
        <v>1</v>
      </c>
      <c r="X121" s="506" t="s">
        <v>27</v>
      </c>
      <c r="Y121" s="507"/>
      <c r="Z121" s="507">
        <v>1</v>
      </c>
      <c r="AA121" s="506" t="s">
        <v>27</v>
      </c>
      <c r="AB121" s="507"/>
      <c r="AC121" s="507">
        <v>1</v>
      </c>
      <c r="AD121" s="506" t="s">
        <v>27</v>
      </c>
      <c r="AE121" s="507"/>
      <c r="AF121" s="507">
        <v>1</v>
      </c>
      <c r="AG121" s="506" t="s">
        <v>27</v>
      </c>
      <c r="AH121" s="507"/>
      <c r="AI121" s="507">
        <v>1</v>
      </c>
      <c r="AJ121" s="893" t="s">
        <v>1164</v>
      </c>
      <c r="AK121" s="894">
        <v>0.3</v>
      </c>
      <c r="AL121" s="894">
        <v>30</v>
      </c>
      <c r="AM121" s="507"/>
      <c r="AN121" s="891">
        <f t="shared" si="15"/>
        <v>36.949454618811664</v>
      </c>
      <c r="AO121" s="495">
        <f t="shared" si="12"/>
        <v>2.4542661666666667</v>
      </c>
      <c r="AP121" s="495">
        <f t="shared" si="14"/>
        <v>3111.9</v>
      </c>
      <c r="AR121" s="939">
        <f t="shared" si="16"/>
        <v>36.949454618811664</v>
      </c>
      <c r="AS121" s="936">
        <f t="shared" si="17"/>
        <v>2.4542661666666667</v>
      </c>
      <c r="AT121" s="936">
        <f t="shared" si="18"/>
        <v>3111.9</v>
      </c>
    </row>
    <row r="122" spans="1:46" ht="25.5">
      <c r="A122" s="1062"/>
      <c r="B122" s="1062"/>
      <c r="C122" s="1062" t="s">
        <v>401</v>
      </c>
      <c r="D122" s="525" t="s">
        <v>1156</v>
      </c>
      <c r="E122" s="555"/>
      <c r="F122" s="555"/>
      <c r="G122" s="133" t="s">
        <v>1157</v>
      </c>
      <c r="H122" s="890" t="str">
        <f>G122&amp;"_"&amp;$C$122&amp;$B$116</f>
        <v>Kunststofffenster 3IV_MINERGIE_P_Fe</v>
      </c>
      <c r="I122" s="504" t="s">
        <v>1153</v>
      </c>
      <c r="J122" s="968">
        <v>0.15</v>
      </c>
      <c r="K122" s="133">
        <v>30</v>
      </c>
      <c r="L122" s="544" t="s">
        <v>1160</v>
      </c>
      <c r="M122" s="133">
        <v>0.85</v>
      </c>
      <c r="N122" s="133">
        <v>30</v>
      </c>
      <c r="O122" s="504" t="s">
        <v>27</v>
      </c>
      <c r="P122" s="133"/>
      <c r="Q122" s="133">
        <v>1</v>
      </c>
      <c r="R122" s="504" t="s">
        <v>27</v>
      </c>
      <c r="S122" s="133"/>
      <c r="T122" s="133">
        <v>1</v>
      </c>
      <c r="U122" s="504" t="s">
        <v>27</v>
      </c>
      <c r="V122" s="133"/>
      <c r="W122" s="133">
        <v>1</v>
      </c>
      <c r="X122" s="504" t="s">
        <v>27</v>
      </c>
      <c r="Y122" s="133"/>
      <c r="Z122" s="133">
        <v>1</v>
      </c>
      <c r="AA122" s="504" t="s">
        <v>27</v>
      </c>
      <c r="AB122" s="133"/>
      <c r="AC122" s="133">
        <v>1</v>
      </c>
      <c r="AD122" s="504" t="s">
        <v>27</v>
      </c>
      <c r="AE122" s="133"/>
      <c r="AF122" s="133">
        <v>1</v>
      </c>
      <c r="AG122" s="504" t="s">
        <v>27</v>
      </c>
      <c r="AH122" s="133"/>
      <c r="AI122" s="133">
        <v>1</v>
      </c>
      <c r="AJ122" s="504" t="s">
        <v>27</v>
      </c>
      <c r="AK122" s="133"/>
      <c r="AL122" s="133">
        <v>1</v>
      </c>
      <c r="AM122" s="549"/>
      <c r="AN122" s="597">
        <f t="shared" si="15"/>
        <v>56.414454618811661</v>
      </c>
      <c r="AO122" s="137">
        <f>SUM(((VLOOKUP(I122,KBOB,13,FALSE)*J122)/K122),((VLOOKUP(L122,KBOB,13,FALSE)*M122)/N122),((VLOOKUP(O122,KBOB,13,FALSE)*P122)/Q122),((VLOOKUP(R122,KBOB,13,FALSE)*S122)/T122),((VLOOKUP(U122,KBOB,13,FALSE)*V122)/W122),((VLOOKUP(X122,KBOB,13,FALSE)*Y122)/Z122),((VLOOKUP(AA122,KBOB,13,FALSE)*AB122)/AC122),((VLOOKUP(AD122,KBOB,13,FALSE)*AE122)/AF122),((VLOOKUP(AG122,KBOB,13,FALSE)*AH122)/AI122),((VLOOKUP(AJ122,KBOB,13,FALSE)*AK122)/AL122))</f>
        <v>3.5752811666666666</v>
      </c>
      <c r="AP122" s="137">
        <f>SUM(((VLOOKUP(I122,KBOB,4,FALSE)*J122)/K122),((VLOOKUP(L122,KBOB,4,FALSE)*M122)/N122),((VLOOKUP(O122,KBOB,4,FALSE)*P122)/Q122),((VLOOKUP(R122,KBOB,4,FALSE)*S122)/T122),((VLOOKUP(U122,KBOB,4,FALSE)*V122)/W122),((VLOOKUP(X122,KBOB,4,FALSE)*Y122)/Z122),((VLOOKUP(AA122,KBOB,4,FALSE)*AB122)/AC122),((VLOOKUP(AD122,KBOB,4,FALSE)*AE122)/AF122),((VLOOKUP(AG122,KBOB,4,FALSE)*AH122)/AI122),((VLOOKUP(AJ122,KBOB,4,FALSE)*AK122)/AL122))</f>
        <v>4162</v>
      </c>
      <c r="AR122" s="940">
        <f t="shared" si="16"/>
        <v>56.414454618811661</v>
      </c>
      <c r="AS122" s="938">
        <f t="shared" si="17"/>
        <v>3.5752811666666666</v>
      </c>
      <c r="AT122" s="938">
        <f t="shared" si="18"/>
        <v>4162</v>
      </c>
    </row>
    <row r="123" spans="1:46" ht="25.5">
      <c r="A123" s="1062"/>
      <c r="B123" s="1062"/>
      <c r="C123" s="1062"/>
      <c r="D123" s="523" t="s">
        <v>1161</v>
      </c>
      <c r="E123" s="523"/>
      <c r="F123" s="523"/>
      <c r="G123" s="134" t="s">
        <v>1158</v>
      </c>
      <c r="H123" s="134" t="str">
        <f>G123&amp;"_"&amp;$C$122&amp;$B$116</f>
        <v>Holz-Metall-Fenster 3IV_MINERGIE_P_Fe</v>
      </c>
      <c r="I123" s="505" t="s">
        <v>1154</v>
      </c>
      <c r="J123" s="965">
        <v>0.15</v>
      </c>
      <c r="K123" s="134">
        <v>30</v>
      </c>
      <c r="L123" s="505" t="s">
        <v>1160</v>
      </c>
      <c r="M123" s="134">
        <v>0.85</v>
      </c>
      <c r="N123" s="134">
        <v>30</v>
      </c>
      <c r="O123" s="505" t="s">
        <v>27</v>
      </c>
      <c r="P123" s="134"/>
      <c r="Q123" s="134">
        <v>1</v>
      </c>
      <c r="R123" s="505" t="s">
        <v>27</v>
      </c>
      <c r="S123" s="134"/>
      <c r="T123" s="134">
        <v>1</v>
      </c>
      <c r="U123" s="505" t="s">
        <v>27</v>
      </c>
      <c r="V123" s="134"/>
      <c r="W123" s="134">
        <v>1</v>
      </c>
      <c r="X123" s="505" t="s">
        <v>27</v>
      </c>
      <c r="Y123" s="134"/>
      <c r="Z123" s="134">
        <v>1</v>
      </c>
      <c r="AA123" s="505" t="s">
        <v>27</v>
      </c>
      <c r="AB123" s="134"/>
      <c r="AC123" s="134">
        <v>1</v>
      </c>
      <c r="AD123" s="505" t="s">
        <v>27</v>
      </c>
      <c r="AE123" s="134"/>
      <c r="AF123" s="134">
        <v>1</v>
      </c>
      <c r="AG123" s="505" t="s">
        <v>27</v>
      </c>
      <c r="AH123" s="134"/>
      <c r="AI123" s="134">
        <v>1</v>
      </c>
      <c r="AJ123" s="505" t="s">
        <v>27</v>
      </c>
      <c r="AK123" s="134"/>
      <c r="AL123" s="134">
        <v>1</v>
      </c>
      <c r="AM123" s="134"/>
      <c r="AN123" s="498">
        <f t="shared" si="15"/>
        <v>44.864454618811664</v>
      </c>
      <c r="AO123" s="495">
        <f>SUM(((VLOOKUP(I123,KBOB,13,FALSE)*J123)/K123),((VLOOKUP(L123,KBOB,13,FALSE)*M123)/N123),((VLOOKUP(O123,KBOB,13,FALSE)*P123)/Q123),((VLOOKUP(R123,KBOB,13,FALSE)*S123)/T123),((VLOOKUP(U123,KBOB,13,FALSE)*V123)/W123),((VLOOKUP(X123,KBOB,13,FALSE)*Y123)/Z123),((VLOOKUP(AA123,KBOB,13,FALSE)*AB123)/AC123),((VLOOKUP(AD123,KBOB,13,FALSE)*AE123)/AF123),((VLOOKUP(AG123,KBOB,13,FALSE)*AH123)/AI123),((VLOOKUP(AJ123,KBOB,13,FALSE)*AK123)/AL123))</f>
        <v>3.0465811666666665</v>
      </c>
      <c r="AP123" s="495">
        <f>SUM(((VLOOKUP(I123,KBOB,4,FALSE)*J123)/K123),((VLOOKUP(L123,KBOB,4,FALSE)*M123)/N123),((VLOOKUP(O123,KBOB,4,FALSE)*P123)/Q123),((VLOOKUP(R123,KBOB,4,FALSE)*S123)/T123),((VLOOKUP(U123,KBOB,4,FALSE)*V123)/W123),((VLOOKUP(X123,KBOB,4,FALSE)*Y123)/Z123),((VLOOKUP(AA123,KBOB,4,FALSE)*AB123)/AC123),((VLOOKUP(AD123,KBOB,4,FALSE)*AE123)/AF123),((VLOOKUP(AG123,KBOB,4,FALSE)*AH123)/AI123),((VLOOKUP(AJ123,KBOB,4,FALSE)*AK123)/AL123))</f>
        <v>3677</v>
      </c>
      <c r="AR123" s="937">
        <f t="shared" si="16"/>
        <v>44.864454618811664</v>
      </c>
      <c r="AS123" s="936">
        <f t="shared" si="17"/>
        <v>3.0465811666666665</v>
      </c>
      <c r="AT123" s="936">
        <f t="shared" si="18"/>
        <v>3677</v>
      </c>
    </row>
    <row r="124" spans="1:46" ht="26.25" thickBot="1">
      <c r="A124" s="1063"/>
      <c r="B124" s="1063"/>
      <c r="C124" s="1063"/>
      <c r="D124" s="524" t="s">
        <v>1162</v>
      </c>
      <c r="E124" s="524"/>
      <c r="F124" s="524"/>
      <c r="G124" s="508" t="s">
        <v>1159</v>
      </c>
      <c r="H124" s="136" t="str">
        <f>G124&amp;"_"&amp;$C$122&amp;$B$116</f>
        <v>Holzfenster 3IV_MINERGIE_P_Fe</v>
      </c>
      <c r="I124" s="551" t="s">
        <v>1155</v>
      </c>
      <c r="J124" s="969">
        <v>0.15</v>
      </c>
      <c r="K124" s="508">
        <v>30</v>
      </c>
      <c r="L124" s="551" t="s">
        <v>1160</v>
      </c>
      <c r="M124" s="508">
        <v>0.85</v>
      </c>
      <c r="N124" s="508">
        <v>30</v>
      </c>
      <c r="O124" s="551" t="s">
        <v>27</v>
      </c>
      <c r="P124" s="508"/>
      <c r="Q124" s="508">
        <v>1</v>
      </c>
      <c r="R124" s="551" t="s">
        <v>27</v>
      </c>
      <c r="S124" s="508"/>
      <c r="T124" s="508">
        <v>1</v>
      </c>
      <c r="U124" s="551" t="s">
        <v>27</v>
      </c>
      <c r="V124" s="508"/>
      <c r="W124" s="508">
        <v>1</v>
      </c>
      <c r="X124" s="551" t="s">
        <v>27</v>
      </c>
      <c r="Y124" s="508"/>
      <c r="Z124" s="508">
        <v>1</v>
      </c>
      <c r="AA124" s="551" t="s">
        <v>27</v>
      </c>
      <c r="AB124" s="508"/>
      <c r="AC124" s="508">
        <v>1</v>
      </c>
      <c r="AD124" s="551" t="s">
        <v>27</v>
      </c>
      <c r="AE124" s="508"/>
      <c r="AF124" s="508">
        <v>1</v>
      </c>
      <c r="AG124" s="551" t="s">
        <v>27</v>
      </c>
      <c r="AH124" s="508"/>
      <c r="AI124" s="508">
        <v>1</v>
      </c>
      <c r="AJ124" s="893" t="s">
        <v>1164</v>
      </c>
      <c r="AK124" s="894">
        <v>0.3</v>
      </c>
      <c r="AL124" s="894">
        <v>30</v>
      </c>
      <c r="AM124" s="508"/>
      <c r="AN124" s="503">
        <f t="shared" si="15"/>
        <v>36.949454618811664</v>
      </c>
      <c r="AO124" s="503">
        <f>SUM(((VLOOKUP(I124,KBOB,13,FALSE)*J124)/K124),((VLOOKUP(L124,KBOB,13,FALSE)*M124)/N124),((VLOOKUP(O124,KBOB,13,FALSE)*P124)/Q124),((VLOOKUP(R124,KBOB,13,FALSE)*S124)/T124),((VLOOKUP(U124,KBOB,13,FALSE)*V124)/W124),((VLOOKUP(X124,KBOB,13,FALSE)*Y124)/Z124),((VLOOKUP(AA124,KBOB,13,FALSE)*AB124)/AC124),((VLOOKUP(AD124,KBOB,13,FALSE)*AE124)/AF124),((VLOOKUP(AG124,KBOB,13,FALSE)*AH124)/AI124),((VLOOKUP(AJ124,KBOB,13,FALSE)*AK124)/AL124))</f>
        <v>2.4542661666666667</v>
      </c>
      <c r="AP124" s="503">
        <f>SUM(((VLOOKUP(I124,KBOB,4,FALSE)*J124)/K124),((VLOOKUP(L124,KBOB,4,FALSE)*M124)/N124),((VLOOKUP(O124,KBOB,4,FALSE)*P124)/Q124),((VLOOKUP(R124,KBOB,4,FALSE)*S124)/T124),((VLOOKUP(U124,KBOB,4,FALSE)*V124)/W124),((VLOOKUP(X124,KBOB,4,FALSE)*Y124)/Z124),((VLOOKUP(AA124,KBOB,4,FALSE)*AB124)/AC124),((VLOOKUP(AD124,KBOB,4,FALSE)*AE124)/AF124),((VLOOKUP(AG124,KBOB,4,FALSE)*AH124)/AI124),((VLOOKUP(AJ124,KBOB,4,FALSE)*AK124)/AL124))</f>
        <v>3111.9</v>
      </c>
      <c r="AR124" s="941">
        <f t="shared" si="16"/>
        <v>36.949454618811664</v>
      </c>
      <c r="AS124" s="941">
        <f t="shared" si="17"/>
        <v>2.4542661666666667</v>
      </c>
      <c r="AT124" s="941">
        <f t="shared" si="18"/>
        <v>3111.9</v>
      </c>
    </row>
    <row r="126" spans="1:46" s="578" customFormat="1" ht="44.25" customHeight="1">
      <c r="A126" s="579" t="s">
        <v>1112</v>
      </c>
      <c r="B126" s="577"/>
      <c r="C126" s="577"/>
      <c r="D126" s="577"/>
      <c r="E126" s="577"/>
      <c r="F126" s="577"/>
      <c r="H126" s="577"/>
    </row>
    <row r="128" spans="1:46" ht="30">
      <c r="A128" s="591"/>
      <c r="B128" s="591"/>
      <c r="C128" s="591"/>
      <c r="D128" s="591" t="s">
        <v>1009</v>
      </c>
      <c r="E128" s="591"/>
      <c r="F128" s="591"/>
      <c r="G128" s="592" t="s">
        <v>1113</v>
      </c>
      <c r="H128" s="593"/>
      <c r="I128" s="594" t="str">
        <f>KBOBBaumaterialien!B30</f>
        <v>Gipskartonplatte</v>
      </c>
      <c r="J128" s="595">
        <v>42.5</v>
      </c>
      <c r="K128" s="595">
        <v>30</v>
      </c>
      <c r="L128" s="594" t="str">
        <f>KBOBBaumaterialien!B69</f>
        <v>Stahlblech, verzinkt</v>
      </c>
      <c r="M128" s="595">
        <v>4</v>
      </c>
      <c r="N128" s="595">
        <v>30</v>
      </c>
      <c r="O128" s="594" t="str">
        <f>KBOBBaumaterialien!B108</f>
        <v>Glaswolle</v>
      </c>
      <c r="P128" s="595">
        <v>0.9</v>
      </c>
      <c r="Q128" s="595">
        <v>30</v>
      </c>
      <c r="R128" s="594" t="s">
        <v>27</v>
      </c>
      <c r="S128" s="595"/>
      <c r="T128" s="595">
        <v>1</v>
      </c>
      <c r="U128" s="596" t="s">
        <v>27</v>
      </c>
      <c r="V128" s="592"/>
      <c r="W128" s="592">
        <v>1</v>
      </c>
      <c r="X128" s="596" t="s">
        <v>27</v>
      </c>
      <c r="Y128" s="592"/>
      <c r="Z128" s="592">
        <v>1</v>
      </c>
      <c r="AA128" s="596" t="s">
        <v>27</v>
      </c>
      <c r="AB128" s="592"/>
      <c r="AC128" s="592">
        <v>1</v>
      </c>
      <c r="AD128" s="594" t="s">
        <v>27</v>
      </c>
      <c r="AE128" s="595"/>
      <c r="AF128" s="595">
        <v>1</v>
      </c>
      <c r="AG128" s="594" t="s">
        <v>27</v>
      </c>
      <c r="AH128" s="595"/>
      <c r="AI128" s="595">
        <v>1</v>
      </c>
      <c r="AJ128" s="594" t="s">
        <v>27</v>
      </c>
      <c r="AK128" s="595"/>
      <c r="AL128" s="595">
        <v>1</v>
      </c>
      <c r="AM128" s="595"/>
      <c r="AN128" s="597">
        <f>SUM(((VLOOKUP(I128,KBOB,10,FALSE)*J128)/K128),((VLOOKUP(L128,KBOB,10,FALSE)*M128)/N128),((VLOOKUP(O128,KBOB,10,FALSE)*P128)/Q128),((VLOOKUP(R128,KBOB,10,FALSE)*S128)/T128),((VLOOKUP(U128,KBOB,10,FALSE)*V128)/W128),((VLOOKUP(X128,KBOB,10,FALSE)*Y128)/Z128),((VLOOKUP(AA128,KBOB,10,FALSE)*AB128)/AC128),((VLOOKUP(AD128,KBOB,10,FALSE)*AE128)/AF128),((VLOOKUP(AG128,KBOB,10,FALSE)*AH128)/AI128),((VLOOKUP(AJ128,KBOB,10,FALSE)*AK128)/AL128))</f>
        <v>17.69210949594429</v>
      </c>
      <c r="AO128" s="597">
        <f>SUM(((VLOOKUP(I128,KBOB,13,FALSE)*J128)/K128),((VLOOKUP(L128,KBOB,13,FALSE)*M128)/N128),((VLOOKUP(O128,KBOB,13,FALSE)*P128)/Q128),((VLOOKUP(R128,KBOB,13,FALSE)*S128)/T128),((VLOOKUP(U128,KBOB,13,FALSE)*V128)/W128),((VLOOKUP(X128,KBOB,13,FALSE)*Y128)/Z128),((VLOOKUP(AA128,KBOB,13,FALSE)*AB128)/AC128),((VLOOKUP(AD128,KBOB,13,FALSE)*AE128)/AF128),((VLOOKUP(AG128,KBOB,13,FALSE)*AH128)/AI128),((VLOOKUP(AJ128,KBOB,13,FALSE)*AK128)/AL128))</f>
        <v>1.0441808122401195</v>
      </c>
      <c r="AP128" s="597">
        <f>SUM(((VLOOKUP(I128,KBOB,4,FALSE)*J128)/K128),((VLOOKUP(L128,KBOB,4,FALSE)*M128)/N128),((VLOOKUP(O128,KBOB,4,FALSE)*P128)/Q128),((VLOOKUP(R128,KBOB,4,FALSE)*S128)/T128),((VLOOKUP(U128,KBOB,4,FALSE)*V128)/W128),((VLOOKUP(X128,KBOB,4,FALSE)*Y128)/Z128),((VLOOKUP(AA128,KBOB,4,FALSE)*AB128)/AC128),((VLOOKUP(AD128,KBOB,4,FALSE)*AE128)/AF128),((VLOOKUP(AG128,KBOB,4,FALSE)*AH128)/AI128),((VLOOKUP(AJ128,KBOB,4,FALSE)*AK128)/AL128))</f>
        <v>2516.1895734089167</v>
      </c>
    </row>
    <row r="129" spans="1:42" ht="25.5">
      <c r="A129" s="598"/>
      <c r="B129" s="598"/>
      <c r="C129" s="598"/>
      <c r="D129" s="598" t="s">
        <v>1008</v>
      </c>
      <c r="E129" s="598"/>
      <c r="F129" s="598"/>
      <c r="G129" s="599" t="s">
        <v>1114</v>
      </c>
      <c r="H129" s="600"/>
      <c r="I129" s="601" t="str">
        <f>KBOBBaumaterialien!B86</f>
        <v>Spanplatte, UF-gebunden, Trockenbereich</v>
      </c>
      <c r="J129" s="602">
        <v>26</v>
      </c>
      <c r="K129" s="602">
        <v>30</v>
      </c>
      <c r="L129" s="899" t="str">
        <f>KBOBBaumaterialien!B81</f>
        <v>Massivholz Fichte / Tanne / Lärche, luftgetrocknet, rauh</v>
      </c>
      <c r="M129" s="602">
        <v>5.6</v>
      </c>
      <c r="N129" s="602">
        <v>30</v>
      </c>
      <c r="O129" s="601" t="str">
        <f>KBOBBaumaterialien!B108</f>
        <v>Glaswolle</v>
      </c>
      <c r="P129" s="602">
        <v>1.3</v>
      </c>
      <c r="Q129" s="602">
        <v>30</v>
      </c>
      <c r="R129" s="601" t="s">
        <v>27</v>
      </c>
      <c r="S129" s="602"/>
      <c r="T129" s="602">
        <v>1</v>
      </c>
      <c r="U129" s="603" t="s">
        <v>27</v>
      </c>
      <c r="V129" s="599"/>
      <c r="W129" s="599">
        <v>1</v>
      </c>
      <c r="X129" s="603" t="s">
        <v>27</v>
      </c>
      <c r="Y129" s="599"/>
      <c r="Z129" s="599">
        <v>1</v>
      </c>
      <c r="AA129" s="603" t="s">
        <v>27</v>
      </c>
      <c r="AB129" s="599"/>
      <c r="AC129" s="599">
        <v>1</v>
      </c>
      <c r="AD129" s="601" t="s">
        <v>27</v>
      </c>
      <c r="AE129" s="602"/>
      <c r="AF129" s="602">
        <v>1</v>
      </c>
      <c r="AG129" s="601" t="s">
        <v>27</v>
      </c>
      <c r="AH129" s="602"/>
      <c r="AI129" s="602">
        <v>1</v>
      </c>
      <c r="AJ129" s="601" t="s">
        <v>27</v>
      </c>
      <c r="AK129" s="602"/>
      <c r="AL129" s="602">
        <v>1</v>
      </c>
      <c r="AM129" s="602"/>
      <c r="AN129" s="604">
        <f>SUM(((VLOOKUP(I129,KBOB,10,FALSE)*J129)/K129),((VLOOKUP(L129,KBOB,10,FALSE)*M129)/N129),((VLOOKUP(O129,KBOB,10,FALSE)*P129)/Q129),((VLOOKUP(R129,KBOB,10,FALSE)*S129)/T129),((VLOOKUP(U129,KBOB,10,FALSE)*V129)/W129),((VLOOKUP(X129,KBOB,10,FALSE)*Y129)/Z129),((VLOOKUP(AA129,KBOB,10,FALSE)*AB129)/AC129),((VLOOKUP(AD129,KBOB,10,FALSE)*AE129)/AF129),((VLOOKUP(AG129,KBOB,10,FALSE)*AH129)/AI129),((VLOOKUP(AJ129,KBOB,10,FALSE)*AK129)/AL129))</f>
        <v>10.134481002806767</v>
      </c>
      <c r="AO129" s="604">
        <f>SUM(((VLOOKUP(I129,KBOB,13,FALSE)*J129)/K129),((VLOOKUP(L129,KBOB,13,FALSE)*M129)/N129),((VLOOKUP(O129,KBOB,13,FALSE)*P129)/Q129),((VLOOKUP(R129,KBOB,13,FALSE)*S129)/T129),((VLOOKUP(U129,KBOB,13,FALSE)*V129)/W129),((VLOOKUP(X129,KBOB,13,FALSE)*Y129)/Z129),((VLOOKUP(AA129,KBOB,13,FALSE)*AB129)/AC129),((VLOOKUP(AD129,KBOB,13,FALSE)*AE129)/AF129),((VLOOKUP(AG129,KBOB,13,FALSE)*AH129)/AI129),((VLOOKUP(AJ129,KBOB,13,FALSE)*AK129)/AL129))</f>
        <v>0.51636480746326074</v>
      </c>
      <c r="AP129" s="604">
        <f>SUM(((VLOOKUP(I129,KBOB,4,FALSE)*J129)/K129),((VLOOKUP(L129,KBOB,4,FALSE)*M129)/N129),((VLOOKUP(O129,KBOB,4,FALSE)*P129)/Q129),((VLOOKUP(R129,KBOB,4,FALSE)*S129)/T129),((VLOOKUP(U129,KBOB,4,FALSE)*V129)/W129),((VLOOKUP(X129,KBOB,4,FALSE)*Y129)/Z129),((VLOOKUP(AA129,KBOB,4,FALSE)*AB129)/AC129),((VLOOKUP(AD129,KBOB,4,FALSE)*AE129)/AF129),((VLOOKUP(AG129,KBOB,4,FALSE)*AH129)/AI129),((VLOOKUP(AJ129,KBOB,4,FALSE)*AK129)/AL129))</f>
        <v>980.97053543767652</v>
      </c>
    </row>
    <row r="130" spans="1:42" ht="30">
      <c r="A130" s="585"/>
      <c r="B130" s="585"/>
      <c r="C130" s="585"/>
      <c r="D130" s="585" t="s">
        <v>1115</v>
      </c>
      <c r="E130" s="585"/>
      <c r="F130" s="585"/>
      <c r="G130" s="586" t="s">
        <v>1172</v>
      </c>
      <c r="H130" s="587"/>
      <c r="I130" s="588" t="str">
        <f>KBOBBaumaterialien!B40</f>
        <v>Gips-/Weissputz</v>
      </c>
      <c r="J130" s="589">
        <v>18</v>
      </c>
      <c r="K130" s="589">
        <v>30</v>
      </c>
      <c r="L130" s="588" t="str">
        <f>KBOBBaumaterialien!B157</f>
        <v>Anstrich, wasserverdünnbar, 2 Anstriche</v>
      </c>
      <c r="M130" s="589">
        <v>0.2</v>
      </c>
      <c r="N130" s="589">
        <v>30</v>
      </c>
      <c r="O130" s="588" t="str">
        <f>KBOBBaumaterialien!B15</f>
        <v>Backstein</v>
      </c>
      <c r="P130" s="589">
        <v>112.5</v>
      </c>
      <c r="Q130" s="589">
        <v>30</v>
      </c>
      <c r="R130" s="588" t="str">
        <f>KBOBBaumaterialien!B47</f>
        <v>Zementmörtel</v>
      </c>
      <c r="S130" s="589">
        <v>21.25</v>
      </c>
      <c r="T130" s="589">
        <v>30</v>
      </c>
      <c r="U130" s="588" t="str">
        <f>KBOBBaumaterialien!B40</f>
        <v>Gips-/Weissputz</v>
      </c>
      <c r="V130" s="589">
        <v>18</v>
      </c>
      <c r="W130" s="589">
        <v>30</v>
      </c>
      <c r="X130" s="590" t="str">
        <f>KBOBBaumaterialien!B157</f>
        <v>Anstrich, wasserverdünnbar, 2 Anstriche</v>
      </c>
      <c r="Y130" s="586">
        <v>0.2</v>
      </c>
      <c r="Z130" s="586">
        <v>30</v>
      </c>
      <c r="AA130" s="590" t="s">
        <v>27</v>
      </c>
      <c r="AB130" s="586"/>
      <c r="AC130" s="586">
        <v>1</v>
      </c>
      <c r="AD130" s="588" t="s">
        <v>27</v>
      </c>
      <c r="AE130" s="589"/>
      <c r="AF130" s="589">
        <v>1</v>
      </c>
      <c r="AG130" s="588" t="s">
        <v>27</v>
      </c>
      <c r="AH130" s="589"/>
      <c r="AI130" s="589">
        <v>1</v>
      </c>
      <c r="AJ130" s="588" t="s">
        <v>27</v>
      </c>
      <c r="AK130" s="589"/>
      <c r="AL130" s="589">
        <v>1</v>
      </c>
      <c r="AM130" s="589"/>
      <c r="AN130" s="604">
        <f>SUM(((VLOOKUP(I130,KBOB,10,FALSE)*J130)/K130),((VLOOKUP(L130,KBOB,10,FALSE)*M130)/N130),((VLOOKUP(O130,KBOB,10,FALSE)*P130)/Q130),((VLOOKUP(R130,KBOB,10,FALSE)*S130)/T130),((VLOOKUP(U130,KBOB,10,FALSE)*V130)/W130),((VLOOKUP(X130,KBOB,10,FALSE)*Y130)/Z130),((VLOOKUP(AA130,KBOB,10,FALSE)*AB130)/AC130),((VLOOKUP(AD130,KBOB,10,FALSE)*AE130)/AF130),((VLOOKUP(AG130,KBOB,10,FALSE)*AH130)/AI130),((VLOOKUP(AJ130,KBOB,10,FALSE)*AK130)/AL130))</f>
        <v>13.591994098018542</v>
      </c>
      <c r="AO130" s="604">
        <f>SUM(((VLOOKUP(I130,KBOB,13,FALSE)*J130)/K130),((VLOOKUP(L130,KBOB,13,FALSE)*M130)/N130),((VLOOKUP(O130,KBOB,13,FALSE)*P130)/Q130),((VLOOKUP(R130,KBOB,13,FALSE)*S130)/T130),((VLOOKUP(U130,KBOB,13,FALSE)*V130)/W130),((VLOOKUP(X130,KBOB,13,FALSE)*Y130)/Z130),((VLOOKUP(AA130,KBOB,13,FALSE)*AB130)/AC130),((VLOOKUP(AD130,KBOB,13,FALSE)*AE130)/AF130),((VLOOKUP(AG130,KBOB,13,FALSE)*AH130)/AI130),((VLOOKUP(AJ130,KBOB,13,FALSE)*AK130)/AL130))</f>
        <v>1.191808600266667</v>
      </c>
      <c r="AP130" s="604">
        <f>SUM(((VLOOKUP(I130,KBOB,4,FALSE)*J130)/K130),((VLOOKUP(L130,KBOB,4,FALSE)*M130)/N130),((VLOOKUP(O130,KBOB,4,FALSE)*P130)/Q130),((VLOOKUP(R130,KBOB,4,FALSE)*S130)/T130),((VLOOKUP(U130,KBOB,4,FALSE)*V130)/W130),((VLOOKUP(X130,KBOB,4,FALSE)*Y130)/Z130),((VLOOKUP(AA130,KBOB,4,FALSE)*AB130)/AC130),((VLOOKUP(AD130,KBOB,4,FALSE)*AE130)/AF130),((VLOOKUP(AG130,KBOB,4,FALSE)*AH130)/AI130),((VLOOKUP(AJ130,KBOB,4,FALSE)*AK130)/AL130))</f>
        <v>1003.1196024083334</v>
      </c>
    </row>
    <row r="133" spans="1:42" s="578" customFormat="1" ht="44.25" customHeight="1">
      <c r="A133" s="579" t="s">
        <v>1116</v>
      </c>
      <c r="B133" s="577"/>
      <c r="C133" s="577"/>
      <c r="D133" s="577"/>
      <c r="E133" s="577"/>
      <c r="F133" s="577"/>
      <c r="H133" s="577"/>
    </row>
    <row r="135" spans="1:42" ht="30">
      <c r="A135" s="591"/>
      <c r="B135" s="591"/>
      <c r="C135" s="591"/>
      <c r="D135" s="591" t="s">
        <v>1117</v>
      </c>
      <c r="E135" s="591"/>
      <c r="F135" s="591"/>
      <c r="G135" s="592" t="s">
        <v>429</v>
      </c>
      <c r="H135" s="593"/>
      <c r="I135" s="594" t="str">
        <f>KBOBBaumaterialien!B45</f>
        <v>Unterlagsboden Zement</v>
      </c>
      <c r="J135" s="595">
        <v>148</v>
      </c>
      <c r="K135" s="595">
        <v>30</v>
      </c>
      <c r="L135" s="594" t="str">
        <f>KBOBBaumaterialien!B100</f>
        <v>Dampfbremse Polyethylen (PE)</v>
      </c>
      <c r="M135" s="595">
        <v>0.184</v>
      </c>
      <c r="N135" s="595">
        <v>30</v>
      </c>
      <c r="O135" s="594" t="str">
        <f>KBOBBaumaterialien!B114</f>
        <v>Schaumglas</v>
      </c>
      <c r="P135" s="595">
        <v>4.8</v>
      </c>
      <c r="Q135" s="595">
        <v>30</v>
      </c>
      <c r="R135" s="596" t="str">
        <f>KBOBBaumaterialien!B12</f>
        <v>Beton C 30/37</v>
      </c>
      <c r="S135" s="592">
        <v>528</v>
      </c>
      <c r="T135" s="592">
        <v>60</v>
      </c>
      <c r="U135" s="596" t="str">
        <f>KBOBBaumaterialien!B61</f>
        <v>Armierungsstahl</v>
      </c>
      <c r="V135" s="592">
        <v>17.579999999999998</v>
      </c>
      <c r="W135" s="592">
        <v>60</v>
      </c>
      <c r="X135" s="594" t="str">
        <f>KBOBBaumaterialien!B73</f>
        <v>3-Schicht Massivholzplatte, PVAc-gebunden</v>
      </c>
      <c r="Y135" s="595">
        <v>5.07</v>
      </c>
      <c r="Z135" s="595">
        <v>60</v>
      </c>
      <c r="AA135" s="594" t="str">
        <f>KBOBBaumaterialien!B40</f>
        <v>Gips-/Weissputz</v>
      </c>
      <c r="AB135" s="595">
        <v>18</v>
      </c>
      <c r="AC135" s="595">
        <v>30</v>
      </c>
      <c r="AD135" s="596" t="str">
        <f>KBOBBaumaterialien!B157</f>
        <v>Anstrich, wasserverdünnbar, 2 Anstriche</v>
      </c>
      <c r="AE135" s="592">
        <v>0.2</v>
      </c>
      <c r="AF135" s="592">
        <v>30</v>
      </c>
      <c r="AG135" s="946" t="s">
        <v>296</v>
      </c>
      <c r="AH135" s="947">
        <v>1</v>
      </c>
      <c r="AI135" s="947">
        <v>30</v>
      </c>
      <c r="AJ135" s="594" t="s">
        <v>27</v>
      </c>
      <c r="AK135" s="595"/>
      <c r="AL135" s="595">
        <v>1</v>
      </c>
      <c r="AM135" s="595"/>
      <c r="AN135" s="618">
        <f>SUM(((VLOOKUP(I135,KBOB,10,FALSE)*J135)/K135),((VLOOKUP(L135,KBOB,10,FALSE)*M135)/N135),((VLOOKUP(O135,KBOB,10,FALSE)*P135)/Q135),((VLOOKUP(R135,KBOB,10,FALSE)*S135)/T135),((VLOOKUP(U135,KBOB,10,FALSE)*V135)/W135),((VLOOKUP(X135,KBOB,10,FALSE)*Y135)/Z135),((VLOOKUP(AA135,KBOB,10,FALSE)*AB135)/AC135),((VLOOKUP(AD135,KBOB,10,FALSE)*AE135)/AF135),((VLOOKUP(AG135,KBOB,10,FALSE)*AH135)/AI135),((VLOOKUP(AJ135,KBOB,10,FALSE)*AK135)/AL135))</f>
        <v>27.775555985829811</v>
      </c>
      <c r="AO135" s="618">
        <f>SUM(((VLOOKUP(I135,KBOB,13,FALSE)*J135)/K135),((VLOOKUP(L135,KBOB,13,FALSE)*M135)/N135),((VLOOKUP(O135,KBOB,13,FALSE)*P135)/Q135),((VLOOKUP(R135,KBOB,13,FALSE)*S135)/T135),((VLOOKUP(U135,KBOB,13,FALSE)*V135)/W135),((VLOOKUP(X135,KBOB,13,FALSE)*Y135)/Z135),((VLOOKUP(AA135,KBOB,13,FALSE)*AB135)/AC135),((VLOOKUP(AD135,KBOB,13,FALSE)*AE135)/AF135),((VLOOKUP(AG135,KBOB,13,FALSE)*AH135)/AI135),((VLOOKUP(AJ135,KBOB,13,FALSE)*AK135)/AL135))</f>
        <v>2.7555029301839427</v>
      </c>
      <c r="AP135" s="618">
        <f>SUM(((VLOOKUP(I135,KBOB,4,FALSE)*J135)/K135),((VLOOKUP(L135,KBOB,4,FALSE)*M135)/N135),((VLOOKUP(O135,KBOB,4,FALSE)*P135)/Q135),((VLOOKUP(R135,KBOB,4,FALSE)*S135)/T135),((VLOOKUP(U135,KBOB,4,FALSE)*V135)/W135),((VLOOKUP(X135,KBOB,4,FALSE)*Y135)/Z135),((VLOOKUP(AA135,KBOB,4,FALSE)*AB135)/AC135),((VLOOKUP(AD135,KBOB,4,FALSE)*AE135)/AF135),((VLOOKUP(AG135,KBOB,4,FALSE)*AH135)/AI135),((VLOOKUP(AJ135,KBOB,4,FALSE)*AK135)/AL135))</f>
        <v>3384.8460537241563</v>
      </c>
    </row>
    <row r="136" spans="1:42" ht="25.5">
      <c r="A136" s="543"/>
      <c r="B136" s="543"/>
      <c r="C136" s="543"/>
      <c r="D136" s="543" t="s">
        <v>1118</v>
      </c>
      <c r="E136" s="543"/>
      <c r="F136" s="543"/>
      <c r="G136" s="614" t="s">
        <v>606</v>
      </c>
      <c r="H136" s="563"/>
      <c r="I136" s="615" t="str">
        <f>KBOBBaumaterialien!B44</f>
        <v>Unterlagsboden Anhydrit</v>
      </c>
      <c r="J136" s="616">
        <v>100</v>
      </c>
      <c r="K136" s="616">
        <v>30</v>
      </c>
      <c r="L136" s="615" t="str">
        <f>KBOBBaumaterialien!B100</f>
        <v>Dampfbremse Polyethylen (PE)</v>
      </c>
      <c r="M136" s="900">
        <v>0.184</v>
      </c>
      <c r="N136" s="616">
        <v>30</v>
      </c>
      <c r="O136" s="615" t="str">
        <f>KBOBBaumaterialien!B108</f>
        <v>Glaswolle</v>
      </c>
      <c r="P136" s="616">
        <v>2</v>
      </c>
      <c r="Q136" s="616">
        <v>30</v>
      </c>
      <c r="R136" s="615" t="str">
        <f>KBOBBaumaterialien!B21</f>
        <v>Zementstein</v>
      </c>
      <c r="S136" s="616">
        <v>68</v>
      </c>
      <c r="T136" s="616">
        <v>60</v>
      </c>
      <c r="U136" s="617" t="str">
        <f>KBOBBaumaterialien!B74</f>
        <v>Brettschichtholz, UF-gebunden, Trockenbereich</v>
      </c>
      <c r="V136" s="901">
        <v>75.2</v>
      </c>
      <c r="W136" s="614">
        <v>60</v>
      </c>
      <c r="X136" s="617" t="s">
        <v>27</v>
      </c>
      <c r="Y136" s="614"/>
      <c r="Z136" s="614">
        <v>1</v>
      </c>
      <c r="AA136" s="617" t="s">
        <v>27</v>
      </c>
      <c r="AB136" s="614"/>
      <c r="AC136" s="614">
        <v>1</v>
      </c>
      <c r="AD136" s="893" t="s">
        <v>296</v>
      </c>
      <c r="AE136" s="894">
        <v>1</v>
      </c>
      <c r="AF136" s="894">
        <v>30</v>
      </c>
      <c r="AG136" s="615" t="s">
        <v>27</v>
      </c>
      <c r="AH136" s="616"/>
      <c r="AI136" s="616">
        <v>1</v>
      </c>
      <c r="AJ136" s="615" t="s">
        <v>27</v>
      </c>
      <c r="AK136" s="616"/>
      <c r="AL136" s="616">
        <v>1</v>
      </c>
      <c r="AM136" s="616"/>
      <c r="AN136" s="618">
        <f>SUM(((VLOOKUP(I136,KBOB,10,FALSE)*J136)/K136),((VLOOKUP(L136,KBOB,10,FALSE)*M136)/N136),((VLOOKUP(O136,KBOB,10,FALSE)*P136)/Q136),((VLOOKUP(R136,KBOB,10,FALSE)*S136)/T136),((VLOOKUP(U136,KBOB,10,FALSE)*V136)/W136),((VLOOKUP(X136,KBOB,10,FALSE)*Y136)/Z136),((VLOOKUP(AA136,KBOB,10,FALSE)*AB136)/AC136),((VLOOKUP(AD136,KBOB,10,FALSE)*AE136)/AF136),((VLOOKUP(AG136,KBOB,10,FALSE)*AH136)/AI136),((VLOOKUP(AJ136,KBOB,10,FALSE)*AK136)/AL136))</f>
        <v>24.884017702371125</v>
      </c>
      <c r="AO136" s="618">
        <f>SUM(((VLOOKUP(I136,KBOB,13,FALSE)*J136)/K136),((VLOOKUP(L136,KBOB,13,FALSE)*M136)/N136),((VLOOKUP(O136,KBOB,13,FALSE)*P136)/Q136),((VLOOKUP(R136,KBOB,13,FALSE)*S136)/T136),((VLOOKUP(U136,KBOB,13,FALSE)*V136)/W136),((VLOOKUP(X136,KBOB,13,FALSE)*Y136)/Z136),((VLOOKUP(AA136,KBOB,13,FALSE)*AB136)/AC136),((VLOOKUP(AD136,KBOB,13,FALSE)*AE136)/AF136),((VLOOKUP(AG136,KBOB,13,FALSE)*AH136)/AI136),((VLOOKUP(AJ136,KBOB,13,FALSE)*AK136)/AL136))</f>
        <v>1.3939458480356901</v>
      </c>
      <c r="AP136" s="618">
        <f>SUM(((VLOOKUP(I136,KBOB,4,FALSE)*J136)/K136),((VLOOKUP(L136,KBOB,4,FALSE)*M136)/N136),((VLOOKUP(O136,KBOB,4,FALSE)*P136)/Q136),((VLOOKUP(R136,KBOB,4,FALSE)*S136)/T136),((VLOOKUP(U136,KBOB,4,FALSE)*V136)/W136),((VLOOKUP(X136,KBOB,4,FALSE)*Y136)/Z136),((VLOOKUP(AA136,KBOB,4,FALSE)*AB136)/AC136),((VLOOKUP(AD136,KBOB,4,FALSE)*AE136)/AF136),((VLOOKUP(AG136,KBOB,4,FALSE)*AH136)/AI136),((VLOOKUP(AJ136,KBOB,4,FALSE)*AK136)/AL136))</f>
        <v>2673.7864547666668</v>
      </c>
    </row>
    <row r="137" spans="1:42" s="619" customFormat="1" ht="25.5">
      <c r="A137" s="569"/>
      <c r="B137" s="569"/>
      <c r="C137" s="569"/>
      <c r="D137" s="569" t="s">
        <v>1118</v>
      </c>
      <c r="E137" s="569"/>
      <c r="F137" s="569"/>
      <c r="G137" s="536" t="s">
        <v>1010</v>
      </c>
      <c r="H137" s="539"/>
      <c r="I137" s="499" t="str">
        <f>KBOBBaumaterialien!B73</f>
        <v>3-Schicht Massivholzplatte, PVAc-gebunden</v>
      </c>
      <c r="J137" s="902">
        <v>12.69</v>
      </c>
      <c r="K137" s="500">
        <v>60</v>
      </c>
      <c r="L137" s="903" t="str">
        <f>KBOBBaumaterialien!B73</f>
        <v>3-Schicht Massivholzplatte, PVAc-gebunden</v>
      </c>
      <c r="M137" s="902">
        <v>12.69</v>
      </c>
      <c r="N137" s="500">
        <v>60</v>
      </c>
      <c r="O137" s="499" t="str">
        <f>KBOBBaumaterialien!B35</f>
        <v>Sand</v>
      </c>
      <c r="P137" s="500">
        <v>80</v>
      </c>
      <c r="Q137" s="500">
        <v>60</v>
      </c>
      <c r="R137" s="499" t="str">
        <f>KBOBBaumaterialien!B45</f>
        <v>Unterlagsboden Zement</v>
      </c>
      <c r="S137" s="500">
        <v>129.5</v>
      </c>
      <c r="T137" s="500">
        <v>30</v>
      </c>
      <c r="U137" s="535" t="str">
        <f>KBOBBaumaterialien!B100</f>
        <v>Dampfbremse Polyethylen (PE)</v>
      </c>
      <c r="V137" s="536">
        <v>0.184</v>
      </c>
      <c r="W137" s="536">
        <v>30</v>
      </c>
      <c r="X137" s="535" t="str">
        <f>KBOBBaumaterialien!B108</f>
        <v>Glaswolle</v>
      </c>
      <c r="Y137" s="536">
        <v>2</v>
      </c>
      <c r="Z137" s="536">
        <v>30</v>
      </c>
      <c r="AA137" s="535" t="str">
        <f>KBOBBaumaterialien!B157</f>
        <v>Anstrich, wasserverdünnbar, 2 Anstriche</v>
      </c>
      <c r="AB137" s="536">
        <v>0.3</v>
      </c>
      <c r="AC137" s="536">
        <v>30</v>
      </c>
      <c r="AD137" s="499" t="str">
        <f>KBOBBaumaterialien!B40</f>
        <v>Gips-/Weissputz</v>
      </c>
      <c r="AE137" s="500">
        <v>12</v>
      </c>
      <c r="AF137" s="500">
        <v>30</v>
      </c>
      <c r="AG137" s="499" t="str">
        <f>KBOBBaumaterialien!B30</f>
        <v>Gipskartonplatte</v>
      </c>
      <c r="AH137" s="500">
        <v>10.625</v>
      </c>
      <c r="AI137" s="500">
        <v>30</v>
      </c>
      <c r="AJ137" s="499" t="str">
        <f>KBOBBaumaterialien!B69</f>
        <v>Stahlblech, verzinkt</v>
      </c>
      <c r="AK137" s="500">
        <v>1.1775</v>
      </c>
      <c r="AL137" s="500">
        <v>30</v>
      </c>
      <c r="AM137" s="500"/>
      <c r="AN137" s="501">
        <f>SUM(((VLOOKUP(I137,KBOB,10,FALSE)*J137)/K137),((VLOOKUP(L137,KBOB,10,FALSE)*M137)/N137),((VLOOKUP(O137,KBOB,10,FALSE)*P137)/Q137),((VLOOKUP(R137,KBOB,10,FALSE)*S137)/T137),((VLOOKUP(U137,KBOB,10,FALSE)*V137)/W137),((VLOOKUP(X137,KBOB,10,FALSE)*Y137)/Z137),((VLOOKUP(AA137,KBOB,10,FALSE)*AB137)/AC137),((VLOOKUP(AD137,KBOB,10,FALSE)*AE137)/AF137),((VLOOKUP(AG137,KBOB,10,FALSE)*AH137)/AI137),((VLOOKUP(AJ137,KBOB,10,FALSE)*AK137)/AL137))</f>
        <v>18.551874393286699</v>
      </c>
      <c r="AO137" s="501">
        <f>SUM(((VLOOKUP(I137,KBOB,13,FALSE)*J137)/K137),((VLOOKUP(L137,KBOB,13,FALSE)*M137)/N137),((VLOOKUP(O137,KBOB,13,FALSE)*P137)/Q137),((VLOOKUP(R137,KBOB,13,FALSE)*S137)/T137),((VLOOKUP(U137,KBOB,13,FALSE)*V137)/W137),((VLOOKUP(X137,KBOB,13,FALSE)*Y137)/Z137),((VLOOKUP(AA137,KBOB,13,FALSE)*AB137)/AC137),((VLOOKUP(AD137,KBOB,13,FALSE)*AE137)/AF137),((VLOOKUP(AG137,KBOB,13,FALSE)*AH137)/AI137),((VLOOKUP(AJ137,KBOB,13,FALSE)*AK137)/AL137))</f>
        <v>1.5094833343033944</v>
      </c>
      <c r="AP137" s="501">
        <f>SUM(((VLOOKUP(I137,KBOB,4,FALSE)*J137)/K137),((VLOOKUP(L137,KBOB,4,FALSE)*M137)/N137),((VLOOKUP(O137,KBOB,4,FALSE)*P137)/Q137),((VLOOKUP(R137,KBOB,4,FALSE)*S137)/T137),((VLOOKUP(U137,KBOB,4,FALSE)*V137)/W137),((VLOOKUP(X137,KBOB,4,FALSE)*Y137)/Z137),((VLOOKUP(AA137,KBOB,4,FALSE)*AB137)/AC137),((VLOOKUP(AD137,KBOB,4,FALSE)*AE137)/AF137),((VLOOKUP(AG137,KBOB,4,FALSE)*AH137)/AI137),((VLOOKUP(AJ137,KBOB,4,FALSE)*AK137)/AL137))</f>
        <v>2275.9655048155619</v>
      </c>
    </row>
    <row r="139" spans="1:42" s="578" customFormat="1" ht="44.25" customHeight="1">
      <c r="A139" s="579" t="s">
        <v>416</v>
      </c>
      <c r="B139" s="577"/>
      <c r="C139" s="577"/>
      <c r="D139" s="577"/>
      <c r="E139" s="577"/>
      <c r="F139" s="577"/>
      <c r="H139" s="577"/>
    </row>
    <row r="141" spans="1:42">
      <c r="A141" s="580"/>
      <c r="B141" s="580"/>
      <c r="C141" s="580"/>
      <c r="D141" s="580" t="s">
        <v>1011</v>
      </c>
      <c r="E141" s="580"/>
      <c r="F141" s="580"/>
      <c r="G141" s="722"/>
      <c r="H141" s="558"/>
      <c r="I141" s="723" t="str">
        <f>KBOBTransporte!B18</f>
        <v>Aushub maschinell</v>
      </c>
      <c r="J141" s="128">
        <v>1</v>
      </c>
      <c r="K141" s="128">
        <v>60</v>
      </c>
      <c r="L141" s="723" t="str">
        <f>KBOBTransporte!B25</f>
        <v>LKW 20 bis 28 t</v>
      </c>
      <c r="M141" s="128">
        <v>10</v>
      </c>
      <c r="N141" s="128">
        <v>60</v>
      </c>
      <c r="O141" s="723" t="s">
        <v>27</v>
      </c>
      <c r="P141" s="128"/>
      <c r="Q141" s="128">
        <v>1</v>
      </c>
      <c r="R141" s="723" t="s">
        <v>27</v>
      </c>
      <c r="S141" s="128"/>
      <c r="T141" s="128">
        <v>1</v>
      </c>
      <c r="U141" s="724" t="s">
        <v>27</v>
      </c>
      <c r="V141" s="722"/>
      <c r="W141" s="722">
        <v>1</v>
      </c>
      <c r="X141" s="724" t="s">
        <v>27</v>
      </c>
      <c r="Y141" s="722"/>
      <c r="Z141" s="722">
        <v>1</v>
      </c>
      <c r="AA141" s="724" t="s">
        <v>27</v>
      </c>
      <c r="AB141" s="722"/>
      <c r="AC141" s="722">
        <v>1</v>
      </c>
      <c r="AD141" s="723" t="s">
        <v>27</v>
      </c>
      <c r="AE141" s="128"/>
      <c r="AF141" s="128">
        <v>1</v>
      </c>
      <c r="AG141" s="723" t="s">
        <v>27</v>
      </c>
      <c r="AH141" s="128"/>
      <c r="AI141" s="128">
        <v>1</v>
      </c>
      <c r="AJ141" s="723" t="s">
        <v>27</v>
      </c>
      <c r="AK141" s="128"/>
      <c r="AL141" s="128">
        <v>1</v>
      </c>
      <c r="AM141" s="128"/>
      <c r="AN141" s="725">
        <f>SUM(((VLOOKUP(I141,KBOB_Transporte,12,FALSE)*J141)/K141),((VLOOKUP(L141,KBOB_Transporte,12,FALSE)*M141)/N141)*(1400/1000),((VLOOKUP(O141,KBOB_Transporte,12,FALSE)*P141)/Q141),((VLOOKUP(R141,KBOB_Transporte,12,FALSE)*S141)/T141),((VLOOKUP(U141,KBOB_Transporte,12,FALSE)*V141)/W141),((VLOOKUP(X141,KBOB_Transporte,12,FALSE)*Y141)/Z141),((VLOOKUP(AA141,KBOB_Transporte,12,FALSE)*AB141)/AC141),((VLOOKUP(AD141,KBOB_Transporte,12,FALSE)*AE141)/AF141),((VLOOKUP(AG141,KBOB_Transporte,12,FALSE)*AH141)/AI141),((VLOOKUP(AJ141,KBOB_Transporte,12,FALSE)*AK141)/AL141))</f>
        <v>0.88724172888833341</v>
      </c>
      <c r="AO141" s="725">
        <f>SUM(((VLOOKUP(I141,KBOB_Transporte,16,FALSE)*J141)/K141),((VLOOKUP(L141,KBOB_Transporte,16,FALSE)*M141)/N141)*(1400/1000),((VLOOKUP(O141,KBOB_Transporte,16,FALSE)*P141)/Q141),((VLOOKUP(R141,KBOB_Transporte,16,FALSE)*S141)/T141),((VLOOKUP(U141,KBOB_Transporte,16,FALSE)*V141)/W141),((VLOOKUP(X141,KBOB_Transporte,16,FALSE)*Y141)/Z141),((VLOOKUP(AA141,KBOB_Transporte,16,FALSE)*AB141)/AC141),((VLOOKUP(AD141,KBOB_Transporte,16,FALSE)*AE141)/AF141),((VLOOKUP(AG141,KBOB_Transporte,16,FALSE)*AH141)/AI141),((VLOOKUP(AJ141,KBOB_Transporte,16,FALSE)*AK141)/AL141))</f>
        <v>5.4315142999999996E-2</v>
      </c>
      <c r="AP141" s="725">
        <f>SUM(((VLOOKUP(I141,KBOB_Transporte,4,FALSE)*J141)/K141),((VLOOKUP(L141,KBOB_Transporte,4,FALSE)*M141)/N141)*(1400/1000),((VLOOKUP(O141,KBOB_Transporte,4,FALSE)*P141)/Q141),((VLOOKUP(R141,KBOB_Transporte,4,FALSE)*S141)/T141),((VLOOKUP(U141,KBOB_Transporte,4,FALSE)*V141)/W141),((VLOOKUP(X141,KBOB_Transporte,4,FALSE)*Y141)/Z141),((VLOOKUP(AA141,KBOB_Transporte,4,FALSE)*AB141)/AC141),((VLOOKUP(AD141,KBOB_Transporte,4,FALSE)*AE141)/AF141),((VLOOKUP(AG141,KBOB_Transporte,4,FALSE)*AH141)/AI141),((VLOOKUP(AJ141,KBOB_Transporte,4,FALSE)*AK141)/AL141))</f>
        <v>61.162253333333325</v>
      </c>
    </row>
    <row r="143" spans="1:42" s="578" customFormat="1" ht="44.25" customHeight="1">
      <c r="A143" s="579" t="s">
        <v>1119</v>
      </c>
      <c r="B143" s="577"/>
      <c r="C143" s="577"/>
      <c r="D143" s="577"/>
      <c r="E143" s="577"/>
      <c r="F143" s="577"/>
      <c r="H143" s="577"/>
    </row>
    <row r="145" spans="1:42" ht="25.5">
      <c r="A145" s="540" t="s">
        <v>1022</v>
      </c>
      <c r="B145" s="540"/>
      <c r="C145" s="540"/>
      <c r="D145" s="540" t="s">
        <v>1118</v>
      </c>
      <c r="E145" s="540"/>
      <c r="F145" s="540"/>
      <c r="G145" s="584"/>
      <c r="H145" s="517"/>
      <c r="I145" s="496" t="str">
        <f>KBOBBaumaterialien!B12</f>
        <v>Beton C 30/37</v>
      </c>
      <c r="J145" s="127">
        <v>672</v>
      </c>
      <c r="K145" s="127">
        <v>60</v>
      </c>
      <c r="L145" s="496" t="str">
        <f>KBOBBaumaterialien!B61</f>
        <v>Armierungsstahl</v>
      </c>
      <c r="M145" s="127">
        <v>16.798999999999999</v>
      </c>
      <c r="N145" s="127">
        <v>60</v>
      </c>
      <c r="O145" s="496" t="str">
        <f>KBOBBaumaterialien!B73</f>
        <v>3-Schicht Massivholzplatte, PVAc-gebunden</v>
      </c>
      <c r="P145" s="127">
        <v>5.0759999999999996</v>
      </c>
      <c r="Q145" s="127">
        <v>60</v>
      </c>
      <c r="R145" s="496" t="str">
        <f>KBOBBaumaterialien!B101</f>
        <v>Dichtungsbahn bituminös</v>
      </c>
      <c r="S145" s="127">
        <v>3.3</v>
      </c>
      <c r="T145" s="127">
        <v>60</v>
      </c>
      <c r="U145" s="530" t="str">
        <f>KBOBBaumaterialien!B112</f>
        <v>Polystyrol extrudiert (XPS)</v>
      </c>
      <c r="V145" s="584">
        <v>5.4</v>
      </c>
      <c r="W145" s="584">
        <v>60</v>
      </c>
      <c r="X145" s="530" t="str">
        <f>KBOBBaumaterialien!B111</f>
        <v>Polystyrol expandiert (EPS)</v>
      </c>
      <c r="Y145" s="584">
        <v>1.08</v>
      </c>
      <c r="Z145" s="584">
        <v>60</v>
      </c>
      <c r="AA145" s="530" t="s">
        <v>27</v>
      </c>
      <c r="AB145" s="584"/>
      <c r="AC145" s="584">
        <v>1</v>
      </c>
      <c r="AD145" s="496" t="s">
        <v>27</v>
      </c>
      <c r="AE145" s="127"/>
      <c r="AF145" s="127">
        <v>1</v>
      </c>
      <c r="AG145" s="496" t="s">
        <v>27</v>
      </c>
      <c r="AH145" s="127"/>
      <c r="AI145" s="127">
        <v>1</v>
      </c>
      <c r="AJ145" s="496" t="s">
        <v>27</v>
      </c>
      <c r="AK145" s="127"/>
      <c r="AL145" s="127">
        <v>1</v>
      </c>
      <c r="AM145" s="127"/>
      <c r="AN145" s="137">
        <f>SUM(((VLOOKUP(I145,KBOB,10,FALSE)*J145)/K145),((VLOOKUP(L145,KBOB,10,FALSE)*M145)/N145),((VLOOKUP(O145,KBOB,10,FALSE)*P145)/Q145),((VLOOKUP(R145,KBOB,10,FALSE)*S145)/T145),((VLOOKUP(U145,KBOB,10,FALSE)*V145)/W145),((VLOOKUP(X145,KBOB,10,FALSE)*Y145)/Z145),((VLOOKUP(AA145,KBOB,10,FALSE)*AB145)/AC145),((VLOOKUP(AD145,KBOB,10,FALSE)*AE145)/AF145),((VLOOKUP(AG145,KBOB,10,FALSE)*AH145)/AI145),((VLOOKUP(AJ145,KBOB,10,FALSE)*AK145)/AL145))</f>
        <v>26.584679646610812</v>
      </c>
      <c r="AO145" s="137">
        <f>SUM(((VLOOKUP(I145,KBOB,13,FALSE)*J145)/K145),((VLOOKUP(L145,KBOB,13,FALSE)*M145)/N145),((VLOOKUP(O145,KBOB,13,FALSE)*P145)/Q145),((VLOOKUP(R145,KBOB,13,FALSE)*S145)/T145),((VLOOKUP(U145,KBOB,13,FALSE)*V145)/W145),((VLOOKUP(X145,KBOB,13,FALSE)*Y145)/Z145),((VLOOKUP(AA145,KBOB,13,FALSE)*AB145)/AC145),((VLOOKUP(AD145,KBOB,13,FALSE)*AE145)/AF145),((VLOOKUP(AG145,KBOB,13,FALSE)*AH145)/AI145),((VLOOKUP(AJ145,KBOB,13,FALSE)*AK145)/AL145))</f>
        <v>3.1892116852792944</v>
      </c>
      <c r="AP145" s="137">
        <f>SUM(((VLOOKUP(I145,KBOB,4,FALSE)*J145)/K145),((VLOOKUP(L145,KBOB,4,FALSE)*M145)/N145),((VLOOKUP(O145,KBOB,4,FALSE)*P145)/Q145),((VLOOKUP(R145,KBOB,4,FALSE)*S145)/T145),((VLOOKUP(U145,KBOB,4,FALSE)*V145)/W145),((VLOOKUP(X145,KBOB,4,FALSE)*Y145)/Z145),((VLOOKUP(AA145,KBOB,4,FALSE)*AB145)/AC145),((VLOOKUP(AD145,KBOB,4,FALSE)*AE145)/AF145),((VLOOKUP(AG145,KBOB,4,FALSE)*AH145)/AI145),((VLOOKUP(AJ145,KBOB,4,FALSE)*AK145)/AL145))</f>
        <v>3098.7619022174117</v>
      </c>
    </row>
    <row r="146" spans="1:42" ht="30">
      <c r="A146" s="875" t="s">
        <v>1023</v>
      </c>
      <c r="B146" s="500"/>
      <c r="C146" s="500"/>
      <c r="D146" s="569" t="s">
        <v>1118</v>
      </c>
      <c r="E146" s="500"/>
      <c r="F146" s="500"/>
      <c r="G146" s="500"/>
      <c r="H146" s="500"/>
      <c r="I146" s="500" t="str">
        <f>KBOBBaumaterialien!B13</f>
        <v>Beton C 50/60 (hoch belastbar)</v>
      </c>
      <c r="J146" s="500">
        <v>833</v>
      </c>
      <c r="K146" s="500">
        <v>60</v>
      </c>
      <c r="L146" s="499" t="str">
        <f>KBOBBaumaterialien!B61</f>
        <v>Armierungsstahl</v>
      </c>
      <c r="M146" s="500">
        <v>37.366</v>
      </c>
      <c r="N146" s="500">
        <v>60</v>
      </c>
      <c r="O146" s="499" t="str">
        <f>KBOBBaumaterialien!B73</f>
        <v>3-Schicht Massivholzplatte, PVAc-gebunden</v>
      </c>
      <c r="P146" s="500">
        <v>5.0759999999999996</v>
      </c>
      <c r="Q146" s="500">
        <v>60</v>
      </c>
      <c r="R146" s="499" t="s">
        <v>27</v>
      </c>
      <c r="S146" s="500"/>
      <c r="T146" s="500">
        <v>1</v>
      </c>
      <c r="U146" s="535" t="s">
        <v>27</v>
      </c>
      <c r="V146" s="536"/>
      <c r="W146" s="536">
        <v>1</v>
      </c>
      <c r="X146" s="535" t="s">
        <v>27</v>
      </c>
      <c r="Y146" s="536"/>
      <c r="Z146" s="536">
        <v>1</v>
      </c>
      <c r="AA146" s="535" t="s">
        <v>27</v>
      </c>
      <c r="AB146" s="536"/>
      <c r="AC146" s="536">
        <v>1</v>
      </c>
      <c r="AD146" s="499" t="s">
        <v>27</v>
      </c>
      <c r="AE146" s="500"/>
      <c r="AF146" s="500">
        <v>1</v>
      </c>
      <c r="AG146" s="499" t="s">
        <v>27</v>
      </c>
      <c r="AH146" s="500"/>
      <c r="AI146" s="500">
        <v>1</v>
      </c>
      <c r="AJ146" s="499" t="s">
        <v>27</v>
      </c>
      <c r="AK146" s="500"/>
      <c r="AL146" s="500">
        <v>1</v>
      </c>
      <c r="AM146" s="500"/>
      <c r="AN146" s="501">
        <f>SUM(((VLOOKUP(I146,KBOB,10,FALSE)*J146)/K146),((VLOOKUP(L146,KBOB,10,FALSE)*M146)/N146),((VLOOKUP(O146,KBOB,10,FALSE)*P146)/Q146),((VLOOKUP(R146,KBOB,10,FALSE)*S146)/T146),((VLOOKUP(U146,KBOB,10,FALSE)*V146)/W146),((VLOOKUP(X146,KBOB,10,FALSE)*Y146)/Z146),((VLOOKUP(AA146,KBOB,10,FALSE)*AB146)/AC146),((VLOOKUP(AD146,KBOB,10,FALSE)*AE146)/AF146),((VLOOKUP(AG146,KBOB,10,FALSE)*AH146)/AI146),((VLOOKUP(AJ146,KBOB,10,FALSE)*AK146)/AL146))</f>
        <v>21.560215283650532</v>
      </c>
      <c r="AO146" s="501">
        <f>SUM(((VLOOKUP(I146,KBOB,13,FALSE)*J146)/K146),((VLOOKUP(L146,KBOB,13,FALSE)*M146)/N146),((VLOOKUP(O146,KBOB,13,FALSE)*P146)/Q146),((VLOOKUP(R146,KBOB,13,FALSE)*S146)/T146),((VLOOKUP(U146,KBOB,13,FALSE)*V146)/W146),((VLOOKUP(X146,KBOB,13,FALSE)*Y146)/Z146),((VLOOKUP(AA146,KBOB,13,FALSE)*AB146)/AC146),((VLOOKUP(AD146,KBOB,13,FALSE)*AE146)/AF146),((VLOOKUP(AG146,KBOB,13,FALSE)*AH146)/AI146),((VLOOKUP(AJ146,KBOB,13,FALSE)*AK146)/AL146))</f>
        <v>2.4860441362597157</v>
      </c>
      <c r="AP146" s="501">
        <f>SUM(((VLOOKUP(I146,KBOB,4,FALSE)*J146)/K146),((VLOOKUP(L146,KBOB,4,FALSE)*M146)/N146),((VLOOKUP(O146,KBOB,4,FALSE)*P146)/Q146),((VLOOKUP(R146,KBOB,4,FALSE)*S146)/T146),((VLOOKUP(U146,KBOB,4,FALSE)*V146)/W146),((VLOOKUP(X146,KBOB,4,FALSE)*Y146)/Z146),((VLOOKUP(AA146,KBOB,4,FALSE)*AB146)/AC146),((VLOOKUP(AD146,KBOB,4,FALSE)*AE146)/AF146),((VLOOKUP(AG146,KBOB,4,FALSE)*AH146)/AI146),((VLOOKUP(AJ146,KBOB,4,FALSE)*AK146)/AL146))</f>
        <v>3412.8085460546777</v>
      </c>
    </row>
    <row r="148" spans="1:42" s="578" customFormat="1" ht="44.25" customHeight="1">
      <c r="A148" s="579" t="s">
        <v>1112</v>
      </c>
      <c r="B148" s="577"/>
      <c r="C148" s="577"/>
      <c r="D148" s="577"/>
      <c r="E148" s="577"/>
      <c r="F148" s="577"/>
      <c r="H148" s="577"/>
    </row>
    <row r="150" spans="1:42">
      <c r="A150" s="875"/>
      <c r="B150" s="875"/>
      <c r="C150" s="875"/>
      <c r="D150" s="875" t="s">
        <v>1118</v>
      </c>
      <c r="E150" s="875"/>
      <c r="F150" s="875"/>
      <c r="G150" s="722"/>
      <c r="H150" s="558"/>
      <c r="I150" s="723" t="str">
        <f>KBOBBaumaterialien!B40</f>
        <v>Gips-/Weissputz</v>
      </c>
      <c r="J150" s="128">
        <v>18</v>
      </c>
      <c r="K150" s="128">
        <v>60</v>
      </c>
      <c r="L150" s="723" t="str">
        <f>KBOBBaumaterialien!B15</f>
        <v>Backstein</v>
      </c>
      <c r="M150" s="128">
        <v>112.5</v>
      </c>
      <c r="N150" s="128">
        <v>60</v>
      </c>
      <c r="O150" s="723" t="str">
        <f>KBOBBaumaterialien!B47</f>
        <v>Zementmörtel</v>
      </c>
      <c r="P150" s="128">
        <v>21.25</v>
      </c>
      <c r="Q150" s="128">
        <v>60</v>
      </c>
      <c r="R150" s="723" t="str">
        <f>KBOBBaumaterialien!B40</f>
        <v>Gips-/Weissputz</v>
      </c>
      <c r="S150" s="128">
        <v>18</v>
      </c>
      <c r="T150" s="128">
        <v>60</v>
      </c>
      <c r="U150" s="724" t="s">
        <v>27</v>
      </c>
      <c r="V150" s="722"/>
      <c r="W150" s="722">
        <v>1</v>
      </c>
      <c r="X150" s="724" t="s">
        <v>27</v>
      </c>
      <c r="Y150" s="722"/>
      <c r="Z150" s="722">
        <v>1</v>
      </c>
      <c r="AA150" s="724" t="s">
        <v>27</v>
      </c>
      <c r="AB150" s="722"/>
      <c r="AC150" s="722">
        <v>1</v>
      </c>
      <c r="AD150" s="723" t="s">
        <v>27</v>
      </c>
      <c r="AE150" s="128"/>
      <c r="AF150" s="128">
        <v>1</v>
      </c>
      <c r="AG150" s="723" t="s">
        <v>27</v>
      </c>
      <c r="AH150" s="128"/>
      <c r="AI150" s="128">
        <v>1</v>
      </c>
      <c r="AJ150" s="723" t="s">
        <v>27</v>
      </c>
      <c r="AK150" s="128"/>
      <c r="AL150" s="128">
        <v>1</v>
      </c>
      <c r="AM150" s="128"/>
      <c r="AN150" s="501">
        <f>SUM(((VLOOKUP(I150,KBOB,10,FALSE)*J150)/K150),((VLOOKUP(L150,KBOB,10,FALSE)*M150)/N150),((VLOOKUP(O150,KBOB,10,FALSE)*P150)/Q150),((VLOOKUP(R150,KBOB,10,FALSE)*S150)/T150),((VLOOKUP(U150,KBOB,10,FALSE)*V150)/W150),((VLOOKUP(X150,KBOB,10,FALSE)*Y150)/Z150),((VLOOKUP(AA150,KBOB,10,FALSE)*AB150)/AC150),((VLOOKUP(AD150,KBOB,10,FALSE)*AE150)/AF150),((VLOOKUP(AG150,KBOB,10,FALSE)*AH150)/AI150),((VLOOKUP(AJ150,KBOB,10,FALSE)*AK150)/AL150))</f>
        <v>6.6959970490092715</v>
      </c>
      <c r="AO150" s="501">
        <f>SUM(((VLOOKUP(I150,KBOB,13,FALSE)*J150)/K150),((VLOOKUP(L150,KBOB,13,FALSE)*M150)/N150),((VLOOKUP(O150,KBOB,13,FALSE)*P150)/Q150),((VLOOKUP(R150,KBOB,13,FALSE)*S150)/T150),((VLOOKUP(U150,KBOB,13,FALSE)*V150)/W150),((VLOOKUP(X150,KBOB,13,FALSE)*Y150)/Z150),((VLOOKUP(AA150,KBOB,13,FALSE)*AB150)/AC150),((VLOOKUP(AD150,KBOB,13,FALSE)*AE150)/AF150),((VLOOKUP(AG150,KBOB,13,FALSE)*AH150)/AI150),((VLOOKUP(AJ150,KBOB,13,FALSE)*AK150)/AL150))</f>
        <v>0.58663763346666664</v>
      </c>
      <c r="AP150" s="501">
        <f>SUM(((VLOOKUP(I150,KBOB,4,FALSE)*J150)/K150),((VLOOKUP(L150,KBOB,4,FALSE)*M150)/N150),((VLOOKUP(O150,KBOB,4,FALSE)*P150)/Q150),((VLOOKUP(R150,KBOB,4,FALSE)*S150)/T150),((VLOOKUP(U150,KBOB,4,FALSE)*V150)/W150),((VLOOKUP(X150,KBOB,4,FALSE)*Y150)/Z150),((VLOOKUP(AA150,KBOB,4,FALSE)*AB150)/AC150),((VLOOKUP(AD150,KBOB,4,FALSE)*AE150)/AF150),((VLOOKUP(AG150,KBOB,4,FALSE)*AH150)/AI150),((VLOOKUP(AJ150,KBOB,4,FALSE)*AK150)/AL150))</f>
        <v>491.49313453749994</v>
      </c>
    </row>
    <row r="172" spans="1:9" s="578" customFormat="1" ht="44.25" customHeight="1">
      <c r="A172" s="579" t="s">
        <v>417</v>
      </c>
      <c r="B172" s="577"/>
      <c r="C172" s="577"/>
      <c r="D172" s="577"/>
      <c r="E172" s="577"/>
      <c r="F172" s="577"/>
      <c r="H172" s="577"/>
    </row>
    <row r="175" spans="1:9">
      <c r="A175" s="393" t="s">
        <v>1021</v>
      </c>
      <c r="B175" s="174"/>
      <c r="C175" s="174"/>
      <c r="D175" s="174" t="s">
        <v>1020</v>
      </c>
      <c r="E175" s="174"/>
      <c r="F175" s="174"/>
      <c r="G175" s="174"/>
      <c r="H175" s="174"/>
      <c r="I175" s="174"/>
    </row>
    <row r="176" spans="1:9">
      <c r="A176" s="174"/>
      <c r="B176" s="174"/>
      <c r="C176" s="174"/>
      <c r="D176" s="174"/>
      <c r="E176" s="174"/>
      <c r="F176" s="174"/>
      <c r="G176" s="174"/>
      <c r="H176" s="174"/>
      <c r="I176" s="174"/>
    </row>
    <row r="177" spans="1:9">
      <c r="A177" s="451"/>
      <c r="B177" s="1081" t="s">
        <v>1019</v>
      </c>
      <c r="C177" s="1082"/>
      <c r="D177" s="1082"/>
      <c r="E177" s="1083"/>
      <c r="F177" s="1081" t="s">
        <v>1018</v>
      </c>
      <c r="G177" s="1082"/>
      <c r="H177" s="1082"/>
      <c r="I177" s="1083"/>
    </row>
    <row r="178" spans="1:9" ht="15.75">
      <c r="A178" s="460"/>
      <c r="B178" s="456" t="s">
        <v>1017</v>
      </c>
      <c r="C178" s="456" t="s">
        <v>1016</v>
      </c>
      <c r="D178" s="459" t="s">
        <v>1015</v>
      </c>
      <c r="E178" s="458" t="s">
        <v>1014</v>
      </c>
      <c r="F178" s="457" t="s">
        <v>1017</v>
      </c>
      <c r="G178" s="456" t="s">
        <v>1016</v>
      </c>
      <c r="H178" s="456" t="s">
        <v>1015</v>
      </c>
      <c r="I178" s="455" t="s">
        <v>1014</v>
      </c>
    </row>
    <row r="179" spans="1:9">
      <c r="A179" s="452" t="s">
        <v>452</v>
      </c>
      <c r="B179" s="923">
        <v>0.52680000000000005</v>
      </c>
      <c r="C179" s="923">
        <v>3.2399999999999998E-2</v>
      </c>
      <c r="D179" s="454">
        <v>0.56519999999999926</v>
      </c>
      <c r="E179" s="453">
        <v>66.013899999999992</v>
      </c>
      <c r="F179" s="928">
        <v>0.878</v>
      </c>
      <c r="G179" s="923">
        <v>5.4000000000000006E-2</v>
      </c>
      <c r="H179" s="923">
        <v>0.94199999999999928</v>
      </c>
      <c r="I179" s="453">
        <v>110.0107</v>
      </c>
    </row>
    <row r="180" spans="1:9">
      <c r="A180" s="452" t="s">
        <v>450</v>
      </c>
      <c r="B180" s="923">
        <v>4.1135999999999999</v>
      </c>
      <c r="C180" s="923">
        <v>0.22799999999999959</v>
      </c>
      <c r="D180" s="454">
        <v>4.1639999999999997</v>
      </c>
      <c r="E180" s="453">
        <v>262.30450000000002</v>
      </c>
      <c r="F180" s="928">
        <v>6.8559999999999999</v>
      </c>
      <c r="G180" s="923">
        <v>0.37999999999999962</v>
      </c>
      <c r="H180" s="923">
        <v>6.9399999999999995</v>
      </c>
      <c r="I180" s="453">
        <v>436.60849999999999</v>
      </c>
    </row>
    <row r="181" spans="1:9" ht="15.75" thickBot="1">
      <c r="A181" s="452" t="s">
        <v>451</v>
      </c>
      <c r="B181" s="922">
        <v>3.2262999999999997</v>
      </c>
      <c r="C181" s="922">
        <v>0.19450000000000001</v>
      </c>
      <c r="D181" s="451">
        <v>3.3401000000000005</v>
      </c>
      <c r="E181" s="450">
        <v>290.142</v>
      </c>
      <c r="F181" s="929">
        <v>3.9983</v>
      </c>
      <c r="G181" s="922">
        <v>0.2409</v>
      </c>
      <c r="H181" s="922">
        <v>4.1393000000000004</v>
      </c>
      <c r="I181" s="450">
        <v>359.61</v>
      </c>
    </row>
    <row r="182" spans="1:9" ht="15.75" thickBot="1">
      <c r="A182" s="449" t="s">
        <v>1013</v>
      </c>
      <c r="B182" s="926">
        <v>7.8666999999999998</v>
      </c>
      <c r="C182" s="924">
        <v>0.45489999999999958</v>
      </c>
      <c r="D182" s="447">
        <v>8.0692999999999984</v>
      </c>
      <c r="E182" s="448">
        <v>618.46039999999994</v>
      </c>
      <c r="F182" s="930">
        <v>11.7323</v>
      </c>
      <c r="G182" s="924">
        <v>0.67489999999999961</v>
      </c>
      <c r="H182" s="931">
        <v>12.0213</v>
      </c>
      <c r="I182" s="446">
        <v>906.22919999999999</v>
      </c>
    </row>
    <row r="183" spans="1:9" ht="15.75" thickBot="1">
      <c r="A183" s="445" t="s">
        <v>1012</v>
      </c>
      <c r="B183" s="927">
        <v>3.7530999999999999</v>
      </c>
      <c r="C183" s="925">
        <v>0.22689999999999999</v>
      </c>
      <c r="D183" s="443">
        <v>3.9052999999999995</v>
      </c>
      <c r="E183" s="444">
        <v>356.15589999999997</v>
      </c>
      <c r="F183" s="927">
        <v>4.8762999999999996</v>
      </c>
      <c r="G183" s="925">
        <v>0.2949</v>
      </c>
      <c r="H183" s="932">
        <v>5.0812999999999997</v>
      </c>
      <c r="I183" s="442">
        <v>469.6207</v>
      </c>
    </row>
  </sheetData>
  <mergeCells count="35">
    <mergeCell ref="B177:E177"/>
    <mergeCell ref="F177:I177"/>
    <mergeCell ref="A1:G1"/>
    <mergeCell ref="B35:B49"/>
    <mergeCell ref="B50:B70"/>
    <mergeCell ref="B71:B85"/>
    <mergeCell ref="B86:B100"/>
    <mergeCell ref="A71:A85"/>
    <mergeCell ref="C71:C75"/>
    <mergeCell ref="C76:C80"/>
    <mergeCell ref="C81:C85"/>
    <mergeCell ref="A86:A100"/>
    <mergeCell ref="C86:C90"/>
    <mergeCell ref="C91:C95"/>
    <mergeCell ref="C96:C100"/>
    <mergeCell ref="A116:A124"/>
    <mergeCell ref="AR33:AT33"/>
    <mergeCell ref="AR101:AT115"/>
    <mergeCell ref="C40:C44"/>
    <mergeCell ref="C45:C49"/>
    <mergeCell ref="C50:C56"/>
    <mergeCell ref="B116:B124"/>
    <mergeCell ref="C116:C118"/>
    <mergeCell ref="C119:C121"/>
    <mergeCell ref="C122:C124"/>
    <mergeCell ref="A35:A49"/>
    <mergeCell ref="A50:A70"/>
    <mergeCell ref="B101:B115"/>
    <mergeCell ref="A101:A115"/>
    <mergeCell ref="C101:C105"/>
    <mergeCell ref="C106:C110"/>
    <mergeCell ref="C111:C115"/>
    <mergeCell ref="C35:C39"/>
    <mergeCell ref="C64:C70"/>
    <mergeCell ref="C57:C63"/>
  </mergeCells>
  <dataValidations count="1">
    <dataValidation type="list" allowBlank="1" showInputMessage="1" showErrorMessage="1" sqref="AL145:AL146 N150 K150 Q150 T150 W150 Z150 AC150 AF150 AI150 AL150 T128:T130 W128:W130 Z128:Z130 AI135:AI137 W135:W137 T135:T137 Z135:Z137 AC135:AC137 Q128:Q130 AC128:AC130 AF128:AF130 AI128:AI130 AL128:AL130 AL135:AL137 K128:K130 N135:N137 Q135:Q137 N128:N130 K135:K137 N141 K141 Q141 T141 W141 Z141 AC141 AF141 AI141 AL141 K145:K146 N145:N146 Q145:Q146 T145:T146 W145:W146 Z145:Z146 AC145:AC146 AF145:AF146 AI145:AI146 AF135:AF137 Q35:Q124 T35:T124 K35:K124 N35:N124 AL35:AL124 AF35:AF124 Z35:Z124 W35:W124 AI35:AI124 AC35:AC124">
      <formula1>$I$4:$I$8</formula1>
    </dataValidation>
  </dataValidations>
  <pageMargins left="0" right="0" top="0.59055118110236215" bottom="0.23622047244094488" header="0.31496062992125984" footer="0.3543307086614173"/>
  <pageSetup paperSize="8" scale="19" orientation="landscape" r:id="rId1"/>
  <rowBreaks count="3" manualBreakCount="3">
    <brk id="49" max="16383" man="1"/>
    <brk id="70" max="16383" man="1"/>
    <brk id="125" max="16383" man="1"/>
  </rowBreaks>
  <colBreaks count="1" manualBreakCount="1">
    <brk id="7" max="1048575" man="1"/>
  </colBreaks>
  <ignoredErrors>
    <ignoredError sqref="AN38" evalError="1"/>
  </ignoredErrors>
  <drawing r:id="rId2"/>
  <legacyDrawing r:id="rId3"/>
  <controls>
    <mc:AlternateContent xmlns:mc="http://schemas.openxmlformats.org/markup-compatibility/2006">
      <mc:Choice Requires="x14">
        <control shapeId="3084" r:id="rId4" name="Control 12">
          <controlPr defaultSize="0" autoPict="0" r:id="rId5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84" r:id="rId4" name="Control 12"/>
      </mc:Fallback>
    </mc:AlternateContent>
    <mc:AlternateContent xmlns:mc="http://schemas.openxmlformats.org/markup-compatibility/2006">
      <mc:Choice Requires="x14">
        <control shapeId="3085" r:id="rId6" name="Control 13">
          <controlPr defaultSize="0" autoPict="0" r:id="rId7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85" r:id="rId6" name="Control 13"/>
      </mc:Fallback>
    </mc:AlternateContent>
    <mc:AlternateContent xmlns:mc="http://schemas.openxmlformats.org/markup-compatibility/2006">
      <mc:Choice Requires="x14">
        <control shapeId="3086" r:id="rId8" name="Control 14">
          <controlPr defaultSize="0" autoPict="0" r:id="rId9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86" r:id="rId8" name="Control 14"/>
      </mc:Fallback>
    </mc:AlternateContent>
    <mc:AlternateContent xmlns:mc="http://schemas.openxmlformats.org/markup-compatibility/2006">
      <mc:Choice Requires="x14">
        <control shapeId="3087" r:id="rId10" name="Control 15">
          <controlPr defaultSize="0" autoPict="0" r:id="rId11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87" r:id="rId10" name="Control 15"/>
      </mc:Fallback>
    </mc:AlternateContent>
    <mc:AlternateContent xmlns:mc="http://schemas.openxmlformats.org/markup-compatibility/2006">
      <mc:Choice Requires="x14">
        <control shapeId="3088" r:id="rId12" name="Control 16">
          <controlPr defaultSize="0" autoPict="0" r:id="rId13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88" r:id="rId12" name="Control 16"/>
      </mc:Fallback>
    </mc:AlternateContent>
    <mc:AlternateContent xmlns:mc="http://schemas.openxmlformats.org/markup-compatibility/2006">
      <mc:Choice Requires="x14">
        <control shapeId="3089" r:id="rId14" name="Control 17">
          <controlPr defaultSize="0" autoPict="0" r:id="rId15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89" r:id="rId14" name="Control 17"/>
      </mc:Fallback>
    </mc:AlternateContent>
    <mc:AlternateContent xmlns:mc="http://schemas.openxmlformats.org/markup-compatibility/2006">
      <mc:Choice Requires="x14">
        <control shapeId="3090" r:id="rId16" name="Control 18">
          <controlPr defaultSize="0" autoPict="0" r:id="rId17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90" r:id="rId16" name="Control 18"/>
      </mc:Fallback>
    </mc:AlternateContent>
    <mc:AlternateContent xmlns:mc="http://schemas.openxmlformats.org/markup-compatibility/2006">
      <mc:Choice Requires="x14">
        <control shapeId="3091" r:id="rId18" name="Control 19">
          <controlPr defaultSize="0" autoPict="0" r:id="rId19">
            <anchor moveWithCells="1">
              <from>
                <xdr:col>0</xdr:col>
                <xdr:colOff>1143000</xdr:colOff>
                <xdr:row>5</xdr:row>
                <xdr:rowOff>76200</xdr:rowOff>
              </from>
              <to>
                <xdr:col>1</xdr:col>
                <xdr:colOff>38100</xdr:colOff>
                <xdr:row>5</xdr:row>
                <xdr:rowOff>238125</xdr:rowOff>
              </to>
            </anchor>
          </controlPr>
        </control>
      </mc:Choice>
      <mc:Fallback>
        <control shapeId="3091" r:id="rId18" name="Control 19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7"/>
  <sheetViews>
    <sheetView zoomScale="70" zoomScaleNormal="70" workbookViewId="0">
      <selection activeCell="D27" sqref="D27"/>
    </sheetView>
  </sheetViews>
  <sheetFormatPr baseColWidth="10" defaultRowHeight="15"/>
  <cols>
    <col min="1" max="1" width="22.85546875" customWidth="1"/>
    <col min="2" max="2" width="27.42578125" customWidth="1"/>
    <col min="3" max="3" width="20.140625" customWidth="1"/>
    <col min="4" max="5" width="95.5703125" customWidth="1"/>
    <col min="6" max="6" width="21.5703125" customWidth="1"/>
    <col min="7" max="7" width="19.42578125" customWidth="1"/>
    <col min="8" max="8" width="19.5703125" customWidth="1"/>
  </cols>
  <sheetData>
    <row r="3" spans="1:8" ht="26.25">
      <c r="A3" s="579" t="s">
        <v>1111</v>
      </c>
      <c r="B3" s="577"/>
      <c r="C3" s="577"/>
      <c r="D3" s="577"/>
      <c r="E3" s="577"/>
    </row>
    <row r="4" spans="1:8">
      <c r="A4" s="518"/>
      <c r="B4" s="518"/>
      <c r="C4" s="518"/>
    </row>
    <row r="5" spans="1:8">
      <c r="A5" s="126"/>
      <c r="B5" s="126"/>
      <c r="C5" s="126"/>
    </row>
    <row r="6" spans="1:8" ht="39">
      <c r="A6" s="138" t="s">
        <v>366</v>
      </c>
      <c r="B6" s="138" t="s">
        <v>396</v>
      </c>
      <c r="C6" s="138" t="s">
        <v>367</v>
      </c>
      <c r="D6" s="138" t="s">
        <v>368</v>
      </c>
      <c r="E6" s="138" t="s">
        <v>407</v>
      </c>
      <c r="F6" s="138" t="s">
        <v>1075</v>
      </c>
      <c r="G6" s="138" t="s">
        <v>1174</v>
      </c>
      <c r="H6" s="138" t="s">
        <v>1077</v>
      </c>
    </row>
    <row r="7" spans="1:8">
      <c r="A7" s="918"/>
      <c r="B7" s="918"/>
      <c r="C7" s="918"/>
      <c r="D7" s="920"/>
      <c r="E7" s="920"/>
      <c r="F7" s="920"/>
      <c r="G7" s="920"/>
      <c r="H7" s="920"/>
    </row>
    <row r="8" spans="1:8">
      <c r="A8" s="1100" t="s">
        <v>383</v>
      </c>
      <c r="B8" s="1100" t="s">
        <v>1180</v>
      </c>
      <c r="C8" s="1064" t="s">
        <v>1179</v>
      </c>
      <c r="D8" s="565" t="s">
        <v>1092</v>
      </c>
      <c r="E8" s="557" t="str">
        <f>D8&amp;"_"&amp;$C$8&amp;$B$8</f>
        <v>Schrägdach: Sparrenlage mit zwischenliegender Wärmedämmung (Kaltdach)_keine_D_mod</v>
      </c>
      <c r="F8" s="498">
        <f>((VLOOKUP(Konstruktionen!AJ35,KBOB,10,FALSE)*Konstruktionen!AK35)/Konstruktionen!AL35)</f>
        <v>0.15</v>
      </c>
      <c r="G8" s="498">
        <f>((VLOOKUP(Konstruktionen!AJ35,KBOB,13,FALSE)*Konstruktionen!AK35)/Konstruktionen!AL35)</f>
        <v>1.3899999999999999E-2</v>
      </c>
      <c r="H8" s="498">
        <f>((VLOOKUP(Konstruktionen!AJ35,KBOB,4,FALSE)*Konstruktionen!AK35)/Konstruktionen!AL35)</f>
        <v>15.1</v>
      </c>
    </row>
    <row r="9" spans="1:8">
      <c r="A9" s="1098"/>
      <c r="B9" s="1098"/>
      <c r="C9" s="1065"/>
      <c r="D9" s="557" t="s">
        <v>1250</v>
      </c>
      <c r="E9" s="557" t="str">
        <f>D9&amp;"_"&amp;$C$8&amp;$B$8</f>
        <v>Flachdach: Betondecke (Warmdach), Dämmung: EPS_keine_D_mod</v>
      </c>
      <c r="F9" s="498">
        <f>((VLOOKUP(Konstruktionen!AJ36,KBOB,10,FALSE)*Konstruktionen!AK36)/Konstruktionen!AL36)</f>
        <v>0.15</v>
      </c>
      <c r="G9" s="498">
        <f>((VLOOKUP(Konstruktionen!AJ36,KBOB,13,FALSE)*Konstruktionen!AK36)/Konstruktionen!AL36)</f>
        <v>1.3899999999999999E-2</v>
      </c>
      <c r="H9" s="498">
        <f>((VLOOKUP(Konstruktionen!AJ36,KBOB,4,FALSE)*Konstruktionen!AK36)/Konstruktionen!AL36)</f>
        <v>15.1</v>
      </c>
    </row>
    <row r="10" spans="1:8">
      <c r="A10" s="1098"/>
      <c r="B10" s="1098"/>
      <c r="C10" s="1065"/>
      <c r="D10" s="129" t="s">
        <v>1253</v>
      </c>
      <c r="E10" s="557" t="str">
        <f>D10&amp;"_"&amp;$C$8&amp;$B$8</f>
        <v>Flachdach: Holzbalkendecke (Warmdach), Dämmung: EPS_keine_D_mod</v>
      </c>
      <c r="F10" s="498">
        <f>((VLOOKUP(Konstruktionen!AJ37,KBOB,10,FALSE)*Konstruktionen!AK37)/Konstruktionen!AL37)</f>
        <v>0.15</v>
      </c>
      <c r="G10" s="498">
        <f>((VLOOKUP(Konstruktionen!AJ37,KBOB,13,FALSE)*Konstruktionen!AK37)/Konstruktionen!AL37)</f>
        <v>1.3899999999999999E-2</v>
      </c>
      <c r="H10" s="498">
        <f>((VLOOKUP(Konstruktionen!AJ37,KBOB,4,FALSE)*Konstruktionen!AK37)/Konstruktionen!AL37)</f>
        <v>15.1</v>
      </c>
    </row>
    <row r="11" spans="1:8">
      <c r="A11" s="1098"/>
      <c r="B11" s="1098"/>
      <c r="C11" s="1065"/>
      <c r="D11" s="129" t="s">
        <v>1249</v>
      </c>
      <c r="E11" s="557" t="str">
        <f>D11&amp;"_"&amp;$C$8&amp;$B$8</f>
        <v>Flachdach: Betondecke (Warmdach), Dämmung: Schaumglas_keine_D_mod</v>
      </c>
      <c r="F11" s="498">
        <f>((VLOOKUP(Konstruktionen!AJ38,KBOB,10,FALSE)*Konstruktionen!AK38)/Konstruktionen!AL38)</f>
        <v>0.15</v>
      </c>
      <c r="G11" s="498">
        <f>((VLOOKUP(Konstruktionen!AJ38,KBOB,13,FALSE)*Konstruktionen!AK38)/Konstruktionen!AL38)</f>
        <v>1.3899999999999999E-2</v>
      </c>
      <c r="H11" s="498">
        <f>((VLOOKUP(Konstruktionen!AJ38,KBOB,4,FALSE)*Konstruktionen!AK38)/Konstruktionen!AL38)</f>
        <v>15.1</v>
      </c>
    </row>
    <row r="12" spans="1:8">
      <c r="A12" s="1098"/>
      <c r="B12" s="1098"/>
      <c r="C12" s="1065"/>
      <c r="D12" s="130" t="s">
        <v>1251</v>
      </c>
      <c r="E12" s="557" t="str">
        <f>D12&amp;"_"&amp;$C$8&amp;$B$8</f>
        <v>Flachdach: Holzbalkendecke (Warmdach), Dämmung: Schaumglas_keine_D_mod</v>
      </c>
      <c r="F12" s="498">
        <f>((VLOOKUP(Konstruktionen!AJ39,KBOB,10,FALSE)*Konstruktionen!AK39)/Konstruktionen!AL39)</f>
        <v>0.15</v>
      </c>
      <c r="G12" s="498">
        <f>((VLOOKUP(Konstruktionen!AJ39,KBOB,13,FALSE)*Konstruktionen!AK39)/Konstruktionen!AL39)</f>
        <v>1.3899999999999999E-2</v>
      </c>
      <c r="H12" s="498">
        <f>((VLOOKUP(Konstruktionen!AJ39,KBOB,4,FALSE)*Konstruktionen!AK39)/Konstruktionen!AL39)</f>
        <v>15.1</v>
      </c>
    </row>
    <row r="13" spans="1:8">
      <c r="A13" s="1098"/>
      <c r="B13" s="1098"/>
      <c r="C13" s="1064" t="s">
        <v>380</v>
      </c>
      <c r="D13" s="565" t="s">
        <v>1092</v>
      </c>
      <c r="E13" s="557" t="str">
        <f>D13&amp;"_"&amp;$C$13&amp;$B$8</f>
        <v>Schrägdach: Sparrenlage mit zwischenliegender Wärmedämmung (Kaltdach)_MuKen_D_mod</v>
      </c>
      <c r="F13" s="137">
        <f>Konstruktionen!AR35</f>
        <v>11.130929760758489</v>
      </c>
      <c r="G13" s="137">
        <f>Konstruktionen!AS35</f>
        <v>0.81714562125135359</v>
      </c>
      <c r="H13" s="137">
        <f>Konstruktionen!AT35</f>
        <v>991.76480995012435</v>
      </c>
    </row>
    <row r="14" spans="1:8">
      <c r="A14" s="1098"/>
      <c r="B14" s="1098"/>
      <c r="C14" s="1065"/>
      <c r="D14" s="557" t="s">
        <v>1250</v>
      </c>
      <c r="E14" s="557" t="str">
        <f>D14&amp;"_"&amp;$C$13&amp;$B$8</f>
        <v>Flachdach: Betondecke (Warmdach), Dämmung: EPS_MuKen_D_mod</v>
      </c>
      <c r="F14" s="498">
        <f>Konstruktionen!AR36</f>
        <v>41.608142306904099</v>
      </c>
      <c r="G14" s="498">
        <f>Konstruktionen!AS36</f>
        <v>2.9226184200000001</v>
      </c>
      <c r="H14" s="498">
        <f>Konstruktionen!AT36</f>
        <v>2481.5393066666666</v>
      </c>
    </row>
    <row r="15" spans="1:8">
      <c r="A15" s="1098"/>
      <c r="B15" s="1098"/>
      <c r="C15" s="1065"/>
      <c r="D15" s="129" t="s">
        <v>1253</v>
      </c>
      <c r="E15" s="557" t="str">
        <f>D15&amp;"_"&amp;$C$13&amp;$B$8</f>
        <v>Flachdach: Holzbalkendecke (Warmdach), Dämmung: EPS_MuKen_D_mod</v>
      </c>
      <c r="F15" s="498">
        <f>Konstruktionen!AR37</f>
        <v>40.193227893336115</v>
      </c>
      <c r="G15" s="498">
        <f>Konstruktionen!AS37</f>
        <v>2.8053537643189057</v>
      </c>
      <c r="H15" s="498">
        <f>Konstruktionen!AT37</f>
        <v>2480.3237769679713</v>
      </c>
    </row>
    <row r="16" spans="1:8">
      <c r="A16" s="1098"/>
      <c r="B16" s="1098"/>
      <c r="C16" s="1065"/>
      <c r="D16" s="129" t="s">
        <v>1249</v>
      </c>
      <c r="E16" s="557" t="str">
        <f>D16&amp;"_"&amp;$C$13&amp;$B$8</f>
        <v>Flachdach: Betondecke (Warmdach), Dämmung: Schaumglas_MuKen_D_mod</v>
      </c>
      <c r="F16" s="498">
        <f>Konstruktionen!AR38</f>
        <v>37.798562230986199</v>
      </c>
      <c r="G16" s="498">
        <f>Konstruktionen!AS38</f>
        <v>2.49666123</v>
      </c>
      <c r="H16" s="498">
        <f>Konstruktionen!AT38</f>
        <v>2236.9112766666667</v>
      </c>
    </row>
    <row r="17" spans="1:10">
      <c r="A17" s="1098"/>
      <c r="B17" s="1098"/>
      <c r="C17" s="1065"/>
      <c r="D17" s="130" t="s">
        <v>1251</v>
      </c>
      <c r="E17" s="557" t="str">
        <f>D17&amp;"_"&amp;$C$13&amp;$B$8</f>
        <v>Flachdach: Holzbalkendecke (Warmdach), Dämmung: Schaumglas_MuKen_D_mod</v>
      </c>
      <c r="F17" s="501">
        <f>Konstruktionen!AR39</f>
        <v>36.383647817418222</v>
      </c>
      <c r="G17" s="501">
        <f>Konstruktionen!AS39</f>
        <v>2.3793965743189056</v>
      </c>
      <c r="H17" s="501">
        <f>Konstruktionen!AT39</f>
        <v>2235.6957469679714</v>
      </c>
    </row>
    <row r="18" spans="1:10">
      <c r="A18" s="1098"/>
      <c r="B18" s="1098"/>
      <c r="C18" s="1065" t="s">
        <v>381</v>
      </c>
      <c r="D18" s="127" t="s">
        <v>1092</v>
      </c>
      <c r="E18" s="557" t="str">
        <f>D18&amp;"_"&amp;$C$18&amp;$B$8</f>
        <v>Schrägdach: Sparrenlage mit zwischenliegender Wärmedämmung (Kaltdach)_MINERGIE_D_mod</v>
      </c>
      <c r="F18" s="137">
        <f>Konstruktionen!AR40</f>
        <v>12.156929760758489</v>
      </c>
      <c r="G18" s="137">
        <f>Konstruktionen!AS40</f>
        <v>0.88734562125135352</v>
      </c>
      <c r="H18" s="137">
        <f>Konstruktionen!AT40</f>
        <v>1064.6648099501244</v>
      </c>
    </row>
    <row r="19" spans="1:10">
      <c r="A19" s="1098"/>
      <c r="B19" s="1098"/>
      <c r="C19" s="1065"/>
      <c r="D19" s="521" t="s">
        <v>1250</v>
      </c>
      <c r="E19" s="557" t="str">
        <f>D19&amp;"_"&amp;$C$18&amp;$B$8</f>
        <v>Flachdach: Betondecke (Warmdach), Dämmung: EPS_MINERGIE_D_mod</v>
      </c>
      <c r="F19" s="498">
        <f>Konstruktionen!AR41</f>
        <v>48.981659643678498</v>
      </c>
      <c r="G19" s="498">
        <f>Konstruktionen!AS41</f>
        <v>3.4380354200000003</v>
      </c>
      <c r="H19" s="498">
        <f>Konstruktionen!AT41</f>
        <v>2846.9393066666671</v>
      </c>
    </row>
    <row r="20" spans="1:10">
      <c r="A20" s="1098"/>
      <c r="B20" s="1098"/>
      <c r="C20" s="1065"/>
      <c r="D20" s="129" t="s">
        <v>1253</v>
      </c>
      <c r="E20" s="557" t="str">
        <f>D20&amp;"_"&amp;$C$18&amp;$B$8</f>
        <v>Flachdach: Holzbalkendecke (Warmdach), Dämmung: EPS_MINERGIE_D_mod</v>
      </c>
      <c r="F20" s="498">
        <f>Konstruktionen!AR42</f>
        <v>46.513385610571319</v>
      </c>
      <c r="G20" s="498">
        <f>Konstruktionen!AS42</f>
        <v>3.2471397643189057</v>
      </c>
      <c r="H20" s="498">
        <f>Konstruktionen!AT42</f>
        <v>2793.5237769679711</v>
      </c>
    </row>
    <row r="21" spans="1:10">
      <c r="A21" s="1098"/>
      <c r="B21" s="1098"/>
      <c r="C21" s="1065"/>
      <c r="D21" s="129" t="s">
        <v>1249</v>
      </c>
      <c r="E21" s="557" t="str">
        <f>D21&amp;"_"&amp;$C$18&amp;$B$8</f>
        <v>Flachdach: Betondecke (Warmdach), Dämmung: Schaumglas_MINERGIE_D_mod</v>
      </c>
      <c r="F21" s="498">
        <f>Konstruktionen!AR43</f>
        <v>42.848859922915437</v>
      </c>
      <c r="G21" s="498">
        <f>Konstruktionen!AS43</f>
        <v>2.7964615000000004</v>
      </c>
      <c r="H21" s="498">
        <f>Konstruktionen!AT43</f>
        <v>2468.5686000000005</v>
      </c>
    </row>
    <row r="22" spans="1:10">
      <c r="A22" s="1098"/>
      <c r="B22" s="1098"/>
      <c r="C22" s="1065"/>
      <c r="D22" s="130" t="s">
        <v>1251</v>
      </c>
      <c r="E22" s="557" t="str">
        <f>D22&amp;"_"&amp;$C$18&amp;$B$8</f>
        <v>Flachdach: Holzbalkendecke (Warmdach), Dämmung: Schaumglas_MINERGIE_D_mod</v>
      </c>
      <c r="F22" s="501">
        <f>Konstruktionen!AR44</f>
        <v>41.630710354487562</v>
      </c>
      <c r="G22" s="501">
        <f>Konstruktionen!AS44</f>
        <v>2.6908773743189056</v>
      </c>
      <c r="H22" s="501">
        <f>Konstruktionen!AT44</f>
        <v>2476.3786803013045</v>
      </c>
    </row>
    <row r="23" spans="1:10">
      <c r="A23" s="1098"/>
      <c r="B23" s="1098"/>
      <c r="C23" s="1065" t="s">
        <v>401</v>
      </c>
      <c r="D23" s="127" t="s">
        <v>1092</v>
      </c>
      <c r="E23" s="557" t="str">
        <f>D23&amp;"_"&amp;$C$23&amp;$B$8</f>
        <v>Schrägdach: Sparrenlage mit zwischenliegender Wärmedämmung (Kaltdach)_MINERGIE_P_D_mod</v>
      </c>
      <c r="F23" s="495">
        <f>Konstruktionen!AR45</f>
        <v>13.866929760758488</v>
      </c>
      <c r="G23" s="495">
        <f>Konstruktionen!AS45</f>
        <v>1.0043456212513535</v>
      </c>
      <c r="H23" s="495">
        <f>Konstruktionen!AT45</f>
        <v>1186.1648099501242</v>
      </c>
    </row>
    <row r="24" spans="1:10">
      <c r="A24" s="1098"/>
      <c r="B24" s="1098"/>
      <c r="C24" s="1065"/>
      <c r="D24" s="129" t="s">
        <v>1250</v>
      </c>
      <c r="E24" s="557" t="str">
        <f>D24&amp;"_"&amp;$C$23&amp;$B$8</f>
        <v>Flachdach: Betondecke (Warmdach), Dämmung: EPS_MINERGIE_P_D_mod</v>
      </c>
      <c r="F24" s="498">
        <f>Konstruktionen!AR46</f>
        <v>60.568615458609706</v>
      </c>
      <c r="G24" s="498">
        <f>Konstruktionen!AS46</f>
        <v>4.2479764200000005</v>
      </c>
      <c r="H24" s="498">
        <f>Konstruktionen!AT46</f>
        <v>3421.1393066666669</v>
      </c>
    </row>
    <row r="25" spans="1:10">
      <c r="A25" s="1098"/>
      <c r="B25" s="1098"/>
      <c r="C25" s="1065"/>
      <c r="D25" s="129" t="s">
        <v>1253</v>
      </c>
      <c r="E25" s="557" t="str">
        <f>D25&amp;"_"&amp;$C$23&amp;$B$8</f>
        <v>Flachdach: Holzbalkendecke (Warmdach), Dämmung: EPS_MINERGIE_P_D_mod</v>
      </c>
      <c r="F25" s="498">
        <f>Konstruktionen!AR47</f>
        <v>58.100341425502521</v>
      </c>
      <c r="G25" s="498">
        <f>Konstruktionen!AS47</f>
        <v>4.057080764318906</v>
      </c>
      <c r="H25" s="498">
        <f>Konstruktionen!AT47</f>
        <v>3367.7237769679714</v>
      </c>
    </row>
    <row r="26" spans="1:10">
      <c r="A26" s="1098"/>
      <c r="B26" s="1098"/>
      <c r="C26" s="1065"/>
      <c r="D26" s="129" t="s">
        <v>1249</v>
      </c>
      <c r="E26" s="557" t="str">
        <f>D26&amp;"_"&amp;$C$23&amp;$B$8</f>
        <v>Flachdach: Betondecke (Warmdach), Dämmung: Schaumglas_MINERGIE_P_D_mod</v>
      </c>
      <c r="F26" s="498">
        <f>Konstruktionen!AR48</f>
        <v>55.113868603315005</v>
      </c>
      <c r="G26" s="498">
        <f>Konstruktionen!AS48</f>
        <v>3.5245478700000001</v>
      </c>
      <c r="H26" s="498">
        <f>Konstruktionen!AT48</f>
        <v>3031.1649566666665</v>
      </c>
    </row>
    <row r="27" spans="1:10" ht="15.75" thickBot="1">
      <c r="A27" s="1099"/>
      <c r="B27" s="1099"/>
      <c r="C27" s="1066"/>
      <c r="D27" s="131" t="s">
        <v>1251</v>
      </c>
      <c r="E27" s="561" t="str">
        <f>D27&amp;"_"&amp;$C$23&amp;$B$8</f>
        <v>Flachdach: Holzbalkendecke (Warmdach), Dämmung: Schaumglas_MINERGIE_P_D_mod</v>
      </c>
      <c r="F27" s="503">
        <f>Konstruktionen!AR49</f>
        <v>52.452776837193056</v>
      </c>
      <c r="G27" s="503">
        <f>Konstruktionen!AS49</f>
        <v>3.3333065243189055</v>
      </c>
      <c r="H27" s="503">
        <f>Konstruktionen!AT49</f>
        <v>2972.7872303013046</v>
      </c>
    </row>
    <row r="28" spans="1:10" ht="15" customHeight="1">
      <c r="A28" s="1080" t="s">
        <v>1137</v>
      </c>
      <c r="B28" s="1080" t="s">
        <v>1181</v>
      </c>
      <c r="C28" s="1080" t="s">
        <v>1179</v>
      </c>
      <c r="D28" s="134" t="s">
        <v>1098</v>
      </c>
      <c r="E28" s="549" t="str">
        <f>D28&amp;"_"&amp;$C$28&amp;$B$28</f>
        <v>Holzblockwand, Aussenwärmedämmung, Verkleidung_keine_Wü_mod</v>
      </c>
      <c r="F28" s="498">
        <f>((VLOOKUP(Konstruktionen!AJ50,KBOB,10,FALSE)*Konstruktionen!AK50)/Konstruktionen!AL50)</f>
        <v>0.23499999999999999</v>
      </c>
      <c r="G28" s="498">
        <f>((VLOOKUP(Konstruktionen!AJ50,KBOB,13,FALSE)*Konstruktionen!AK50)/Konstruktionen!AL50)</f>
        <v>1.5799999999999998E-2</v>
      </c>
      <c r="H28" s="498">
        <f>((VLOOKUP(Konstruktionen!AJ50,KBOB,4,FALSE)*Konstruktionen!AK50)/Konstruktionen!AL50)</f>
        <v>19.899999999999999</v>
      </c>
      <c r="J28" s="942" t="s">
        <v>1189</v>
      </c>
    </row>
    <row r="29" spans="1:10" ht="15" customHeight="1">
      <c r="A29" s="1068"/>
      <c r="B29" s="1068"/>
      <c r="C29" s="1068"/>
      <c r="D29" s="134" t="s">
        <v>1194</v>
      </c>
      <c r="E29" s="549" t="str">
        <f t="shared" ref="E29:E34" si="0">D29&amp;"_"&amp;$C$28&amp;$B$28</f>
        <v>Einschalenbacksteinmauerwerk, Aussenwärmedämmung verputzt _keine_Wü_mod</v>
      </c>
      <c r="F29" s="498">
        <f>((VLOOKUP(Konstruktionen!AJ51,KBOB,10,FALSE)*Konstruktionen!AK51)/Konstruktionen!AL51)</f>
        <v>0.23499999999999999</v>
      </c>
      <c r="G29" s="498">
        <f>((VLOOKUP(Konstruktionen!AJ51,KBOB,13,FALSE)*Konstruktionen!AK51)/Konstruktionen!AL51)</f>
        <v>1.5799999999999998E-2</v>
      </c>
      <c r="H29" s="498">
        <f>((VLOOKUP(Konstruktionen!AJ51,KBOB,4,FALSE)*Konstruktionen!AK51)/Konstruktionen!AL51)</f>
        <v>19.899999999999999</v>
      </c>
    </row>
    <row r="30" spans="1:10">
      <c r="A30" s="1068"/>
      <c r="B30" s="1068"/>
      <c r="C30" s="1068"/>
      <c r="D30" s="134" t="s">
        <v>1105</v>
      </c>
      <c r="E30" s="549" t="str">
        <f t="shared" si="0"/>
        <v>Sichtbetonwand, Aussenwärmedämmung hinterlüftet_keine_Wü_mod</v>
      </c>
      <c r="F30" s="498">
        <f>((VLOOKUP(Konstruktionen!AJ52,KBOB,10,FALSE)*Konstruktionen!AK52)/Konstruktionen!AL52)</f>
        <v>0.23499999999999999</v>
      </c>
      <c r="G30" s="498">
        <f>((VLOOKUP(Konstruktionen!AJ52,KBOB,13,FALSE)*Konstruktionen!AK52)/Konstruktionen!AL52)</f>
        <v>1.5799999999999998E-2</v>
      </c>
      <c r="H30" s="498">
        <f>((VLOOKUP(Konstruktionen!AJ52,KBOB,4,FALSE)*Konstruktionen!AK52)/Konstruktionen!AL52)</f>
        <v>19.899999999999999</v>
      </c>
    </row>
    <row r="31" spans="1:10">
      <c r="A31" s="1068"/>
      <c r="B31" s="1068"/>
      <c r="C31" s="1068"/>
      <c r="D31" s="134" t="s">
        <v>1195</v>
      </c>
      <c r="E31" s="549" t="str">
        <f t="shared" si="0"/>
        <v>Zweischalenmauerwerk verputzt, Kerndämmung _keine_Wü_mod</v>
      </c>
      <c r="F31" s="498">
        <f>((VLOOKUP(Konstruktionen!AJ53,KBOB,10,FALSE)*Konstruktionen!AK53)/Konstruktionen!AL53)</f>
        <v>0.23499999999999999</v>
      </c>
      <c r="G31" s="498">
        <f>((VLOOKUP(Konstruktionen!AJ53,KBOB,13,FALSE)*Konstruktionen!AK53)/Konstruktionen!AL53)</f>
        <v>1.5799999999999998E-2</v>
      </c>
      <c r="H31" s="498">
        <f>((VLOOKUP(Konstruktionen!AJ53,KBOB,4,FALSE)*Konstruktionen!AK53)/Konstruktionen!AL53)</f>
        <v>19.899999999999999</v>
      </c>
    </row>
    <row r="32" spans="1:10">
      <c r="A32" s="1068"/>
      <c r="B32" s="1068"/>
      <c r="C32" s="1068"/>
      <c r="D32" s="538" t="s">
        <v>1108</v>
      </c>
      <c r="E32" s="549" t="str">
        <f t="shared" si="0"/>
        <v>Holzelementwand mit zwischenliegender Wärmedämmung_keine_Wü_mod</v>
      </c>
      <c r="F32" s="498">
        <f>((VLOOKUP(Konstruktionen!AJ54,KBOB,10,FALSE)*Konstruktionen!AK54)/Konstruktionen!AL54)</f>
        <v>0.23499999999999999</v>
      </c>
      <c r="G32" s="498">
        <f>((VLOOKUP(Konstruktionen!AJ54,KBOB,13,FALSE)*Konstruktionen!AK54)/Konstruktionen!AL54)</f>
        <v>1.5799999999999998E-2</v>
      </c>
      <c r="H32" s="498">
        <f>((VLOOKUP(Konstruktionen!AJ54,KBOB,4,FALSE)*Konstruktionen!AK54)/Konstruktionen!AL54)</f>
        <v>19.899999999999999</v>
      </c>
    </row>
    <row r="33" spans="1:8">
      <c r="A33" s="1068"/>
      <c r="B33" s="1068"/>
      <c r="C33" s="1068"/>
      <c r="D33" s="134" t="s">
        <v>1196</v>
      </c>
      <c r="E33" s="549" t="str">
        <f t="shared" si="0"/>
        <v>Einschalenbacksteinmauerwerk, Aussenwärmedämmung hinterlüftet _keine_Wü_mod</v>
      </c>
      <c r="F33" s="498">
        <f>((VLOOKUP(Konstruktionen!AJ55,KBOB,10,FALSE)*Konstruktionen!AK55)/Konstruktionen!AL55)</f>
        <v>0.23499999999999999</v>
      </c>
      <c r="G33" s="498">
        <f>((VLOOKUP(Konstruktionen!AJ55,KBOB,13,FALSE)*Konstruktionen!AK55)/Konstruktionen!AL55)</f>
        <v>1.5799999999999998E-2</v>
      </c>
      <c r="H33" s="498">
        <f>((VLOOKUP(Konstruktionen!AJ55,KBOB,4,FALSE)*Konstruktionen!AK55)/Konstruktionen!AL55)</f>
        <v>19.899999999999999</v>
      </c>
    </row>
    <row r="34" spans="1:8">
      <c r="A34" s="1068"/>
      <c r="B34" s="1068"/>
      <c r="C34" s="1068"/>
      <c r="D34" s="507"/>
      <c r="E34" s="507" t="str">
        <f t="shared" si="0"/>
        <v>_keine_Wü_mod</v>
      </c>
      <c r="F34" s="498" t="e">
        <f>((VLOOKUP(Konstruktionen!AJ56,KBOB,10,FALSE)*Konstruktionen!AK56)/Konstruktionen!AL56)</f>
        <v>#N/A</v>
      </c>
      <c r="G34" s="498" t="e">
        <f>((VLOOKUP(Konstruktionen!AJ56,KBOB,13,FALSE)*Konstruktionen!AK56)/Konstruktionen!AL56)</f>
        <v>#N/A</v>
      </c>
      <c r="H34" s="498" t="e">
        <f>((VLOOKUP(Konstruktionen!AJ56,KBOB,4,FALSE)*Konstruktionen!AK56)/Konstruktionen!AL56)</f>
        <v>#N/A</v>
      </c>
    </row>
    <row r="35" spans="1:8" ht="15" customHeight="1">
      <c r="A35" s="1068"/>
      <c r="B35" s="1068"/>
      <c r="C35" s="1067" t="s">
        <v>380</v>
      </c>
      <c r="D35" s="134" t="s">
        <v>1098</v>
      </c>
      <c r="E35" s="549" t="str">
        <f>D35&amp;"_"&amp;$C$35&amp;$B$28</f>
        <v>Holzblockwand, Aussenwärmedämmung, Verkleidung_MuKen_Wü_mod</v>
      </c>
      <c r="F35" s="137">
        <f>Konstruktionen!AR50</f>
        <v>5.6121342833261592</v>
      </c>
      <c r="G35" s="137">
        <f>Konstruktionen!AS50</f>
        <v>0.34538667717690502</v>
      </c>
      <c r="H35" s="137">
        <f>Konstruktionen!AT50</f>
        <v>633.25557139928367</v>
      </c>
    </row>
    <row r="36" spans="1:8">
      <c r="A36" s="1068"/>
      <c r="B36" s="1068"/>
      <c r="C36" s="1068"/>
      <c r="D36" s="134" t="s">
        <v>1190</v>
      </c>
      <c r="E36" s="549" t="str">
        <f t="shared" ref="E36:E41" si="1">D36&amp;"_"&amp;$C$35&amp;$B$28</f>
        <v>Einschalenbacksteinmauerwerk, Aussenwärmedämmung verputzt_MuKen_Wü_mod</v>
      </c>
      <c r="F36" s="498">
        <f>Konstruktionen!AR51</f>
        <v>17.769525104241847</v>
      </c>
      <c r="G36" s="498">
        <f>Konstruktionen!AS51</f>
        <v>1.0915472623133333</v>
      </c>
      <c r="H36" s="498">
        <f>Konstruktionen!AT51</f>
        <v>1002.9081613749998</v>
      </c>
    </row>
    <row r="37" spans="1:8">
      <c r="A37" s="1068"/>
      <c r="B37" s="1068"/>
      <c r="C37" s="1068"/>
      <c r="D37" s="134" t="s">
        <v>1105</v>
      </c>
      <c r="E37" s="549" t="str">
        <f t="shared" si="1"/>
        <v>Sichtbetonwand, Aussenwärmedämmung hinterlüftet_MuKen_Wü_mod</v>
      </c>
      <c r="F37" s="498">
        <f>Konstruktionen!AR52</f>
        <v>7.7639252042709126</v>
      </c>
      <c r="G37" s="498">
        <f>Konstruktionen!AS52</f>
        <v>0.28462149548516613</v>
      </c>
      <c r="H37" s="498">
        <f>Konstruktionen!AT52</f>
        <v>630.7976044986666</v>
      </c>
    </row>
    <row r="38" spans="1:8" ht="15" customHeight="1">
      <c r="A38" s="1068"/>
      <c r="B38" s="1068"/>
      <c r="C38" s="1068"/>
      <c r="D38" s="134" t="s">
        <v>1195</v>
      </c>
      <c r="E38" s="549" t="str">
        <f t="shared" si="1"/>
        <v>Zweischalenmauerwerk verputzt, Kerndämmung _MuKen_Wü_mod</v>
      </c>
      <c r="F38" s="498">
        <f>Konstruktionen!AR53</f>
        <v>14.207685301136085</v>
      </c>
      <c r="G38" s="498">
        <f>Konstruktionen!AS53</f>
        <v>1.1217350421000001</v>
      </c>
      <c r="H38" s="498">
        <f>Konstruktionen!AT53</f>
        <v>955.93480498124984</v>
      </c>
    </row>
    <row r="39" spans="1:8">
      <c r="A39" s="1068"/>
      <c r="B39" s="1068"/>
      <c r="C39" s="1068"/>
      <c r="D39" s="538" t="s">
        <v>1108</v>
      </c>
      <c r="E39" s="549" t="str">
        <f t="shared" si="1"/>
        <v>Holzelementwand mit zwischenliegender Wärmedämmung_MuKen_Wü_mod</v>
      </c>
      <c r="F39" s="498">
        <f>Konstruktionen!AR54</f>
        <v>6.8400937802186892</v>
      </c>
      <c r="G39" s="498">
        <f>Konstruktionen!AS54</f>
        <v>0.38704865688683421</v>
      </c>
      <c r="H39" s="498">
        <f>Konstruktionen!AT54</f>
        <v>667.08351040873038</v>
      </c>
    </row>
    <row r="40" spans="1:8">
      <c r="A40" s="1068"/>
      <c r="B40" s="1068"/>
      <c r="C40" s="1068"/>
      <c r="D40" s="134" t="s">
        <v>1196</v>
      </c>
      <c r="E40" s="549" t="str">
        <f t="shared" si="1"/>
        <v>Einschalenbacksteinmauerwerk, Aussenwärmedämmung hinterlüftet _MuKen_Wü_mod</v>
      </c>
      <c r="F40" s="498">
        <f>Konstruktionen!AR55</f>
        <v>8.3559840499889209</v>
      </c>
      <c r="G40" s="498">
        <f>Konstruktionen!AS55</f>
        <v>0.29676267223760444</v>
      </c>
      <c r="H40" s="498">
        <f>Konstruktionen!AT55</f>
        <v>669.51590676556145</v>
      </c>
    </row>
    <row r="41" spans="1:8">
      <c r="A41" s="1068"/>
      <c r="B41" s="1068"/>
      <c r="C41" s="1069"/>
      <c r="D41" s="507"/>
      <c r="E41" s="507" t="str">
        <f t="shared" si="1"/>
        <v>_MuKen_Wü_mod</v>
      </c>
      <c r="F41" s="498" t="e">
        <f>Konstruktionen!AR56</f>
        <v>#N/A</v>
      </c>
      <c r="G41" s="498" t="e">
        <f>Konstruktionen!AS56</f>
        <v>#N/A</v>
      </c>
      <c r="H41" s="498" t="e">
        <f>Konstruktionen!AT56</f>
        <v>#N/A</v>
      </c>
    </row>
    <row r="42" spans="1:8">
      <c r="A42" s="1068"/>
      <c r="B42" s="1068"/>
      <c r="C42" s="1067" t="s">
        <v>381</v>
      </c>
      <c r="D42" s="549" t="s">
        <v>1098</v>
      </c>
      <c r="E42" s="549" t="str">
        <f>D42&amp;"_"&amp;$C$42&amp;$B$28</f>
        <v>Holzblockwand, Aussenwärmedämmung, Verkleidung_MINERGIE_Wü_mod</v>
      </c>
      <c r="F42" s="137">
        <f>Konstruktionen!AR57</f>
        <v>7.2146879074546542</v>
      </c>
      <c r="G42" s="137">
        <f>Konstruktionen!AS57</f>
        <v>0.45486288086255422</v>
      </c>
      <c r="H42" s="137">
        <f>Konstruktionen!AT57</f>
        <v>748.28456879266366</v>
      </c>
    </row>
    <row r="43" spans="1:8">
      <c r="A43" s="1068"/>
      <c r="B43" s="1068"/>
      <c r="C43" s="1068"/>
      <c r="D43" s="134" t="s">
        <v>1194</v>
      </c>
      <c r="E43" s="549" t="str">
        <f t="shared" ref="E43:E48" si="2">D43&amp;"_"&amp;$C$42&amp;$B$28</f>
        <v>Einschalenbacksteinmauerwerk, Aussenwärmedämmung verputzt _MINERGIE_Wü_mod</v>
      </c>
      <c r="F43" s="498">
        <f>Konstruktionen!AR58</f>
        <v>21.280723836039186</v>
      </c>
      <c r="G43" s="498">
        <f>Konstruktionen!AS58</f>
        <v>1.3369839289800003</v>
      </c>
      <c r="H43" s="498">
        <f>Konstruktionen!AT58</f>
        <v>1176.9081613750002</v>
      </c>
    </row>
    <row r="44" spans="1:8">
      <c r="A44" s="1068"/>
      <c r="B44" s="1068"/>
      <c r="C44" s="1068"/>
      <c r="D44" s="134" t="s">
        <v>1105</v>
      </c>
      <c r="E44" s="549" t="str">
        <f t="shared" si="2"/>
        <v>Sichtbetonwand, Aussenwärmedämmung hinterlüftet_MINERGIE_Wü_mod</v>
      </c>
      <c r="F44" s="498">
        <f>Konstruktionen!AR59</f>
        <v>9.824007359071361</v>
      </c>
      <c r="G44" s="498">
        <f>Konstruktionen!AS59</f>
        <v>0.35239838048516609</v>
      </c>
      <c r="H44" s="498">
        <f>Konstruktionen!AT59</f>
        <v>731.59760449866667</v>
      </c>
    </row>
    <row r="45" spans="1:8">
      <c r="A45" s="1068"/>
      <c r="B45" s="1068"/>
      <c r="C45" s="1068"/>
      <c r="D45" s="134" t="s">
        <v>1195</v>
      </c>
      <c r="E45" s="549" t="str">
        <f t="shared" si="2"/>
        <v>Zweischalenmauerwerk verputzt, Kerndämmung _MINERGIE_Wü_mod</v>
      </c>
      <c r="F45" s="498">
        <f>Konstruktionen!AR60</f>
        <v>15.809971421536433</v>
      </c>
      <c r="G45" s="498">
        <f>Konstruktionen!AS60</f>
        <v>1.1744503971000002</v>
      </c>
      <c r="H45" s="498">
        <f>Konstruktionen!AT60</f>
        <v>1034.33480498125</v>
      </c>
    </row>
    <row r="46" spans="1:8">
      <c r="A46" s="1068"/>
      <c r="B46" s="1068"/>
      <c r="C46" s="1068"/>
      <c r="D46" s="538" t="s">
        <v>1108</v>
      </c>
      <c r="E46" s="549" t="str">
        <f t="shared" si="2"/>
        <v>Holzelementwand mit zwischenliegender Wärmedämmung_MINERGIE_Wü_mod</v>
      </c>
      <c r="F46" s="498">
        <f>Konstruktionen!AR61</f>
        <v>7.7520937802186891</v>
      </c>
      <c r="G46" s="498">
        <f>Konstruktionen!AS61</f>
        <v>0.44944865688683422</v>
      </c>
      <c r="H46" s="498">
        <f>Konstruktionen!AT61</f>
        <v>731.88351040873033</v>
      </c>
    </row>
    <row r="47" spans="1:8">
      <c r="A47" s="1068"/>
      <c r="B47" s="1068"/>
      <c r="C47" s="1068"/>
      <c r="D47" s="134" t="s">
        <v>1196</v>
      </c>
      <c r="E47" s="549" t="str">
        <f t="shared" si="2"/>
        <v>Einschalenbacksteinmauerwerk, Aussenwärmedämmung hinterlüftet _MINERGIE_Wü_mod</v>
      </c>
      <c r="F47" s="498">
        <f>Konstruktionen!AR62</f>
        <v>11.102760256389519</v>
      </c>
      <c r="G47" s="498">
        <f>Konstruktionen!AS62</f>
        <v>0.38713185223760438</v>
      </c>
      <c r="H47" s="498">
        <f>Konstruktionen!AT62</f>
        <v>803.91590676556143</v>
      </c>
    </row>
    <row r="48" spans="1:8">
      <c r="A48" s="1068"/>
      <c r="B48" s="1068"/>
      <c r="C48" s="1069"/>
      <c r="D48" s="507"/>
      <c r="E48" s="507" t="str">
        <f t="shared" si="2"/>
        <v>_MINERGIE_Wü_mod</v>
      </c>
      <c r="F48" s="501" t="e">
        <f>Konstruktionen!AR63</f>
        <v>#N/A</v>
      </c>
      <c r="G48" s="501" t="e">
        <f>Konstruktionen!AS63</f>
        <v>#N/A</v>
      </c>
      <c r="H48" s="501" t="e">
        <f>Konstruktionen!AT63</f>
        <v>#N/A</v>
      </c>
    </row>
    <row r="49" spans="1:8">
      <c r="A49" s="1068"/>
      <c r="B49" s="1068"/>
      <c r="C49" s="1062" t="s">
        <v>401</v>
      </c>
      <c r="D49" s="549" t="s">
        <v>1098</v>
      </c>
      <c r="E49" s="549" t="str">
        <f t="shared" ref="E49:E55" si="3">D49&amp;"_"&amp;$C$49&amp;$B$28</f>
        <v>Holzblockwand, Aussenwärmedämmung, Verkleidung_MINERGIE_P_Wü_mod</v>
      </c>
      <c r="F49" s="495">
        <f>Konstruktionen!AR64</f>
        <v>9.944134283326159</v>
      </c>
      <c r="G49" s="495">
        <f>Konstruktionen!AS64</f>
        <v>0.64178667717690507</v>
      </c>
      <c r="H49" s="495">
        <f>Konstruktionen!AT64</f>
        <v>941.05557139928362</v>
      </c>
    </row>
    <row r="50" spans="1:8">
      <c r="A50" s="1068"/>
      <c r="B50" s="1068"/>
      <c r="C50" s="1062"/>
      <c r="D50" s="134" t="s">
        <v>1194</v>
      </c>
      <c r="E50" s="549" t="str">
        <f t="shared" si="3"/>
        <v>Einschalenbacksteinmauerwerk, Aussenwärmedämmung verputzt _MINERGIE_P_Wü_mod</v>
      </c>
      <c r="F50" s="498">
        <f>Konstruktionen!AR65</f>
        <v>26.898641806914917</v>
      </c>
      <c r="G50" s="498">
        <f>Konstruktionen!AS65</f>
        <v>1.7296825956466666</v>
      </c>
      <c r="H50" s="498">
        <f>Konstruktionen!AT65</f>
        <v>1455.3081613750001</v>
      </c>
    </row>
    <row r="51" spans="1:8">
      <c r="A51" s="1068"/>
      <c r="B51" s="1068"/>
      <c r="C51" s="1062"/>
      <c r="D51" s="134" t="s">
        <v>1105</v>
      </c>
      <c r="E51" s="549" t="str">
        <f t="shared" si="3"/>
        <v>Sichtbetonwand, Aussenwärmedämmung hinterlüftet_MINERGIE_P_Wü_mod</v>
      </c>
      <c r="F51" s="498">
        <f>Konstruktionen!AR66</f>
        <v>13.94417166867226</v>
      </c>
      <c r="G51" s="498">
        <f>Konstruktionen!AS66</f>
        <v>0.4879521504851661</v>
      </c>
      <c r="H51" s="498">
        <f>Konstruktionen!AT66</f>
        <v>933.19760449866669</v>
      </c>
    </row>
    <row r="52" spans="1:8">
      <c r="A52" s="1068"/>
      <c r="B52" s="1068"/>
      <c r="C52" s="1062"/>
      <c r="D52" s="134" t="s">
        <v>1195</v>
      </c>
      <c r="E52" s="549" t="str">
        <f t="shared" si="3"/>
        <v>Zweischalenmauerwerk verputzt, Kerndämmung _MINERGIE_P_Wü_mod</v>
      </c>
      <c r="F52" s="498">
        <f>Konstruktionen!AR67</f>
        <v>18.785645645137084</v>
      </c>
      <c r="G52" s="498">
        <f>Konstruktionen!AS67</f>
        <v>1.2723503421000002</v>
      </c>
      <c r="H52" s="498">
        <f>Konstruktionen!AT67</f>
        <v>1179.93480498125</v>
      </c>
    </row>
    <row r="53" spans="1:8">
      <c r="A53" s="1068"/>
      <c r="B53" s="1068"/>
      <c r="C53" s="1067"/>
      <c r="D53" s="134" t="s">
        <v>1103</v>
      </c>
      <c r="E53" s="549" t="str">
        <f t="shared" si="3"/>
        <v>Holzelementwand, Faserzementverkleidung_MINERGIE_P_Wü_mod</v>
      </c>
      <c r="F53" s="498">
        <f>Konstruktionen!AR68</f>
        <v>9.4620937802186891</v>
      </c>
      <c r="G53" s="498">
        <f>Konstruktionen!AS68</f>
        <v>0.56644865688683421</v>
      </c>
      <c r="H53" s="498">
        <f>Konstruktionen!AT68</f>
        <v>853.38351040873033</v>
      </c>
    </row>
    <row r="54" spans="1:8">
      <c r="A54" s="1068"/>
      <c r="B54" s="1068"/>
      <c r="C54" s="1067"/>
      <c r="D54" s="134" t="s">
        <v>1197</v>
      </c>
      <c r="E54" s="549" t="str">
        <f t="shared" si="3"/>
        <v>Backsteinwand, Holzverkleidung _MINERGIE_P_Wü_mod</v>
      </c>
      <c r="F54" s="498">
        <f>Konstruktionen!AR69</f>
        <v>15.909618617590571</v>
      </c>
      <c r="G54" s="498">
        <f>Konstruktionen!AS69</f>
        <v>0.54527791723760455</v>
      </c>
      <c r="H54" s="498">
        <f>Konstruktionen!AT69</f>
        <v>1039.1159067655615</v>
      </c>
    </row>
    <row r="55" spans="1:8" ht="15.75" thickBot="1">
      <c r="A55" s="1087"/>
      <c r="B55" s="1087"/>
      <c r="C55" s="1063"/>
      <c r="D55" s="508"/>
      <c r="E55" s="508" t="str">
        <f t="shared" si="3"/>
        <v>_MINERGIE_P_Wü_mod</v>
      </c>
      <c r="F55" s="503" t="e">
        <f>Konstruktionen!AR70</f>
        <v>#N/A</v>
      </c>
      <c r="G55" s="503" t="e">
        <f>Konstruktionen!AS70</f>
        <v>#N/A</v>
      </c>
      <c r="H55" s="503" t="e">
        <f>Konstruktionen!AT70</f>
        <v>#N/A</v>
      </c>
    </row>
    <row r="56" spans="1:8" ht="15" customHeight="1">
      <c r="A56" s="1097" t="s">
        <v>1022</v>
      </c>
      <c r="B56" s="1097" t="s">
        <v>1182</v>
      </c>
      <c r="C56" s="1064" t="s">
        <v>1179</v>
      </c>
      <c r="D56" s="864" t="s">
        <v>1150</v>
      </c>
      <c r="E56" s="557" t="str">
        <f>D56&amp;"_"&amp;$C$56&amp;$B$56</f>
        <v>Betonwand, Aussendämmung, Sickerplatten_keine_Wu_mod</v>
      </c>
      <c r="F56" s="137">
        <f>0</f>
        <v>0</v>
      </c>
      <c r="G56" s="137">
        <f>0</f>
        <v>0</v>
      </c>
      <c r="H56" s="137">
        <f>0</f>
        <v>0</v>
      </c>
    </row>
    <row r="57" spans="1:8">
      <c r="A57" s="1098"/>
      <c r="B57" s="1098"/>
      <c r="C57" s="1065"/>
      <c r="D57" s="521"/>
      <c r="E57" s="557" t="str">
        <f>D57&amp;"_"&amp;$C$56&amp;$B$56</f>
        <v>_keine_Wu_mod</v>
      </c>
      <c r="F57" s="498"/>
      <c r="G57" s="498"/>
      <c r="H57" s="498"/>
    </row>
    <row r="58" spans="1:8">
      <c r="A58" s="1098"/>
      <c r="B58" s="1098"/>
      <c r="C58" s="1065"/>
      <c r="D58" s="129"/>
      <c r="E58" s="557" t="str">
        <f>D58&amp;"_"&amp;$C$56&amp;$B$56</f>
        <v>_keine_Wu_mod</v>
      </c>
      <c r="F58" s="498"/>
      <c r="G58" s="498"/>
      <c r="H58" s="498"/>
    </row>
    <row r="59" spans="1:8">
      <c r="A59" s="1098"/>
      <c r="B59" s="1098"/>
      <c r="C59" s="1065"/>
      <c r="D59" s="129"/>
      <c r="E59" s="557" t="str">
        <f>D59&amp;"_"&amp;$C$56&amp;$B$56</f>
        <v>_keine_Wu_mod</v>
      </c>
      <c r="F59" s="498"/>
      <c r="G59" s="498"/>
      <c r="H59" s="498"/>
    </row>
    <row r="60" spans="1:8">
      <c r="A60" s="1098"/>
      <c r="B60" s="1098"/>
      <c r="C60" s="1065"/>
      <c r="D60" s="130"/>
      <c r="E60" s="539" t="str">
        <f>D60&amp;"_"&amp;$C$56&amp;$B$56</f>
        <v>_keine_Wu_mod</v>
      </c>
      <c r="F60" s="501"/>
      <c r="G60" s="501"/>
      <c r="H60" s="501"/>
    </row>
    <row r="61" spans="1:8" ht="15" customHeight="1">
      <c r="A61" s="1098"/>
      <c r="B61" s="1098"/>
      <c r="C61" s="1065" t="s">
        <v>380</v>
      </c>
      <c r="D61" s="864" t="s">
        <v>1150</v>
      </c>
      <c r="E61" s="557" t="str">
        <f>D61&amp;"_"&amp;$C$61&amp;$B$56</f>
        <v>Betonwand, Aussendämmung, Sickerplatten_MuKen_Wu_mod</v>
      </c>
      <c r="F61" s="137">
        <f>Konstruktionen!AR71</f>
        <v>13.010702046325816</v>
      </c>
      <c r="G61" s="137">
        <f>Konstruktionen!AS71</f>
        <v>1.54623453575</v>
      </c>
      <c r="H61" s="137">
        <f>Konstruktionen!AT71</f>
        <v>988.97389666666675</v>
      </c>
    </row>
    <row r="62" spans="1:8">
      <c r="A62" s="1098"/>
      <c r="B62" s="1098"/>
      <c r="C62" s="1065"/>
      <c r="D62" s="521"/>
      <c r="E62" s="557" t="str">
        <f>D62&amp;"_"&amp;$C$61&amp;$B$56</f>
        <v>_MuKen_Wu_mod</v>
      </c>
      <c r="F62" s="498" t="e">
        <f>Konstruktionen!AR72</f>
        <v>#N/A</v>
      </c>
      <c r="G62" s="498" t="e">
        <f>Konstruktionen!AS72</f>
        <v>#N/A</v>
      </c>
      <c r="H62" s="498" t="e">
        <f>Konstruktionen!AT72</f>
        <v>#N/A</v>
      </c>
    </row>
    <row r="63" spans="1:8">
      <c r="A63" s="1098"/>
      <c r="B63" s="1098"/>
      <c r="C63" s="1065"/>
      <c r="D63" s="129"/>
      <c r="E63" s="557" t="str">
        <f>D63&amp;"_"&amp;$C$61&amp;$B$56</f>
        <v>_MuKen_Wu_mod</v>
      </c>
      <c r="F63" s="498" t="e">
        <f>Konstruktionen!AR73</f>
        <v>#N/A</v>
      </c>
      <c r="G63" s="498" t="e">
        <f>Konstruktionen!AS73</f>
        <v>#N/A</v>
      </c>
      <c r="H63" s="498" t="e">
        <f>Konstruktionen!AT73</f>
        <v>#N/A</v>
      </c>
    </row>
    <row r="64" spans="1:8">
      <c r="A64" s="1098"/>
      <c r="B64" s="1098"/>
      <c r="C64" s="1065"/>
      <c r="D64" s="129"/>
      <c r="E64" s="557" t="str">
        <f>D64&amp;"_"&amp;$C$61&amp;$B$56</f>
        <v>_MuKen_Wu_mod</v>
      </c>
      <c r="F64" s="498" t="e">
        <f>Konstruktionen!AR74</f>
        <v>#N/A</v>
      </c>
      <c r="G64" s="498" t="e">
        <f>Konstruktionen!AS74</f>
        <v>#N/A</v>
      </c>
      <c r="H64" s="498" t="e">
        <f>Konstruktionen!AT74</f>
        <v>#N/A</v>
      </c>
    </row>
    <row r="65" spans="1:8">
      <c r="A65" s="1098"/>
      <c r="B65" s="1098"/>
      <c r="C65" s="1065"/>
      <c r="D65" s="130"/>
      <c r="E65" s="539" t="str">
        <f>D65&amp;"_"&amp;$C$61&amp;$B$56</f>
        <v>_MuKen_Wu_mod</v>
      </c>
      <c r="F65" s="501" t="e">
        <f>Konstruktionen!AR75</f>
        <v>#N/A</v>
      </c>
      <c r="G65" s="501" t="e">
        <f>Konstruktionen!AS75</f>
        <v>#N/A</v>
      </c>
      <c r="H65" s="501" t="e">
        <f>Konstruktionen!AT75</f>
        <v>#N/A</v>
      </c>
    </row>
    <row r="66" spans="1:8">
      <c r="A66" s="1098"/>
      <c r="B66" s="1098"/>
      <c r="C66" s="1065" t="s">
        <v>381</v>
      </c>
      <c r="D66" s="864" t="s">
        <v>1150</v>
      </c>
      <c r="E66" s="557" t="str">
        <f>D66&amp;"_"&amp;$C$66&amp;$B$56</f>
        <v>Betonwand, Aussendämmung, Sickerplatten_MINERGIE_Wu_mod</v>
      </c>
      <c r="F66" s="137">
        <f>Konstruktionen!AR76</f>
        <v>15.997127482052418</v>
      </c>
      <c r="G66" s="137">
        <f>Konstruktionen!AS76</f>
        <v>1.97430453575</v>
      </c>
      <c r="H66" s="137">
        <f>Konstruktionen!AT76</f>
        <v>1243.6738966666667</v>
      </c>
    </row>
    <row r="67" spans="1:8">
      <c r="A67" s="1098"/>
      <c r="B67" s="1098"/>
      <c r="C67" s="1065"/>
      <c r="D67" s="129"/>
      <c r="E67" s="557" t="str">
        <f>D67&amp;"_"&amp;$C$66&amp;$B$56</f>
        <v>_MINERGIE_Wu_mod</v>
      </c>
      <c r="F67" s="498" t="e">
        <f>Konstruktionen!AR77</f>
        <v>#N/A</v>
      </c>
      <c r="G67" s="498" t="e">
        <f>Konstruktionen!AS77</f>
        <v>#N/A</v>
      </c>
      <c r="H67" s="498" t="e">
        <f>Konstruktionen!AT77</f>
        <v>#N/A</v>
      </c>
    </row>
    <row r="68" spans="1:8">
      <c r="A68" s="1098"/>
      <c r="B68" s="1098"/>
      <c r="C68" s="1065"/>
      <c r="D68" s="129"/>
      <c r="E68" s="557" t="str">
        <f>D68&amp;"_"&amp;$C$66&amp;$B$56</f>
        <v>_MINERGIE_Wu_mod</v>
      </c>
      <c r="F68" s="498" t="e">
        <f>Konstruktionen!AR78</f>
        <v>#N/A</v>
      </c>
      <c r="G68" s="498" t="e">
        <f>Konstruktionen!AS78</f>
        <v>#N/A</v>
      </c>
      <c r="H68" s="498" t="e">
        <f>Konstruktionen!AT78</f>
        <v>#N/A</v>
      </c>
    </row>
    <row r="69" spans="1:8">
      <c r="A69" s="1098"/>
      <c r="B69" s="1098"/>
      <c r="C69" s="1065"/>
      <c r="D69" s="129"/>
      <c r="E69" s="557" t="str">
        <f>D69&amp;"_"&amp;$C$66&amp;$B$56</f>
        <v>_MINERGIE_Wu_mod</v>
      </c>
      <c r="F69" s="498" t="e">
        <f>Konstruktionen!AR79</f>
        <v>#N/A</v>
      </c>
      <c r="G69" s="498" t="e">
        <f>Konstruktionen!AS79</f>
        <v>#N/A</v>
      </c>
      <c r="H69" s="498" t="e">
        <f>Konstruktionen!AT79</f>
        <v>#N/A</v>
      </c>
    </row>
    <row r="70" spans="1:8">
      <c r="A70" s="1098"/>
      <c r="B70" s="1098"/>
      <c r="C70" s="1065"/>
      <c r="D70" s="130"/>
      <c r="E70" s="539" t="str">
        <f>D70&amp;"_"&amp;$C$66&amp;$B$56</f>
        <v>_MINERGIE_Wu_mod</v>
      </c>
      <c r="F70" s="501" t="e">
        <f>Konstruktionen!AR80</f>
        <v>#N/A</v>
      </c>
      <c r="G70" s="501" t="e">
        <f>Konstruktionen!AS80</f>
        <v>#N/A</v>
      </c>
      <c r="H70" s="501" t="e">
        <f>Konstruktionen!AT80</f>
        <v>#N/A</v>
      </c>
    </row>
    <row r="71" spans="1:8">
      <c r="A71" s="1098"/>
      <c r="B71" s="1098"/>
      <c r="C71" s="1065" t="s">
        <v>401</v>
      </c>
      <c r="D71" s="864" t="s">
        <v>1150</v>
      </c>
      <c r="E71" s="557" t="str">
        <f>D71&amp;"_"&amp;$C$71&amp;$B$56</f>
        <v>Betonwand, Aussendämmung, Sickerplatten_MINERGIE_P_Wu_mod</v>
      </c>
      <c r="F71" s="495">
        <f>Konstruktionen!AR81</f>
        <v>21.472240780884515</v>
      </c>
      <c r="G71" s="495">
        <f>Konstruktionen!AS81</f>
        <v>2.7590995357500003</v>
      </c>
      <c r="H71" s="495">
        <f>Konstruktionen!AT81</f>
        <v>1710.6238966666665</v>
      </c>
    </row>
    <row r="72" spans="1:8">
      <c r="A72" s="1098"/>
      <c r="B72" s="1098"/>
      <c r="C72" s="1065"/>
      <c r="D72" s="129"/>
      <c r="E72" s="557" t="str">
        <f>D72&amp;"_"&amp;$C$71&amp;$B$56</f>
        <v>_MINERGIE_P_Wu_mod</v>
      </c>
      <c r="F72" s="498" t="e">
        <f>Konstruktionen!AR82</f>
        <v>#N/A</v>
      </c>
      <c r="G72" s="498" t="e">
        <f>Konstruktionen!AS82</f>
        <v>#N/A</v>
      </c>
      <c r="H72" s="498" t="e">
        <f>Konstruktionen!AT82</f>
        <v>#N/A</v>
      </c>
    </row>
    <row r="73" spans="1:8">
      <c r="A73" s="1098"/>
      <c r="B73" s="1098"/>
      <c r="C73" s="1065"/>
      <c r="D73" s="129"/>
      <c r="E73" s="557" t="str">
        <f>D73&amp;"_"&amp;$C$71&amp;$B$56</f>
        <v>_MINERGIE_P_Wu_mod</v>
      </c>
      <c r="F73" s="498" t="e">
        <f>Konstruktionen!AR83</f>
        <v>#N/A</v>
      </c>
      <c r="G73" s="498" t="e">
        <f>Konstruktionen!AS83</f>
        <v>#N/A</v>
      </c>
      <c r="H73" s="498" t="e">
        <f>Konstruktionen!AT83</f>
        <v>#N/A</v>
      </c>
    </row>
    <row r="74" spans="1:8">
      <c r="A74" s="1098"/>
      <c r="B74" s="1098"/>
      <c r="C74" s="1065"/>
      <c r="D74" s="129"/>
      <c r="E74" s="557" t="str">
        <f>D74&amp;"_"&amp;$C$71&amp;$B$56</f>
        <v>_MINERGIE_P_Wu_mod</v>
      </c>
      <c r="F74" s="498" t="e">
        <f>Konstruktionen!AR84</f>
        <v>#N/A</v>
      </c>
      <c r="G74" s="498" t="e">
        <f>Konstruktionen!AS84</f>
        <v>#N/A</v>
      </c>
      <c r="H74" s="498" t="e">
        <f>Konstruktionen!AT84</f>
        <v>#N/A</v>
      </c>
    </row>
    <row r="75" spans="1:8" ht="15.75" thickBot="1">
      <c r="A75" s="1099"/>
      <c r="B75" s="1099"/>
      <c r="C75" s="1066"/>
      <c r="D75" s="131"/>
      <c r="E75" s="561" t="str">
        <f>D75&amp;"_"&amp;$C$71&amp;$B$56</f>
        <v>_MINERGIE_P_Wu_mod</v>
      </c>
      <c r="F75" s="503" t="e">
        <f>Konstruktionen!AR85</f>
        <v>#N/A</v>
      </c>
      <c r="G75" s="503" t="e">
        <f>Konstruktionen!AS85</f>
        <v>#N/A</v>
      </c>
      <c r="H75" s="503" t="e">
        <f>Konstruktionen!AT85</f>
        <v>#N/A</v>
      </c>
    </row>
    <row r="76" spans="1:8" ht="15" customHeight="1">
      <c r="A76" s="1080" t="s">
        <v>384</v>
      </c>
      <c r="B76" s="1080" t="s">
        <v>1183</v>
      </c>
      <c r="C76" s="1062" t="s">
        <v>1179</v>
      </c>
      <c r="D76" s="970" t="s">
        <v>1102</v>
      </c>
      <c r="E76" s="549" t="str">
        <f>D76&amp;"_"&amp;$C$76&amp;$B$76</f>
        <v>Betondecke, Wärmedämmung, Trittschalldämmung, Unterlagsboden_keine_Bu_mod</v>
      </c>
      <c r="F76" s="498">
        <f>((VLOOKUP(Konstruktionen!AG86,KBOB,10,FALSE)*Konstruktionen!AH86)/Konstruktionen!AI86)</f>
        <v>0.15</v>
      </c>
      <c r="G76" s="137">
        <f>((VLOOKUP(Konstruktionen!AG86,KBOB,13,FALSE)*Konstruktionen!AH86)/Konstruktionen!AI86)</f>
        <v>1.3899999999999999E-2</v>
      </c>
      <c r="H76" s="137">
        <f>((VLOOKUP(Konstruktionen!AG86,KBOB,4,FALSE)*Konstruktionen!AH86)/Konstruktionen!AI86)</f>
        <v>15.1</v>
      </c>
    </row>
    <row r="77" spans="1:8" ht="30">
      <c r="A77" s="1068"/>
      <c r="B77" s="1068"/>
      <c r="C77" s="1062"/>
      <c r="D77" s="971" t="s">
        <v>1247</v>
      </c>
      <c r="E77" s="549" t="str">
        <f>D77&amp;"_"&amp;$C$76&amp;$B$76</f>
        <v>Betondecke, Wärmedämmung, Trittschalldämmung, Unterlagsboden inklusive Deckendämmung_keine_Bu_mod</v>
      </c>
      <c r="F77" s="498">
        <f>((VLOOKUP(Konstruktionen!AG87,KBOB,10,FALSE)*Konstruktionen!AH87)/Konstruktionen!AI87)</f>
        <v>5.6</v>
      </c>
      <c r="G77" s="498">
        <f>((VLOOKUP(Konstruktionen!AG87,KBOB,13,FALSE)*Konstruktionen!AH87)/Konstruktionen!AI87)</f>
        <v>0.26766666666666666</v>
      </c>
      <c r="H77" s="498">
        <f>((VLOOKUP(Konstruktionen!AG87,KBOB,4,FALSE)*Konstruktionen!AH87)/Konstruktionen!AI87)</f>
        <v>470</v>
      </c>
    </row>
    <row r="78" spans="1:8">
      <c r="A78" s="1068"/>
      <c r="B78" s="1068"/>
      <c r="C78" s="1062"/>
      <c r="D78" s="971"/>
      <c r="E78" s="549" t="str">
        <f>D78&amp;"_"&amp;$C$76&amp;$B$76</f>
        <v>_keine_Bu_mod</v>
      </c>
      <c r="F78" s="498" t="e">
        <f>((VLOOKUP(Konstruktionen!AG88,KBOB,10,FALSE)*Konstruktionen!AH88)/Konstruktionen!AI88)</f>
        <v>#N/A</v>
      </c>
      <c r="G78" s="498" t="e">
        <f>((VLOOKUP(Konstruktionen!AG88,KBOB,13,FALSE)*Konstruktionen!AH88)/Konstruktionen!AI88)</f>
        <v>#N/A</v>
      </c>
      <c r="H78" s="498" t="e">
        <f>((VLOOKUP(Konstruktionen!AG88,KBOB,4,FALSE)*Konstruktionen!AH88)/Konstruktionen!AI88)</f>
        <v>#N/A</v>
      </c>
    </row>
    <row r="79" spans="1:8">
      <c r="A79" s="1068"/>
      <c r="B79" s="1068"/>
      <c r="C79" s="1062"/>
      <c r="D79" s="971"/>
      <c r="E79" s="549" t="str">
        <f>D79&amp;"_"&amp;$C$76&amp;$B$76</f>
        <v>_keine_Bu_mod</v>
      </c>
      <c r="F79" s="498" t="e">
        <f>((VLOOKUP(Konstruktionen!AG89,KBOB,10,FALSE)*Konstruktionen!AH89)/Konstruktionen!AI89)</f>
        <v>#N/A</v>
      </c>
      <c r="G79" s="498" t="e">
        <f>((VLOOKUP(Konstruktionen!AG89,KBOB,13,FALSE)*Konstruktionen!AH89)/Konstruktionen!AI89)</f>
        <v>#N/A</v>
      </c>
      <c r="H79" s="498" t="e">
        <f>((VLOOKUP(Konstruktionen!AG89,KBOB,4,FALSE)*Konstruktionen!AH89)/Konstruktionen!AI89)</f>
        <v>#N/A</v>
      </c>
    </row>
    <row r="80" spans="1:8">
      <c r="A80" s="1068"/>
      <c r="B80" s="1068"/>
      <c r="C80" s="1062"/>
      <c r="D80" s="972"/>
      <c r="E80" s="507" t="str">
        <f>D80&amp;"_"&amp;$C$76&amp;$B$76</f>
        <v>_keine_Bu_mod</v>
      </c>
      <c r="F80" s="498" t="e">
        <f>((VLOOKUP(Konstruktionen!AG90,KBOB,10,FALSE)*Konstruktionen!AH90)/Konstruktionen!AI90)</f>
        <v>#N/A</v>
      </c>
      <c r="G80" s="498" t="e">
        <f>((VLOOKUP(Konstruktionen!AG90,KBOB,13,FALSE)*Konstruktionen!AH90)/Konstruktionen!AI90)</f>
        <v>#N/A</v>
      </c>
      <c r="H80" s="498" t="e">
        <f>((VLOOKUP(Konstruktionen!AG90,KBOB,4,FALSE)*Konstruktionen!AH90)/Konstruktionen!AI90)</f>
        <v>#N/A</v>
      </c>
    </row>
    <row r="81" spans="1:8">
      <c r="A81" s="1068"/>
      <c r="B81" s="1068"/>
      <c r="C81" s="1062" t="s">
        <v>380</v>
      </c>
      <c r="D81" s="970" t="s">
        <v>1102</v>
      </c>
      <c r="E81" s="549" t="str">
        <f>D81&amp;"_"&amp;$C$81&amp;$B$76</f>
        <v>Betondecke, Wärmedämmung, Trittschalldämmung, Unterlagsboden_MuKen_Bu_mod</v>
      </c>
      <c r="F81" s="137">
        <f>Konstruktionen!AR86</f>
        <v>26.967458184336159</v>
      </c>
      <c r="G81" s="137">
        <f>Konstruktionen!AS86</f>
        <v>2.0656192651733334</v>
      </c>
      <c r="H81" s="137">
        <f>Konstruktionen!AT86</f>
        <v>1967.4624665966667</v>
      </c>
    </row>
    <row r="82" spans="1:8" ht="30">
      <c r="A82" s="1068"/>
      <c r="B82" s="1068"/>
      <c r="C82" s="1062"/>
      <c r="D82" s="971" t="s">
        <v>1247</v>
      </c>
      <c r="E82" s="549" t="str">
        <f>D82&amp;"_"&amp;$C$81&amp;$B$76</f>
        <v>Betondecke, Wärmedämmung, Trittschalldämmung, Unterlagsboden inklusive Deckendämmung_MuKen_Bu_mod</v>
      </c>
      <c r="F82" s="498">
        <f>Konstruktionen!AR87</f>
        <v>17.352955575918024</v>
      </c>
      <c r="G82" s="498">
        <f>Konstruktionen!AS87</f>
        <v>1.3911552651733334</v>
      </c>
      <c r="H82" s="498">
        <f>Konstruktionen!AT87</f>
        <v>1525.8624665966665</v>
      </c>
    </row>
    <row r="83" spans="1:8">
      <c r="A83" s="1068"/>
      <c r="B83" s="1068"/>
      <c r="C83" s="1062"/>
      <c r="D83" s="971"/>
      <c r="E83" s="549" t="str">
        <f>D83&amp;"_"&amp;$C$81&amp;$B$76</f>
        <v>_MuKen_Bu_mod</v>
      </c>
      <c r="F83" s="498" t="e">
        <f>Konstruktionen!AR88</f>
        <v>#N/A</v>
      </c>
      <c r="G83" s="498" t="e">
        <f>Konstruktionen!AS88</f>
        <v>#N/A</v>
      </c>
      <c r="H83" s="498" t="e">
        <f>Konstruktionen!AT88</f>
        <v>#N/A</v>
      </c>
    </row>
    <row r="84" spans="1:8">
      <c r="A84" s="1068"/>
      <c r="B84" s="1068"/>
      <c r="C84" s="1062"/>
      <c r="D84" s="971"/>
      <c r="E84" s="549" t="str">
        <f>D84&amp;"_"&amp;$C$81&amp;$B$76</f>
        <v>_MuKen_Bu_mod</v>
      </c>
      <c r="F84" s="498" t="e">
        <f>Konstruktionen!AR89</f>
        <v>#N/A</v>
      </c>
      <c r="G84" s="498" t="e">
        <f>Konstruktionen!AS89</f>
        <v>#N/A</v>
      </c>
      <c r="H84" s="498" t="e">
        <f>Konstruktionen!AT89</f>
        <v>#N/A</v>
      </c>
    </row>
    <row r="85" spans="1:8">
      <c r="A85" s="1068"/>
      <c r="B85" s="1068"/>
      <c r="C85" s="1062"/>
      <c r="D85" s="972"/>
      <c r="E85" s="507" t="str">
        <f>D85&amp;"_"&amp;$C$81&amp;$B$76</f>
        <v>_MuKen_Bu_mod</v>
      </c>
      <c r="F85" s="501" t="e">
        <f>Konstruktionen!AR90</f>
        <v>#N/A</v>
      </c>
      <c r="G85" s="501" t="e">
        <f>Konstruktionen!AS90</f>
        <v>#N/A</v>
      </c>
      <c r="H85" s="501" t="e">
        <f>Konstruktionen!AT90</f>
        <v>#N/A</v>
      </c>
    </row>
    <row r="86" spans="1:8">
      <c r="A86" s="1068"/>
      <c r="B86" s="1068"/>
      <c r="C86" s="1062" t="s">
        <v>381</v>
      </c>
      <c r="D86" s="971" t="s">
        <v>1102</v>
      </c>
      <c r="E86" s="549" t="str">
        <f>D86&amp;"_"&amp;$C$86&amp;$B$76</f>
        <v>Betondecke, Wärmedämmung, Trittschalldämmung, Unterlagsboden_MINERGIE_Bu_mod</v>
      </c>
      <c r="F86" s="137">
        <f>Konstruktionen!AR91</f>
        <v>31.180896662492955</v>
      </c>
      <c r="G86" s="137">
        <f>Konstruktionen!AS91</f>
        <v>2.3601432651733334</v>
      </c>
      <c r="H86" s="137">
        <f>Konstruktionen!AT91</f>
        <v>2176.2624665966669</v>
      </c>
    </row>
    <row r="87" spans="1:8" ht="30">
      <c r="A87" s="1068"/>
      <c r="B87" s="1068"/>
      <c r="C87" s="1062"/>
      <c r="D87" s="971" t="s">
        <v>1247</v>
      </c>
      <c r="E87" s="549" t="str">
        <f>D87&amp;"_"&amp;$C$86&amp;$B$76</f>
        <v>Betondecke, Wärmedämmung, Trittschalldämmung, Unterlagsboden inklusive Deckendämmung_MINERGIE_Bu_mod</v>
      </c>
      <c r="F87" s="498">
        <f>Konstruktionen!AR92</f>
        <v>17.859622242584692</v>
      </c>
      <c r="G87" s="498">
        <f>Konstruktionen!AS92</f>
        <v>1.4258219318400001</v>
      </c>
      <c r="H87" s="498">
        <f>Konstruktionen!AT92</f>
        <v>1561.8624665966665</v>
      </c>
    </row>
    <row r="88" spans="1:8">
      <c r="A88" s="1068"/>
      <c r="B88" s="1068"/>
      <c r="C88" s="1062"/>
      <c r="D88" s="971"/>
      <c r="E88" s="549" t="str">
        <f>D88&amp;"_"&amp;$C$86&amp;$B$76</f>
        <v>_MINERGIE_Bu_mod</v>
      </c>
      <c r="F88" s="498" t="e">
        <f>Konstruktionen!AR93</f>
        <v>#N/A</v>
      </c>
      <c r="G88" s="498" t="e">
        <f>Konstruktionen!AS93</f>
        <v>#N/A</v>
      </c>
      <c r="H88" s="498" t="e">
        <f>Konstruktionen!AT93</f>
        <v>#N/A</v>
      </c>
    </row>
    <row r="89" spans="1:8">
      <c r="A89" s="1068"/>
      <c r="B89" s="1068"/>
      <c r="C89" s="1062"/>
      <c r="D89" s="971"/>
      <c r="E89" s="549" t="str">
        <f>D89&amp;"_"&amp;$C$86&amp;$B$76</f>
        <v>_MINERGIE_Bu_mod</v>
      </c>
      <c r="F89" s="498" t="e">
        <f>Konstruktionen!AR94</f>
        <v>#N/A</v>
      </c>
      <c r="G89" s="498" t="e">
        <f>Konstruktionen!AS94</f>
        <v>#N/A</v>
      </c>
      <c r="H89" s="498" t="e">
        <f>Konstruktionen!AT94</f>
        <v>#N/A</v>
      </c>
    </row>
    <row r="90" spans="1:8">
      <c r="A90" s="1068"/>
      <c r="B90" s="1068"/>
      <c r="C90" s="1062"/>
      <c r="D90" s="972"/>
      <c r="E90" s="507" t="str">
        <f>D90&amp;"_"&amp;$C$86&amp;$B$76</f>
        <v>_MINERGIE_Bu_mod</v>
      </c>
      <c r="F90" s="501" t="e">
        <f>Konstruktionen!AR95</f>
        <v>#N/A</v>
      </c>
      <c r="G90" s="501" t="e">
        <f>Konstruktionen!AS95</f>
        <v>#N/A</v>
      </c>
      <c r="H90" s="501" t="e">
        <f>Konstruktionen!AT95</f>
        <v>#N/A</v>
      </c>
    </row>
    <row r="91" spans="1:8">
      <c r="A91" s="1068"/>
      <c r="B91" s="1068"/>
      <c r="C91" s="1062" t="s">
        <v>401</v>
      </c>
      <c r="D91" s="971" t="s">
        <v>1102</v>
      </c>
      <c r="E91" s="549" t="str">
        <f>D91&amp;"_"&amp;$C$91&amp;$B$76</f>
        <v>Betondecke, Wärmedämmung, Trittschalldämmung, Unterlagsboden_MINERGIE_P_Bu_mod</v>
      </c>
      <c r="F91" s="495">
        <f>Konstruktionen!AR96</f>
        <v>37.501054379728153</v>
      </c>
      <c r="G91" s="495">
        <f>Konstruktionen!AS96</f>
        <v>2.8019292651733334</v>
      </c>
      <c r="H91" s="495">
        <f>Konstruktionen!AT96</f>
        <v>2489.4624665966667</v>
      </c>
    </row>
    <row r="92" spans="1:8" ht="30">
      <c r="A92" s="1068"/>
      <c r="B92" s="1068"/>
      <c r="C92" s="1062"/>
      <c r="D92" s="971" t="s">
        <v>1247</v>
      </c>
      <c r="E92" s="549" t="str">
        <f>D92&amp;"_"&amp;$C$91&amp;$B$76</f>
        <v>Betondecke, Wärmedämmung, Trittschalldämmung, Unterlagsboden inklusive Deckendämmung_MINERGIE_P_Bu_mod</v>
      </c>
      <c r="F92" s="498">
        <f>Konstruktionen!AR97</f>
        <v>18.923622242584692</v>
      </c>
      <c r="G92" s="498">
        <f>Konstruktionen!AS97</f>
        <v>1.49862193184</v>
      </c>
      <c r="H92" s="498">
        <f>Konstruktionen!AT97</f>
        <v>1637.4624665966667</v>
      </c>
    </row>
    <row r="93" spans="1:8">
      <c r="A93" s="1068"/>
      <c r="B93" s="1068"/>
      <c r="C93" s="1062"/>
      <c r="D93" s="134"/>
      <c r="E93" s="549" t="str">
        <f>D93&amp;"_"&amp;$C$91&amp;$B$76</f>
        <v>_MINERGIE_P_Bu_mod</v>
      </c>
      <c r="F93" s="498" t="e">
        <f>Konstruktionen!AR98</f>
        <v>#N/A</v>
      </c>
      <c r="G93" s="498" t="e">
        <f>Konstruktionen!AS98</f>
        <v>#N/A</v>
      </c>
      <c r="H93" s="498" t="e">
        <f>Konstruktionen!AT98</f>
        <v>#N/A</v>
      </c>
    </row>
    <row r="94" spans="1:8">
      <c r="A94" s="1068"/>
      <c r="B94" s="1068"/>
      <c r="C94" s="1062"/>
      <c r="D94" s="134"/>
      <c r="E94" s="549" t="str">
        <f>D94&amp;"_"&amp;$C$91&amp;$B$76</f>
        <v>_MINERGIE_P_Bu_mod</v>
      </c>
      <c r="F94" s="498" t="e">
        <f>Konstruktionen!AR99</f>
        <v>#N/A</v>
      </c>
      <c r="G94" s="498" t="e">
        <f>Konstruktionen!AS99</f>
        <v>#N/A</v>
      </c>
      <c r="H94" s="498" t="e">
        <f>Konstruktionen!AT99</f>
        <v>#N/A</v>
      </c>
    </row>
    <row r="95" spans="1:8" ht="15.75" thickBot="1">
      <c r="A95" s="1087"/>
      <c r="B95" s="1087"/>
      <c r="C95" s="1063"/>
      <c r="D95" s="136"/>
      <c r="E95" s="508" t="str">
        <f>D95&amp;"_"&amp;$C$91&amp;$B$76</f>
        <v>_MINERGIE_P_Bu_mod</v>
      </c>
      <c r="F95" s="503" t="e">
        <f>Konstruktionen!AR100</f>
        <v>#N/A</v>
      </c>
      <c r="G95" s="503" t="e">
        <f>Konstruktionen!AS100</f>
        <v>#N/A</v>
      </c>
      <c r="H95" s="503" t="e">
        <f>Konstruktionen!AT100</f>
        <v>#N/A</v>
      </c>
    </row>
    <row r="96" spans="1:8" ht="15" customHeight="1">
      <c r="A96" s="1097" t="s">
        <v>385</v>
      </c>
      <c r="B96" s="1097" t="s">
        <v>1184</v>
      </c>
      <c r="C96" s="1064" t="s">
        <v>1179</v>
      </c>
      <c r="D96" s="872" t="s">
        <v>1163</v>
      </c>
      <c r="E96" s="557" t="str">
        <f>D96&amp;"_"&amp;$C$96&amp;$B$96</f>
        <v>Wärmedämmung, Betonplatte,  Zementüberzug_keine_BE_mod</v>
      </c>
      <c r="F96" s="1088" t="s">
        <v>1176</v>
      </c>
      <c r="G96" s="1089"/>
      <c r="H96" s="1090"/>
    </row>
    <row r="97" spans="1:8">
      <c r="A97" s="1098"/>
      <c r="B97" s="1098"/>
      <c r="C97" s="1065"/>
      <c r="D97" s="129" t="s">
        <v>1243</v>
      </c>
      <c r="E97" s="557" t="str">
        <f>D97&amp;"_"&amp;$C$96&amp;$B$96</f>
        <v>Betondecke, Wärmedämmung, Trittschalldämmung, Unterlagsboden mit Bodenheizung_keine_BE_mod</v>
      </c>
      <c r="F97" s="1091"/>
      <c r="G97" s="1092"/>
      <c r="H97" s="1093"/>
    </row>
    <row r="98" spans="1:8">
      <c r="A98" s="1098"/>
      <c r="B98" s="1098"/>
      <c r="C98" s="1065"/>
      <c r="D98" s="129"/>
      <c r="E98" s="557" t="str">
        <f>D98&amp;"_"&amp;$C$96&amp;$B$96</f>
        <v>_keine_BE_mod</v>
      </c>
      <c r="F98" s="1091"/>
      <c r="G98" s="1092"/>
      <c r="H98" s="1093"/>
    </row>
    <row r="99" spans="1:8">
      <c r="A99" s="1098"/>
      <c r="B99" s="1098"/>
      <c r="C99" s="1065"/>
      <c r="D99" s="129"/>
      <c r="E99" s="557" t="str">
        <f>D99&amp;"_"&amp;$C$96&amp;$B$96</f>
        <v>_keine_BE_mod</v>
      </c>
      <c r="F99" s="1091"/>
      <c r="G99" s="1092"/>
      <c r="H99" s="1093"/>
    </row>
    <row r="100" spans="1:8">
      <c r="A100" s="1098"/>
      <c r="B100" s="1098"/>
      <c r="C100" s="1065"/>
      <c r="D100" s="130"/>
      <c r="E100" s="539" t="str">
        <f>D100&amp;"_"&amp;$C$96&amp;$B$96</f>
        <v>_keine_BE_mod</v>
      </c>
      <c r="F100" s="1091"/>
      <c r="G100" s="1092"/>
      <c r="H100" s="1093"/>
    </row>
    <row r="101" spans="1:8">
      <c r="A101" s="1098"/>
      <c r="B101" s="1098"/>
      <c r="C101" s="1065" t="s">
        <v>380</v>
      </c>
      <c r="D101" s="872" t="s">
        <v>1163</v>
      </c>
      <c r="E101" s="557" t="str">
        <f>D101&amp;"_"&amp;$C$101&amp;$B$96</f>
        <v>Wärmedämmung, Betonplatte,  Zementüberzug_MuKen_BE_mod</v>
      </c>
      <c r="F101" s="1091"/>
      <c r="G101" s="1092"/>
      <c r="H101" s="1093"/>
    </row>
    <row r="102" spans="1:8" ht="30">
      <c r="A102" s="1098"/>
      <c r="B102" s="1098"/>
      <c r="C102" s="1065"/>
      <c r="D102" s="129" t="s">
        <v>1243</v>
      </c>
      <c r="E102" s="557" t="str">
        <f>D102&amp;"_"&amp;$C$101&amp;$B$96</f>
        <v>Betondecke, Wärmedämmung, Trittschalldämmung, Unterlagsboden mit Bodenheizung_MuKen_BE_mod</v>
      </c>
      <c r="F102" s="1091"/>
      <c r="G102" s="1092"/>
      <c r="H102" s="1093"/>
    </row>
    <row r="103" spans="1:8">
      <c r="A103" s="1098"/>
      <c r="B103" s="1098"/>
      <c r="C103" s="1065"/>
      <c r="D103" s="129"/>
      <c r="E103" s="557" t="str">
        <f>D103&amp;"_"&amp;$C$101&amp;$B$96</f>
        <v>_MuKen_BE_mod</v>
      </c>
      <c r="F103" s="1091"/>
      <c r="G103" s="1092"/>
      <c r="H103" s="1093"/>
    </row>
    <row r="104" spans="1:8">
      <c r="A104" s="1098"/>
      <c r="B104" s="1098"/>
      <c r="C104" s="1065"/>
      <c r="D104" s="129"/>
      <c r="E104" s="557" t="str">
        <f>D104&amp;"_"&amp;$C$101&amp;$B$96</f>
        <v>_MuKen_BE_mod</v>
      </c>
      <c r="F104" s="1091"/>
      <c r="G104" s="1092"/>
      <c r="H104" s="1093"/>
    </row>
    <row r="105" spans="1:8">
      <c r="A105" s="1098"/>
      <c r="B105" s="1098"/>
      <c r="C105" s="1065"/>
      <c r="D105" s="130"/>
      <c r="E105" s="539" t="str">
        <f>D105&amp;"_"&amp;$C$101&amp;$B$96</f>
        <v>_MuKen_BE_mod</v>
      </c>
      <c r="F105" s="1091"/>
      <c r="G105" s="1092"/>
      <c r="H105" s="1093"/>
    </row>
    <row r="106" spans="1:8">
      <c r="A106" s="1098"/>
      <c r="B106" s="1098"/>
      <c r="C106" s="1065" t="s">
        <v>381</v>
      </c>
      <c r="D106" s="872" t="s">
        <v>1163</v>
      </c>
      <c r="E106" s="557" t="str">
        <f>D106&amp;"_"&amp;$C$106&amp;$B$96</f>
        <v>Wärmedämmung, Betonplatte,  Zementüberzug_MINERGIE_BE_mod</v>
      </c>
      <c r="F106" s="1091"/>
      <c r="G106" s="1092"/>
      <c r="H106" s="1093"/>
    </row>
    <row r="107" spans="1:8" ht="30">
      <c r="A107" s="1098"/>
      <c r="B107" s="1098"/>
      <c r="C107" s="1065"/>
      <c r="D107" s="129" t="s">
        <v>1243</v>
      </c>
      <c r="E107" s="557" t="str">
        <f>D107&amp;"_"&amp;$C$106&amp;$B$96</f>
        <v>Betondecke, Wärmedämmung, Trittschalldämmung, Unterlagsboden mit Bodenheizung_MINERGIE_BE_mod</v>
      </c>
      <c r="F107" s="1091"/>
      <c r="G107" s="1092"/>
      <c r="H107" s="1093"/>
    </row>
    <row r="108" spans="1:8">
      <c r="A108" s="1098"/>
      <c r="B108" s="1098"/>
      <c r="C108" s="1065"/>
      <c r="D108" s="129"/>
      <c r="E108" s="557" t="str">
        <f>D108&amp;"_"&amp;$C$106&amp;$B$96</f>
        <v>_MINERGIE_BE_mod</v>
      </c>
      <c r="F108" s="1091"/>
      <c r="G108" s="1092"/>
      <c r="H108" s="1093"/>
    </row>
    <row r="109" spans="1:8">
      <c r="A109" s="1098"/>
      <c r="B109" s="1098"/>
      <c r="C109" s="1065"/>
      <c r="D109" s="129"/>
      <c r="E109" s="557" t="str">
        <f>D109&amp;"_"&amp;$C$106&amp;$B$96</f>
        <v>_MINERGIE_BE_mod</v>
      </c>
      <c r="F109" s="1091"/>
      <c r="G109" s="1092"/>
      <c r="H109" s="1093"/>
    </row>
    <row r="110" spans="1:8">
      <c r="A110" s="1098"/>
      <c r="B110" s="1098"/>
      <c r="C110" s="1065"/>
      <c r="D110" s="130"/>
      <c r="E110" s="539" t="str">
        <f>D110&amp;"_"&amp;$C$106&amp;$B$96</f>
        <v>_MINERGIE_BE_mod</v>
      </c>
      <c r="F110" s="1091"/>
      <c r="G110" s="1092"/>
      <c r="H110" s="1093"/>
    </row>
    <row r="111" spans="1:8">
      <c r="A111" s="1098"/>
      <c r="B111" s="1098"/>
      <c r="C111" s="1065" t="s">
        <v>401</v>
      </c>
      <c r="D111" s="872" t="s">
        <v>1163</v>
      </c>
      <c r="E111" s="557" t="str">
        <f>D111&amp;"_"&amp;$C$111&amp;$B$96</f>
        <v>Wärmedämmung, Betonplatte,  Zementüberzug_MINERGIE_P_BE_mod</v>
      </c>
      <c r="F111" s="1091"/>
      <c r="G111" s="1092"/>
      <c r="H111" s="1093"/>
    </row>
    <row r="112" spans="1:8" ht="30">
      <c r="A112" s="1098"/>
      <c r="B112" s="1098"/>
      <c r="C112" s="1065"/>
      <c r="D112" s="129" t="s">
        <v>1243</v>
      </c>
      <c r="E112" s="557" t="str">
        <f>D112&amp;"_"&amp;$C$111&amp;$B$96</f>
        <v>Betondecke, Wärmedämmung, Trittschalldämmung, Unterlagsboden mit Bodenheizung_MINERGIE_P_BE_mod</v>
      </c>
      <c r="F112" s="1091"/>
      <c r="G112" s="1092"/>
      <c r="H112" s="1093"/>
    </row>
    <row r="113" spans="1:8">
      <c r="A113" s="1098"/>
      <c r="B113" s="1098"/>
      <c r="C113" s="1065"/>
      <c r="D113" s="129"/>
      <c r="E113" s="557" t="str">
        <f>D113&amp;"_"&amp;$C$111&amp;$B$96</f>
        <v>_MINERGIE_P_BE_mod</v>
      </c>
      <c r="F113" s="1091"/>
      <c r="G113" s="1092"/>
      <c r="H113" s="1093"/>
    </row>
    <row r="114" spans="1:8">
      <c r="A114" s="1098"/>
      <c r="B114" s="1098"/>
      <c r="C114" s="1065"/>
      <c r="D114" s="129"/>
      <c r="E114" s="557" t="str">
        <f>D114&amp;"_"&amp;$C$111&amp;$B$96</f>
        <v>_MINERGIE_P_BE_mod</v>
      </c>
      <c r="F114" s="1091"/>
      <c r="G114" s="1092"/>
      <c r="H114" s="1093"/>
    </row>
    <row r="115" spans="1:8" ht="15.75" thickBot="1">
      <c r="A115" s="1099"/>
      <c r="B115" s="1099"/>
      <c r="C115" s="1066"/>
      <c r="D115" s="131"/>
      <c r="E115" s="561" t="str">
        <f>D115&amp;"_"&amp;$C$111&amp;$B$96</f>
        <v>_MINERGIE_P_BE_mod</v>
      </c>
      <c r="F115" s="1094"/>
      <c r="G115" s="1095"/>
      <c r="H115" s="1096"/>
    </row>
    <row r="116" spans="1:8" ht="15" customHeight="1">
      <c r="A116" s="1080" t="s">
        <v>1138</v>
      </c>
      <c r="B116" s="1080" t="s">
        <v>1185</v>
      </c>
      <c r="C116" s="1061" t="s">
        <v>1179</v>
      </c>
      <c r="D116" s="133" t="s">
        <v>1157</v>
      </c>
      <c r="E116" s="549" t="str">
        <f>D116&amp;"_"&amp;$C$116&amp;$B$116</f>
        <v>Kunststofffenster 3IV_keine_Fe_mod</v>
      </c>
      <c r="F116" s="498">
        <f>0</f>
        <v>0</v>
      </c>
      <c r="G116" s="495">
        <f>0</f>
        <v>0</v>
      </c>
      <c r="H116" s="495">
        <f>0</f>
        <v>0</v>
      </c>
    </row>
    <row r="117" spans="1:8">
      <c r="A117" s="1068"/>
      <c r="B117" s="1068"/>
      <c r="C117" s="1062"/>
      <c r="D117" s="134" t="s">
        <v>1158</v>
      </c>
      <c r="E117" s="549" t="str">
        <f>D117&amp;"_"&amp;$C$116&amp;$B$116</f>
        <v>Holz-Metall-Fenster 3IV_keine_Fe_mod</v>
      </c>
      <c r="F117" s="495">
        <f>0</f>
        <v>0</v>
      </c>
      <c r="G117" s="495">
        <f>0</f>
        <v>0</v>
      </c>
      <c r="H117" s="495">
        <f>0</f>
        <v>0</v>
      </c>
    </row>
    <row r="118" spans="1:8">
      <c r="A118" s="1068"/>
      <c r="B118" s="1068"/>
      <c r="C118" s="1062"/>
      <c r="D118" s="507" t="s">
        <v>1159</v>
      </c>
      <c r="E118" s="507" t="str">
        <f>D118&amp;"_"&amp;$C$116&amp;$B$116</f>
        <v>Holzfenster 3IV_keine_Fe_mod</v>
      </c>
      <c r="F118" s="498">
        <f>((VLOOKUP(Konstruktionen!AJ118,KBOB,10,FALSE)*Konstruktionen!AK118)/Konstruktionen!AL118)</f>
        <v>0.23499999999999999</v>
      </c>
      <c r="G118" s="891">
        <f>((VLOOKUP(Konstruktionen!AJ118,KBOB,13,FALSE)*Konstruktionen!AK118)/Konstruktionen!AL118)</f>
        <v>1.5799999999999998E-2</v>
      </c>
      <c r="H118" s="891">
        <f>((VLOOKUP(Konstruktionen!AJ118,KBOB,4,FALSE)*Konstruktionen!AK118)/Konstruktionen!AL118)</f>
        <v>19.899999999999999</v>
      </c>
    </row>
    <row r="119" spans="1:8">
      <c r="A119" s="1068"/>
      <c r="B119" s="1068"/>
      <c r="C119" s="1069" t="s">
        <v>380</v>
      </c>
      <c r="D119" s="133" t="s">
        <v>1157</v>
      </c>
      <c r="E119" s="549" t="str">
        <f>D119&amp;"_"&amp;$C$119&amp;$B$116</f>
        <v>Kunststofffenster 3IV_MuKen_Fe_mod</v>
      </c>
      <c r="F119" s="597">
        <f>Konstruktionen!AR116</f>
        <v>56.414454618811661</v>
      </c>
      <c r="G119" s="137">
        <f>Konstruktionen!AS116</f>
        <v>3.5752811666666666</v>
      </c>
      <c r="H119" s="137">
        <f>Konstruktionen!AT116</f>
        <v>4162</v>
      </c>
    </row>
    <row r="120" spans="1:8">
      <c r="A120" s="1068"/>
      <c r="B120" s="1068"/>
      <c r="C120" s="1062"/>
      <c r="D120" s="134" t="s">
        <v>1158</v>
      </c>
      <c r="E120" s="549" t="str">
        <f>D120&amp;"_"&amp;$C$119&amp;$B$116</f>
        <v>Holz-Metall-Fenster 3IV_MuKen_Fe_mod</v>
      </c>
      <c r="F120" s="498">
        <f>Konstruktionen!AR117</f>
        <v>44.864454618811664</v>
      </c>
      <c r="G120" s="495">
        <f>Konstruktionen!AS117</f>
        <v>3.0465811666666665</v>
      </c>
      <c r="H120" s="495">
        <f>Konstruktionen!AT117</f>
        <v>3677</v>
      </c>
    </row>
    <row r="121" spans="1:8">
      <c r="A121" s="1068"/>
      <c r="B121" s="1068"/>
      <c r="C121" s="1062"/>
      <c r="D121" s="507" t="s">
        <v>1159</v>
      </c>
      <c r="E121" s="507" t="str">
        <f>D121&amp;"_"&amp;$C$119&amp;$B$116</f>
        <v>Holzfenster 3IV_MuKen_Fe_mod</v>
      </c>
      <c r="F121" s="921">
        <f>Konstruktionen!AR118</f>
        <v>36.949454618811664</v>
      </c>
      <c r="G121" s="921">
        <f>Konstruktionen!AS118</f>
        <v>2.4542661666666667</v>
      </c>
      <c r="H121" s="921">
        <f>Konstruktionen!AT118</f>
        <v>3111.9</v>
      </c>
    </row>
    <row r="122" spans="1:8">
      <c r="A122" s="1068"/>
      <c r="B122" s="1068"/>
      <c r="C122" s="1062" t="s">
        <v>381</v>
      </c>
      <c r="D122" s="133" t="s">
        <v>1157</v>
      </c>
      <c r="E122" s="549" t="str">
        <f>D122&amp;"_"&amp;$C$122&amp;$B$116</f>
        <v>Kunststofffenster 3IV_MINERGIE_Fe_mod</v>
      </c>
      <c r="F122" s="495">
        <f>Konstruktionen!AR119</f>
        <v>56.414454618811661</v>
      </c>
      <c r="G122" s="495">
        <f>Konstruktionen!AS119</f>
        <v>3.5752811666666666</v>
      </c>
      <c r="H122" s="495">
        <f>Konstruktionen!AT119</f>
        <v>4162</v>
      </c>
    </row>
    <row r="123" spans="1:8">
      <c r="A123" s="1068"/>
      <c r="B123" s="1068"/>
      <c r="C123" s="1062"/>
      <c r="D123" s="134" t="s">
        <v>1158</v>
      </c>
      <c r="E123" s="549" t="str">
        <f>D123&amp;"_"&amp;$C$122&amp;$B$116</f>
        <v>Holz-Metall-Fenster 3IV_MINERGIE_Fe_mod</v>
      </c>
      <c r="F123" s="495">
        <f>Konstruktionen!AR120</f>
        <v>44.864454618811664</v>
      </c>
      <c r="G123" s="495">
        <f>Konstruktionen!AS120</f>
        <v>3.0465811666666665</v>
      </c>
      <c r="H123" s="495">
        <f>Konstruktionen!AT120</f>
        <v>3677</v>
      </c>
    </row>
    <row r="124" spans="1:8">
      <c r="A124" s="1068"/>
      <c r="B124" s="1068"/>
      <c r="C124" s="1062"/>
      <c r="D124" s="507" t="s">
        <v>1159</v>
      </c>
      <c r="E124" s="507" t="str">
        <f>D124&amp;"_"&amp;$C$122&amp;$B$116</f>
        <v>Holzfenster 3IV_MINERGIE_Fe_mod</v>
      </c>
      <c r="F124" s="495">
        <f>Konstruktionen!AR121</f>
        <v>36.949454618811664</v>
      </c>
      <c r="G124" s="891">
        <f>Konstruktionen!AS121</f>
        <v>2.4542661666666667</v>
      </c>
      <c r="H124" s="891">
        <f>Konstruktionen!AT121</f>
        <v>3111.9</v>
      </c>
    </row>
    <row r="125" spans="1:8">
      <c r="A125" s="1068"/>
      <c r="B125" s="1068"/>
      <c r="C125" s="1062" t="s">
        <v>401</v>
      </c>
      <c r="D125" s="133" t="s">
        <v>1157</v>
      </c>
      <c r="E125" s="549" t="str">
        <f>D125&amp;"_"&amp;$C$125&amp;$B$116</f>
        <v>Kunststofffenster 3IV_MINERGIE_P_Fe_mod</v>
      </c>
      <c r="F125" s="597">
        <f>Konstruktionen!AR122</f>
        <v>56.414454618811661</v>
      </c>
      <c r="G125" s="137">
        <f>Konstruktionen!AS122</f>
        <v>3.5752811666666666</v>
      </c>
      <c r="H125" s="137">
        <f>Konstruktionen!AT122</f>
        <v>4162</v>
      </c>
    </row>
    <row r="126" spans="1:8">
      <c r="A126" s="1068"/>
      <c r="B126" s="1068"/>
      <c r="C126" s="1062"/>
      <c r="D126" s="134" t="s">
        <v>1158</v>
      </c>
      <c r="E126" s="549" t="str">
        <f>D126&amp;"_"&amp;$C$125&amp;$B$116</f>
        <v>Holz-Metall-Fenster 3IV_MINERGIE_P_Fe_mod</v>
      </c>
      <c r="F126" s="498">
        <f>Konstruktionen!AR123</f>
        <v>44.864454618811664</v>
      </c>
      <c r="G126" s="495">
        <f>Konstruktionen!AS123</f>
        <v>3.0465811666666665</v>
      </c>
      <c r="H126" s="495">
        <f>Konstruktionen!AT123</f>
        <v>3677</v>
      </c>
    </row>
    <row r="127" spans="1:8" ht="15.75" thickBot="1">
      <c r="A127" s="1087"/>
      <c r="B127" s="1087"/>
      <c r="C127" s="1063"/>
      <c r="D127" s="508" t="s">
        <v>1159</v>
      </c>
      <c r="E127" s="508" t="str">
        <f>D127&amp;"_"&amp;$C$125&amp;$B$116</f>
        <v>Holzfenster 3IV_MINERGIE_P_Fe_mod</v>
      </c>
      <c r="F127" s="503">
        <f>Konstruktionen!AR124</f>
        <v>36.949454618811664</v>
      </c>
      <c r="G127" s="503">
        <f>Konstruktionen!AS124</f>
        <v>2.4542661666666667</v>
      </c>
      <c r="H127" s="503">
        <f>Konstruktionen!AT124</f>
        <v>3111.9</v>
      </c>
    </row>
  </sheetData>
  <mergeCells count="37">
    <mergeCell ref="A8:A27"/>
    <mergeCell ref="B8:B27"/>
    <mergeCell ref="C8:C12"/>
    <mergeCell ref="C101:C105"/>
    <mergeCell ref="C106:C110"/>
    <mergeCell ref="C61:C65"/>
    <mergeCell ref="C66:C70"/>
    <mergeCell ref="C71:C75"/>
    <mergeCell ref="C81:C85"/>
    <mergeCell ref="C86:C90"/>
    <mergeCell ref="C91:C95"/>
    <mergeCell ref="C13:C17"/>
    <mergeCell ref="C18:C22"/>
    <mergeCell ref="C23:C27"/>
    <mergeCell ref="C35:C41"/>
    <mergeCell ref="C42:C48"/>
    <mergeCell ref="C28:C34"/>
    <mergeCell ref="A28:A55"/>
    <mergeCell ref="B28:B55"/>
    <mergeCell ref="C56:C60"/>
    <mergeCell ref="A56:A75"/>
    <mergeCell ref="B56:B75"/>
    <mergeCell ref="C49:C55"/>
    <mergeCell ref="A116:A127"/>
    <mergeCell ref="B116:B127"/>
    <mergeCell ref="C116:C118"/>
    <mergeCell ref="F96:H115"/>
    <mergeCell ref="C76:C80"/>
    <mergeCell ref="A76:A95"/>
    <mergeCell ref="B76:B95"/>
    <mergeCell ref="C96:C100"/>
    <mergeCell ref="A96:A115"/>
    <mergeCell ref="B96:B115"/>
    <mergeCell ref="C111:C115"/>
    <mergeCell ref="C119:C121"/>
    <mergeCell ref="C122:C124"/>
    <mergeCell ref="C125:C127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view="pageLayout" topLeftCell="A64" zoomScaleNormal="100" workbookViewId="0">
      <selection activeCell="G92" sqref="G92"/>
    </sheetView>
  </sheetViews>
  <sheetFormatPr baseColWidth="10" defaultRowHeight="15"/>
  <sheetData>
    <row r="1" spans="1:7">
      <c r="A1" s="933"/>
      <c r="B1" s="933"/>
      <c r="C1" s="933"/>
      <c r="D1" s="933"/>
      <c r="E1" s="933"/>
      <c r="F1" s="933"/>
      <c r="G1" s="933"/>
    </row>
    <row r="2" spans="1:7">
      <c r="A2" s="933" t="s">
        <v>1093</v>
      </c>
      <c r="C2" s="933"/>
      <c r="D2" s="933"/>
      <c r="E2" s="933"/>
      <c r="F2" s="933"/>
      <c r="G2" s="933"/>
    </row>
    <row r="3" spans="1:7">
      <c r="A3" s="933"/>
      <c r="B3" s="933"/>
      <c r="C3" s="933"/>
      <c r="D3" s="933"/>
      <c r="E3" s="933"/>
      <c r="F3" s="933"/>
      <c r="G3" s="933"/>
    </row>
    <row r="4" spans="1:7">
      <c r="A4" s="933"/>
      <c r="B4" s="933"/>
      <c r="C4" s="933"/>
      <c r="D4" s="933"/>
      <c r="E4" s="933"/>
      <c r="F4" s="933"/>
      <c r="G4" s="933"/>
    </row>
    <row r="5" spans="1:7">
      <c r="A5" s="933"/>
      <c r="B5" s="933"/>
      <c r="C5" s="933"/>
      <c r="D5" s="933"/>
      <c r="E5" s="933"/>
      <c r="F5" s="933"/>
      <c r="G5" s="933"/>
    </row>
    <row r="6" spans="1:7">
      <c r="A6" s="933"/>
      <c r="B6" s="933"/>
      <c r="C6" s="933"/>
      <c r="D6" s="933"/>
      <c r="E6" s="933"/>
      <c r="F6" s="933"/>
      <c r="G6" s="933"/>
    </row>
    <row r="7" spans="1:7">
      <c r="A7" s="933"/>
      <c r="B7" s="933"/>
      <c r="C7" s="933"/>
      <c r="D7" s="933"/>
      <c r="E7" s="933"/>
      <c r="F7" s="933"/>
      <c r="G7" s="933"/>
    </row>
    <row r="8" spans="1:7" ht="15.75" thickBot="1">
      <c r="A8" s="934"/>
      <c r="B8" s="934"/>
      <c r="C8" s="934"/>
      <c r="D8" s="934"/>
      <c r="E8" s="934"/>
      <c r="F8" s="934"/>
      <c r="G8" s="934"/>
    </row>
    <row r="10" spans="1:7">
      <c r="A10" t="s">
        <v>1096</v>
      </c>
    </row>
    <row r="16" spans="1:7" ht="15.75" thickBot="1">
      <c r="A16" s="934"/>
      <c r="B16" s="934"/>
      <c r="C16" s="934"/>
      <c r="D16" s="934"/>
      <c r="E16" s="934"/>
      <c r="F16" s="934"/>
      <c r="G16" s="934"/>
    </row>
    <row r="18" spans="1:7">
      <c r="A18" t="s">
        <v>1097</v>
      </c>
    </row>
    <row r="24" spans="1:7" ht="15.75" thickBot="1">
      <c r="A24" s="934"/>
      <c r="B24" s="934"/>
      <c r="C24" s="934"/>
      <c r="D24" s="934"/>
      <c r="E24" s="934"/>
      <c r="F24" s="934"/>
      <c r="G24" s="934"/>
    </row>
    <row r="26" spans="1:7">
      <c r="A26" t="s">
        <v>1099</v>
      </c>
    </row>
    <row r="32" spans="1:7" ht="15.75" thickBot="1">
      <c r="A32" s="934"/>
      <c r="B32" s="934"/>
      <c r="C32" s="934"/>
      <c r="D32" s="934"/>
      <c r="E32" s="934"/>
      <c r="F32" s="934"/>
      <c r="G32" s="934"/>
    </row>
    <row r="34" spans="1:7">
      <c r="A34" t="s">
        <v>1100</v>
      </c>
    </row>
    <row r="40" spans="1:7" ht="15.75" thickBot="1">
      <c r="A40" s="934"/>
      <c r="B40" s="934"/>
      <c r="C40" s="934"/>
      <c r="D40" s="934"/>
      <c r="E40" s="934"/>
      <c r="F40" s="934"/>
      <c r="G40" s="934"/>
    </row>
    <row r="42" spans="1:7">
      <c r="A42" t="s">
        <v>1186</v>
      </c>
    </row>
    <row r="48" spans="1:7" ht="15.75" thickBot="1">
      <c r="A48" s="934"/>
      <c r="B48" s="934"/>
      <c r="C48" s="934"/>
      <c r="D48" s="934"/>
      <c r="E48" s="934"/>
      <c r="F48" s="934"/>
      <c r="G48" s="934"/>
    </row>
    <row r="51" spans="1:7">
      <c r="A51" t="s">
        <v>1106</v>
      </c>
    </row>
    <row r="57" spans="1:7" ht="15.75" thickBot="1">
      <c r="A57" s="934"/>
      <c r="B57" s="934"/>
      <c r="C57" s="934"/>
      <c r="D57" s="934"/>
      <c r="E57" s="934"/>
      <c r="F57" s="934"/>
      <c r="G57" s="934"/>
    </row>
    <row r="59" spans="1:7">
      <c r="A59" t="s">
        <v>1107</v>
      </c>
      <c r="C59" t="s">
        <v>1187</v>
      </c>
    </row>
    <row r="61" spans="1:7">
      <c r="A61" s="933"/>
      <c r="B61" s="933"/>
      <c r="D61" s="933"/>
      <c r="E61" s="933"/>
      <c r="F61" s="933"/>
      <c r="G61" s="933"/>
    </row>
    <row r="62" spans="1:7">
      <c r="F62" t="s">
        <v>1188</v>
      </c>
    </row>
    <row r="67" spans="1:7" ht="15.75" thickBot="1">
      <c r="A67" s="934"/>
      <c r="B67" s="934"/>
      <c r="C67" s="934"/>
      <c r="D67" s="934"/>
      <c r="E67" s="934"/>
      <c r="F67" s="934"/>
      <c r="G67" s="934"/>
    </row>
    <row r="69" spans="1:7">
      <c r="A69" t="s">
        <v>1109</v>
      </c>
    </row>
    <row r="75" spans="1:7" ht="15.75" thickBot="1">
      <c r="A75" s="934"/>
      <c r="B75" s="934"/>
      <c r="C75" s="934"/>
      <c r="D75" s="934"/>
      <c r="E75" s="934"/>
      <c r="F75" s="934"/>
      <c r="G75" s="934"/>
    </row>
    <row r="77" spans="1:7">
      <c r="A77" t="s">
        <v>1149</v>
      </c>
    </row>
    <row r="83" spans="1:7" ht="15.75" thickBot="1">
      <c r="A83" s="934"/>
      <c r="B83" s="934"/>
      <c r="C83" s="934"/>
      <c r="D83" s="934"/>
      <c r="E83" s="934"/>
      <c r="F83" s="934"/>
      <c r="G83" s="934"/>
    </row>
    <row r="85" spans="1:7">
      <c r="A85" t="s">
        <v>1101</v>
      </c>
    </row>
    <row r="91" spans="1:7" ht="15.75" thickBot="1">
      <c r="A91" s="934"/>
      <c r="B91" s="934"/>
      <c r="C91" s="934"/>
      <c r="D91" s="934"/>
      <c r="E91" s="934"/>
      <c r="F91" s="934"/>
      <c r="G91" s="93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Q103"/>
  <sheetViews>
    <sheetView zoomScale="90" zoomScaleNormal="90" workbookViewId="0">
      <selection activeCell="C33" sqref="C33"/>
    </sheetView>
  </sheetViews>
  <sheetFormatPr baseColWidth="10" defaultColWidth="11.42578125" defaultRowHeight="12.75" zeroHeight="1"/>
  <cols>
    <col min="1" max="1" width="26.5703125" style="146" customWidth="1"/>
    <col min="2" max="2" width="5.5703125" style="146" bestFit="1" customWidth="1"/>
    <col min="3" max="3" width="18.140625" style="146" bestFit="1" customWidth="1"/>
    <col min="4" max="4" width="22.28515625" style="146" customWidth="1"/>
    <col min="5" max="5" width="1.42578125" style="146" customWidth="1"/>
    <col min="6" max="6" width="1" style="147" customWidth="1"/>
    <col min="7" max="7" width="1.42578125" style="146" customWidth="1"/>
    <col min="8" max="8" width="43.5703125" style="146" customWidth="1"/>
    <col min="9" max="9" width="13.42578125" style="146" customWidth="1"/>
    <col min="10" max="10" width="18.140625" style="146" customWidth="1"/>
    <col min="11" max="11" width="8.42578125" style="146" customWidth="1"/>
    <col min="12" max="13" width="4.5703125" style="146" customWidth="1"/>
    <col min="14" max="14" width="3.5703125" style="146" customWidth="1"/>
    <col min="15" max="15" width="7.7109375" style="146" customWidth="1"/>
    <col min="16" max="17" width="7.140625" style="146" customWidth="1"/>
    <col min="18" max="18" width="7.28515625" style="146" customWidth="1"/>
    <col min="19" max="19" width="24.28515625" style="146" customWidth="1"/>
    <col min="20" max="20" width="14.42578125" style="146" customWidth="1"/>
    <col min="21" max="21" width="12.5703125" style="146" customWidth="1"/>
    <col min="22" max="22" width="8.85546875" style="146" customWidth="1"/>
    <col min="23" max="23" width="8.7109375" style="146" customWidth="1"/>
    <col min="24" max="24" width="27.42578125" style="146" customWidth="1"/>
    <col min="25" max="25" width="6.5703125" style="146" customWidth="1"/>
    <col min="26" max="26" width="14.140625" style="146" customWidth="1"/>
    <col min="27" max="27" width="18.5703125" style="146" customWidth="1"/>
    <col min="28" max="28" width="26.5703125" style="146" customWidth="1"/>
    <col min="29" max="29" width="2.42578125" style="146" customWidth="1"/>
    <col min="30" max="30" width="56.28515625" style="146" customWidth="1"/>
    <col min="31" max="16384" width="11.42578125" style="146"/>
  </cols>
  <sheetData>
    <row r="1" spans="1:17" ht="6" customHeight="1">
      <c r="E1" s="148"/>
      <c r="F1" s="160"/>
      <c r="G1" s="148"/>
      <c r="H1" s="148"/>
    </row>
    <row r="2" spans="1:17" s="166" customFormat="1">
      <c r="A2" s="167" t="s">
        <v>506</v>
      </c>
      <c r="B2" s="167"/>
      <c r="C2" s="167" t="s">
        <v>505</v>
      </c>
      <c r="D2" s="167"/>
      <c r="E2" s="168"/>
      <c r="F2" s="168"/>
      <c r="G2" s="168"/>
      <c r="H2" s="168"/>
      <c r="I2" s="167" t="s">
        <v>504</v>
      </c>
      <c r="J2" s="167"/>
      <c r="K2" s="167"/>
      <c r="L2" s="167"/>
    </row>
    <row r="3" spans="1:17" ht="4.5" customHeight="1">
      <c r="E3" s="148"/>
      <c r="F3" s="160"/>
      <c r="G3" s="148"/>
      <c r="H3" s="148"/>
    </row>
    <row r="4" spans="1:17">
      <c r="A4" s="162" t="s">
        <v>419</v>
      </c>
      <c r="D4" s="148"/>
      <c r="E4" s="148"/>
      <c r="F4" s="160"/>
      <c r="G4" s="148"/>
      <c r="H4" s="152" t="s">
        <v>503</v>
      </c>
    </row>
    <row r="5" spans="1:17" ht="15.75">
      <c r="A5" s="150" t="s">
        <v>501</v>
      </c>
      <c r="B5" s="165" t="s">
        <v>502</v>
      </c>
      <c r="C5" s="607">
        <f>Referenzblatt!B9</f>
        <v>0.2</v>
      </c>
      <c r="E5" s="148"/>
      <c r="F5" s="160"/>
      <c r="G5" s="148"/>
      <c r="H5" s="150" t="s">
        <v>501</v>
      </c>
      <c r="I5" s="163">
        <f>Referenzblatt!B9</f>
        <v>0.2</v>
      </c>
      <c r="K5" s="157"/>
    </row>
    <row r="6" spans="1:17" ht="15.75">
      <c r="A6" s="164" t="s">
        <v>499</v>
      </c>
      <c r="B6" s="161" t="s">
        <v>500</v>
      </c>
      <c r="C6" s="163">
        <f>H*Ae*C5</f>
        <v>0</v>
      </c>
      <c r="D6" s="148" t="s">
        <v>498</v>
      </c>
      <c r="E6" s="148"/>
      <c r="F6" s="160"/>
      <c r="G6" s="148"/>
      <c r="H6" s="164" t="s">
        <v>499</v>
      </c>
      <c r="I6" s="163">
        <f>H_mod*Ae_mod*I5</f>
        <v>0</v>
      </c>
      <c r="J6" s="148" t="s">
        <v>498</v>
      </c>
      <c r="K6" s="157"/>
    </row>
    <row r="7" spans="1:17" ht="15.75">
      <c r="A7" s="150" t="s">
        <v>493</v>
      </c>
      <c r="B7" s="161" t="s">
        <v>497</v>
      </c>
      <c r="C7" s="608" t="e">
        <f>VLOOKUP(IW_Konstruktion,IW_BT,34,FALSE)</f>
        <v>#N/A</v>
      </c>
      <c r="D7" s="148" t="s">
        <v>444</v>
      </c>
      <c r="E7" s="148"/>
      <c r="F7" s="160"/>
      <c r="G7" s="148"/>
      <c r="H7" s="154" t="s">
        <v>496</v>
      </c>
      <c r="P7" s="148"/>
      <c r="Q7" s="148"/>
    </row>
    <row r="8" spans="1:17" ht="15.75">
      <c r="A8" s="150" t="s">
        <v>491</v>
      </c>
      <c r="B8" s="161" t="s">
        <v>495</v>
      </c>
      <c r="C8" s="163" t="e">
        <f>C6*C7/Ae</f>
        <v>#N/A</v>
      </c>
      <c r="D8" s="148" t="s">
        <v>444</v>
      </c>
      <c r="E8" s="148"/>
      <c r="F8" s="160"/>
      <c r="G8" s="148"/>
      <c r="H8" s="150" t="s">
        <v>462</v>
      </c>
      <c r="I8" s="153" t="e">
        <f>VLOOKUP(Eingriffstiefe,tbl_Eingriffstiefe_GE,MATCH(H7,array_Eingriffstiefe_GE,0),FALSE)*Referenzblatt!AB13</f>
        <v>#N/A</v>
      </c>
      <c r="J8" s="146" t="s">
        <v>456</v>
      </c>
      <c r="K8" s="157"/>
    </row>
    <row r="9" spans="1:17" ht="13.5" customHeight="1">
      <c r="A9" s="148"/>
      <c r="D9" s="148"/>
      <c r="E9" s="148"/>
      <c r="H9" s="150" t="s">
        <v>457</v>
      </c>
      <c r="I9" s="153" t="e">
        <f>I8*I6/Ae_mod</f>
        <v>#N/A</v>
      </c>
      <c r="J9" s="146" t="s">
        <v>456</v>
      </c>
      <c r="K9" s="157"/>
      <c r="P9" s="148"/>
      <c r="Q9" s="148"/>
    </row>
    <row r="10" spans="1:17">
      <c r="A10" s="162" t="s">
        <v>418</v>
      </c>
      <c r="D10" s="148"/>
      <c r="E10" s="148"/>
      <c r="H10" s="154" t="s">
        <v>494</v>
      </c>
    </row>
    <row r="11" spans="1:17" ht="15.75">
      <c r="A11" s="150" t="s">
        <v>493</v>
      </c>
      <c r="B11" s="161" t="s">
        <v>492</v>
      </c>
      <c r="C11" s="608" t="e">
        <f>VLOOKUP(ZD_Konstruktion,ZD_BT,34,FALSE)</f>
        <v>#N/A</v>
      </c>
      <c r="D11" s="148" t="s">
        <v>444</v>
      </c>
      <c r="E11" s="148"/>
      <c r="F11" s="160"/>
      <c r="G11" s="148"/>
      <c r="H11" s="150" t="s">
        <v>462</v>
      </c>
      <c r="I11" s="153" t="e">
        <f>VLOOKUP(Eingriffstiefe,tbl_Eingriffstiefe_GE,MATCH(H10,array_Eingriffstiefe_GE,0),FALSE)*Referenzblatt!AB17</f>
        <v>#N/A</v>
      </c>
      <c r="J11" s="146" t="s">
        <v>456</v>
      </c>
      <c r="K11" s="157"/>
    </row>
    <row r="12" spans="1:17" ht="15.75">
      <c r="A12" s="150" t="s">
        <v>491</v>
      </c>
      <c r="B12" s="161" t="s">
        <v>490</v>
      </c>
      <c r="C12" s="607" t="e">
        <f>C11*(Ae-AFU)/Ae</f>
        <v>#N/A</v>
      </c>
      <c r="D12" s="148" t="s">
        <v>444</v>
      </c>
      <c r="E12" s="161"/>
      <c r="F12" s="160"/>
      <c r="G12" s="148"/>
      <c r="H12" s="150" t="s">
        <v>457</v>
      </c>
      <c r="I12" s="153" t="e">
        <f>I11*I6/Ae_mod</f>
        <v>#N/A</v>
      </c>
      <c r="J12" s="146" t="s">
        <v>456</v>
      </c>
      <c r="K12" s="157"/>
      <c r="P12" s="148"/>
      <c r="Q12" s="148"/>
    </row>
    <row r="13" spans="1:17">
      <c r="D13" s="148"/>
      <c r="H13" s="154" t="s">
        <v>489</v>
      </c>
    </row>
    <row r="14" spans="1:17">
      <c r="A14" s="152" t="s">
        <v>488</v>
      </c>
      <c r="H14" s="150" t="s">
        <v>487</v>
      </c>
      <c r="I14" s="153" t="e">
        <f>(I5*Ae_mod*VLOOKUP(Eingriffstiefe,tbl_Eingriffstiefe_GE,MATCH(H13,array_Eingriffstiefe_GE,0),FALSE)+H_mod)/(I6*VLOOKUP(Eingriffstiefe,tbl_Eingriffstiefe_GE,MATCH(H13,array_Eingriffstiefe_GE,0),FALSE))</f>
        <v>#N/A</v>
      </c>
      <c r="J14" s="146" t="s">
        <v>475</v>
      </c>
      <c r="K14" s="157"/>
    </row>
    <row r="15" spans="1:17">
      <c r="A15" s="150" t="s">
        <v>486</v>
      </c>
      <c r="C15" s="153">
        <v>0</v>
      </c>
      <c r="D15" s="148" t="s">
        <v>483</v>
      </c>
      <c r="H15" s="150" t="s">
        <v>462</v>
      </c>
      <c r="I15" s="153" t="e">
        <f>VLOOKUP(Eingriffstiefe,tbl_Eingriffstiefe_GE,MATCH(H13,array_Eingriffstiefe_GE,0),FALSE)*Referenzblatt!AB22*I14</f>
        <v>#N/A</v>
      </c>
      <c r="J15" s="146" t="s">
        <v>456</v>
      </c>
      <c r="K15" s="157"/>
    </row>
    <row r="16" spans="1:17">
      <c r="A16" s="150" t="s">
        <v>485</v>
      </c>
      <c r="C16" s="608">
        <f>Referenzblatt!E13</f>
        <v>21.560215283650532</v>
      </c>
      <c r="D16" s="148" t="s">
        <v>483</v>
      </c>
      <c r="H16" s="150" t="s">
        <v>457</v>
      </c>
      <c r="I16" s="153" t="e">
        <f>I15*I6/Ae_mod</f>
        <v>#N/A</v>
      </c>
      <c r="J16" s="146" t="s">
        <v>456</v>
      </c>
      <c r="K16" s="157"/>
    </row>
    <row r="17" spans="1:11">
      <c r="A17" s="150" t="s">
        <v>484</v>
      </c>
      <c r="C17" s="608">
        <f>Referenzblatt!E12</f>
        <v>26.584679646610812</v>
      </c>
      <c r="D17" s="148" t="s">
        <v>483</v>
      </c>
      <c r="H17" s="154" t="s">
        <v>482</v>
      </c>
    </row>
    <row r="18" spans="1:11">
      <c r="A18" s="150" t="s">
        <v>481</v>
      </c>
      <c r="C18" s="153">
        <v>0</v>
      </c>
      <c r="D18" s="148" t="s">
        <v>449</v>
      </c>
      <c r="H18" s="150" t="s">
        <v>480</v>
      </c>
      <c r="I18" s="153" t="e">
        <f>(I5*Ae_mod*VLOOKUP(Eingriffstiefe,tbl_Eingriffstiefe_GE,MATCH(H17,array_Eingriffstiefe_GE,0),FALSE)+H_mod)/(I6*VLOOKUP(Eingriffstiefe,tbl_Eingriffstiefe_GE,MATCH(H17,array_Eingriffstiefe_GE,0),FALSE))</f>
        <v>#N/A</v>
      </c>
      <c r="J18" s="146" t="s">
        <v>475</v>
      </c>
      <c r="K18" s="157"/>
    </row>
    <row r="19" spans="1:11">
      <c r="A19" s="150" t="s">
        <v>479</v>
      </c>
      <c r="C19" s="159" t="e">
        <f>C16*(Gf-Ae)/Ae</f>
        <v>#DIV/0!</v>
      </c>
      <c r="D19" s="148" t="s">
        <v>449</v>
      </c>
      <c r="E19" s="151"/>
      <c r="H19" s="150" t="s">
        <v>478</v>
      </c>
      <c r="I19" s="153" t="e">
        <f>1/H_mod</f>
        <v>#DIV/0!</v>
      </c>
      <c r="J19" s="146" t="s">
        <v>475</v>
      </c>
      <c r="K19" s="157"/>
    </row>
    <row r="20" spans="1:11">
      <c r="A20" s="150" t="s">
        <v>477</v>
      </c>
      <c r="C20" s="153">
        <f>IF(NF_UB=0,0,C17*Referenzblatt!B14*SQRT((Gf-Ae)/NF_UB)*NF_UB*H/Ae)</f>
        <v>0</v>
      </c>
      <c r="D20" s="148" t="s">
        <v>449</v>
      </c>
      <c r="H20" s="150" t="s">
        <v>476</v>
      </c>
      <c r="I20" s="153" t="e">
        <f>H_mod/(I6*VLOOKUP(Eingriffstiefe,tbl_Eingriffstiefe_GE,MATCH(H17,array_Eingriffstiefe_GE,0),FALSE))</f>
        <v>#N/A</v>
      </c>
      <c r="J20" s="146" t="s">
        <v>475</v>
      </c>
      <c r="K20" s="157"/>
    </row>
    <row r="21" spans="1:11">
      <c r="A21" s="150" t="s">
        <v>474</v>
      </c>
      <c r="C21" s="153">
        <f>IF(NF_UB=0,0,C16*((GF_ST/NF_ST)-AFU)/Ae)</f>
        <v>0</v>
      </c>
      <c r="D21" s="148" t="s">
        <v>449</v>
      </c>
      <c r="H21" s="150" t="s">
        <v>462</v>
      </c>
      <c r="I21" s="153" t="e">
        <f>VLOOKUP(Eingriffstiefe,tbl_Eingriffstiefe_GE,MATCH(H17,array_Eingriffstiefe_GE,0),FALSE)*(SUM(Referenzblatt!AB25:AB26)*I18+Referenzblatt!AB27*I19+Referenzblatt!AB28*I20)</f>
        <v>#N/A</v>
      </c>
      <c r="J21" s="146" t="s">
        <v>456</v>
      </c>
      <c r="K21" s="157"/>
    </row>
    <row r="22" spans="1:11">
      <c r="A22" s="150" t="s">
        <v>473</v>
      </c>
      <c r="C22" s="153" t="e">
        <f>C19+C18+C20+C21</f>
        <v>#DIV/0!</v>
      </c>
      <c r="D22" s="148" t="s">
        <v>449</v>
      </c>
      <c r="H22" s="150" t="s">
        <v>457</v>
      </c>
      <c r="I22" s="153" t="e">
        <f>I21*I6/Ae_mod</f>
        <v>#N/A</v>
      </c>
      <c r="J22" s="146" t="s">
        <v>456</v>
      </c>
      <c r="K22" s="157"/>
    </row>
    <row r="23" spans="1:11">
      <c r="H23" s="154" t="s">
        <v>472</v>
      </c>
    </row>
    <row r="24" spans="1:11">
      <c r="A24" s="152" t="s">
        <v>416</v>
      </c>
      <c r="H24" s="150" t="s">
        <v>462</v>
      </c>
      <c r="I24" s="153" t="e">
        <f>VLOOKUP(Eingriffstiefe,tbl_Eingriffstiefe_GE,MATCH(H23,array_Eingriffstiefe_GE,0),FALSE)*VLOOKUP(IW_Konstruktion_mod,tbl_Konstruktionstyp_mod_GE,2,FALSE)</f>
        <v>#N/A</v>
      </c>
      <c r="J24" s="146" t="s">
        <v>456</v>
      </c>
      <c r="K24" s="157"/>
    </row>
    <row r="25" spans="1:11" ht="15.75">
      <c r="A25" s="150" t="s">
        <v>471</v>
      </c>
      <c r="B25" s="146" t="s">
        <v>470</v>
      </c>
      <c r="C25" s="153">
        <f>IF(NF_ST=0,0,(H*NF_ST)*((GF_ST/NF_ST)^(0.5)+1.6)^2+4*((GF_ST/NF_ST)^(0.5)+1.6)*(((2/3)*(H*NF_ST)^2)/2)+4*(1/3)*(4/9)*(H*NF_ST)^3)</f>
        <v>0</v>
      </c>
      <c r="D25" s="143" t="s">
        <v>469</v>
      </c>
      <c r="H25" s="150" t="s">
        <v>457</v>
      </c>
      <c r="I25" s="153" t="e">
        <f>I24*I6/Ae_mod</f>
        <v>#N/A</v>
      </c>
      <c r="J25" s="146" t="s">
        <v>456</v>
      </c>
      <c r="K25" s="157"/>
    </row>
    <row r="26" spans="1:11" ht="15.75">
      <c r="A26" s="150" t="s">
        <v>468</v>
      </c>
      <c r="B26" s="146" t="s">
        <v>467</v>
      </c>
      <c r="C26" s="576" t="e">
        <f>(C25*Referenzblatt!E9)/Ae</f>
        <v>#DIV/0!</v>
      </c>
      <c r="D26" s="148" t="s">
        <v>444</v>
      </c>
      <c r="H26" s="154" t="s">
        <v>466</v>
      </c>
    </row>
    <row r="27" spans="1:11">
      <c r="H27" s="150" t="s">
        <v>462</v>
      </c>
      <c r="I27" s="153" t="e">
        <f>VLOOKUP(Eingriffstiefe,tbl_Eingriffstiefe_GE,MATCH(H26,array_Eingriffstiefe_GE,0),FALSE)*Referenzblatt!AB31</f>
        <v>#N/A</v>
      </c>
      <c r="J27" s="146" t="s">
        <v>456</v>
      </c>
      <c r="K27" s="157"/>
    </row>
    <row r="28" spans="1:11">
      <c r="A28" s="152" t="s">
        <v>417</v>
      </c>
      <c r="E28" s="151"/>
      <c r="H28" s="150" t="s">
        <v>457</v>
      </c>
      <c r="I28" s="153" t="e">
        <f>I27*I6/Ae_mod</f>
        <v>#N/A</v>
      </c>
      <c r="J28" s="146" t="s">
        <v>456</v>
      </c>
      <c r="K28" s="157"/>
    </row>
    <row r="29" spans="1:11">
      <c r="A29" s="150" t="s">
        <v>465</v>
      </c>
      <c r="C29" s="576">
        <f>Referenzblatt!B28</f>
        <v>18.399146785784421</v>
      </c>
      <c r="D29" s="148" t="s">
        <v>449</v>
      </c>
      <c r="H29" s="154" t="s">
        <v>464</v>
      </c>
    </row>
    <row r="30" spans="1:11">
      <c r="A30" s="150" t="s">
        <v>450</v>
      </c>
      <c r="C30" s="576" t="e">
        <f>VLOOKUP(Minergie,tbl_Minergie_GE,IF(Erdsonde="Ja",2,3),FALSE)</f>
        <v>#N/A</v>
      </c>
      <c r="D30" s="148" t="s">
        <v>449</v>
      </c>
      <c r="H30" s="150" t="s">
        <v>462</v>
      </c>
      <c r="I30" s="153" t="e">
        <f>VLOOKUP(Eingriffstiefe,tbl_Eingriffstiefe_GE,MATCH(H29,array_Eingriffstiefe_GE,0),FALSE)*Referenzblatt!AB36</f>
        <v>#N/A</v>
      </c>
      <c r="J30" s="146" t="s">
        <v>456</v>
      </c>
      <c r="K30" s="157"/>
    </row>
    <row r="31" spans="1:11">
      <c r="A31" s="150" t="s">
        <v>448</v>
      </c>
      <c r="C31" s="576">
        <f>VLOOKUP(A31,tbl_Haustechnik_GE,2,FALSE)</f>
        <v>132.85714285714286</v>
      </c>
      <c r="D31" s="148" t="s">
        <v>446</v>
      </c>
      <c r="H31" s="150" t="s">
        <v>457</v>
      </c>
      <c r="I31" s="153" t="e">
        <f>I30*I6/Ae_mod</f>
        <v>#N/A</v>
      </c>
      <c r="J31" s="146" t="s">
        <v>456</v>
      </c>
      <c r="K31" s="157"/>
    </row>
    <row r="32" spans="1:11">
      <c r="A32" s="150" t="s">
        <v>447</v>
      </c>
      <c r="C32" s="576">
        <f>VLOOKUP(A32,tbl_Haustechnik_GE,2,FALSE)</f>
        <v>178</v>
      </c>
      <c r="D32" s="148" t="s">
        <v>446</v>
      </c>
      <c r="H32" s="154" t="s">
        <v>458</v>
      </c>
    </row>
    <row r="33" spans="1:12">
      <c r="A33" s="150" t="s">
        <v>463</v>
      </c>
      <c r="C33" s="149" t="e">
        <f>(Ae*(SUM(C29:C30))+C31*PV_Fläche+SK_Fläche*C32)/Ae</f>
        <v>#N/A</v>
      </c>
      <c r="D33" s="148" t="s">
        <v>444</v>
      </c>
      <c r="H33" s="150" t="s">
        <v>462</v>
      </c>
      <c r="I33" s="153" t="e">
        <f>SUM(I30,I27,I24,I21,I15,I11,I8)</f>
        <v>#N/A</v>
      </c>
      <c r="J33" s="146" t="s">
        <v>456</v>
      </c>
      <c r="K33" s="157"/>
    </row>
    <row r="34" spans="1:12">
      <c r="H34" s="150" t="s">
        <v>457</v>
      </c>
      <c r="I34" s="153" t="e">
        <f>SUM(I31,I28,I25,I22,I16,I12,I9)</f>
        <v>#N/A</v>
      </c>
      <c r="J34" s="146" t="s">
        <v>456</v>
      </c>
      <c r="K34" s="157"/>
    </row>
    <row r="35" spans="1:12"/>
    <row r="36" spans="1:12">
      <c r="H36" s="152" t="s">
        <v>461</v>
      </c>
    </row>
    <row r="37" spans="1:12">
      <c r="H37" s="154" t="s">
        <v>460</v>
      </c>
    </row>
    <row r="38" spans="1:12">
      <c r="C38" s="156"/>
      <c r="H38" s="150" t="s">
        <v>457</v>
      </c>
      <c r="I38" s="153" t="e">
        <f>VLOOKUP(Eingriffstiefe,tbl_Eingriffstiefe_GE,MATCH(H37,array_Eingriffstiefe_GE,0),FALSE)*Referenzblatt!AB39*(Ae_mod-AFU_mod)/Ae_mod</f>
        <v>#N/A</v>
      </c>
      <c r="J38" s="146" t="s">
        <v>456</v>
      </c>
      <c r="L38" s="151"/>
    </row>
    <row r="39" spans="1:12">
      <c r="H39" s="154" t="s">
        <v>459</v>
      </c>
    </row>
    <row r="40" spans="1:12" ht="25.5">
      <c r="A40" s="155"/>
      <c r="H40" s="150" t="s">
        <v>457</v>
      </c>
      <c r="I40" s="153" t="e">
        <f>VLOOKUP(Eingriffstiefe,tbl_Eingriffstiefe_GE,MATCH(H39,array_Eingriffstiefe_GE,0),FALSE)*Referenzblatt!AB43*(Ae_mod-AFU_mod)/Ae_mod</f>
        <v>#N/A</v>
      </c>
      <c r="J40" s="146" t="s">
        <v>456</v>
      </c>
      <c r="L40" s="151"/>
    </row>
    <row r="41" spans="1:12">
      <c r="H41" s="154" t="s">
        <v>458</v>
      </c>
    </row>
    <row r="42" spans="1:12">
      <c r="H42" s="150" t="s">
        <v>457</v>
      </c>
      <c r="I42" s="153" t="e">
        <f>SUM(I40,I38)</f>
        <v>#N/A</v>
      </c>
      <c r="J42" s="146" t="s">
        <v>456</v>
      </c>
    </row>
    <row r="43" spans="1:12"/>
    <row r="44" spans="1:12">
      <c r="H44" s="152" t="s">
        <v>417</v>
      </c>
    </row>
    <row r="45" spans="1:12"/>
    <row r="46" spans="1:12">
      <c r="H46" s="150" t="s">
        <v>455</v>
      </c>
      <c r="I46" s="149">
        <f>IF(Lüftung="Ja",VLOOKUP(H46,tbl_Haustechnik_GE_mod,2,FALSE)/Referenzblatt!$B$37,0)</f>
        <v>0</v>
      </c>
      <c r="J46" s="148" t="s">
        <v>449</v>
      </c>
      <c r="L46" s="151"/>
    </row>
    <row r="47" spans="1:12">
      <c r="H47" s="150" t="s">
        <v>454</v>
      </c>
      <c r="I47" s="149">
        <f>IF(Erdregister ="Ja",VLOOKUP(H47,tbl_Haustechnik_GE_mod,2,FALSE)/Referenzblatt!$B$37,0)</f>
        <v>0</v>
      </c>
      <c r="J47" s="148" t="s">
        <v>449</v>
      </c>
      <c r="L47" s="151"/>
    </row>
    <row r="48" spans="1:12">
      <c r="H48" s="150" t="s">
        <v>453</v>
      </c>
      <c r="I48" s="149">
        <f>IF(Abluftanlagen ="Ja",VLOOKUP(H48,tbl_Haustechnik_GE_mod,2,FALSE)/Referenzblatt!$B$37,0)</f>
        <v>0</v>
      </c>
      <c r="J48" s="148" t="s">
        <v>449</v>
      </c>
      <c r="L48" s="151"/>
    </row>
    <row r="49" spans="8:12">
      <c r="H49" s="150" t="s">
        <v>422</v>
      </c>
      <c r="I49" s="149">
        <f>IF(Sanitär="Ja",VLOOKUP(H49,tbl_Haustechnik_GE_mod,2,FALSE)/Referenzblatt!$B$37,0)</f>
        <v>0</v>
      </c>
      <c r="J49" s="148" t="s">
        <v>449</v>
      </c>
      <c r="L49" s="151"/>
    </row>
    <row r="50" spans="8:12">
      <c r="H50" s="150" t="s">
        <v>421</v>
      </c>
      <c r="I50" s="149">
        <f>IF(Elektro="Ja",VLOOKUP(H50,tbl_Haustechnik_GE_mod,2,FALSE)/Referenzblatt!$B$37,0)</f>
        <v>0</v>
      </c>
      <c r="J50" s="148" t="s">
        <v>449</v>
      </c>
    </row>
    <row r="51" spans="8:12">
      <c r="H51" s="150" t="s">
        <v>452</v>
      </c>
      <c r="I51" s="149">
        <f>IF(Wärmeerzeugung="Ja",IF(Objektdaten_Modernisierung!E8="MINERGIE",Referenzblatt!O43,Referenzblatt!P43),0)</f>
        <v>0</v>
      </c>
      <c r="J51" s="148" t="s">
        <v>449</v>
      </c>
    </row>
    <row r="52" spans="8:12">
      <c r="H52" s="150" t="s">
        <v>451</v>
      </c>
      <c r="I52" s="149">
        <f>IF(Wärmeverteilung="Ja",IF(Objektdaten_Modernisierung!E8="MINERGIE",Referenzblatt!O44,Referenzblatt!P44),0)</f>
        <v>0</v>
      </c>
      <c r="J52" s="148" t="s">
        <v>449</v>
      </c>
    </row>
    <row r="53" spans="8:12">
      <c r="H53" s="150" t="s">
        <v>450</v>
      </c>
      <c r="I53" s="149">
        <f>IF(Erdsonde_mod="Ja",IF(Objektdaten_Modernisierung!E8="MINERGIE",Referenzblatt!O45,Referenzblatt!P45),0)</f>
        <v>0</v>
      </c>
      <c r="J53" s="148" t="s">
        <v>449</v>
      </c>
    </row>
    <row r="54" spans="8:12">
      <c r="H54" s="150" t="s">
        <v>448</v>
      </c>
      <c r="I54" s="149">
        <f>VLOOKUP(A31,tbl_Haustechnik_GE,2,FALSE)</f>
        <v>132.85714285714286</v>
      </c>
      <c r="J54" s="148" t="s">
        <v>446</v>
      </c>
    </row>
    <row r="55" spans="8:12">
      <c r="H55" s="150" t="s">
        <v>447</v>
      </c>
      <c r="I55" s="149">
        <f>VLOOKUP(A32,tbl_Haustechnik_GE,2,FALSE)</f>
        <v>178</v>
      </c>
      <c r="J55" s="148" t="s">
        <v>446</v>
      </c>
    </row>
    <row r="56" spans="8:12">
      <c r="H56" s="150" t="s">
        <v>445</v>
      </c>
      <c r="I56" s="149" t="e">
        <f>(Ae_mod*(SUM(I46:I53))+I54*PV_Fläche_mod+SK_Fläche_mod*I55)/Ae_mod</f>
        <v>#DIV/0!</v>
      </c>
      <c r="J56" s="148" t="s">
        <v>444</v>
      </c>
    </row>
    <row r="57" spans="8:12" hidden="1"/>
    <row r="58" spans="8:12" hidden="1"/>
    <row r="59" spans="8:12" hidden="1"/>
    <row r="60" spans="8:12" hidden="1"/>
    <row r="61" spans="8:12" hidden="1"/>
    <row r="62" spans="8:12" hidden="1"/>
    <row r="63" spans="8:12" hidden="1"/>
    <row r="64" spans="8:12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dataValidations count="1">
    <dataValidation allowBlank="1" showInputMessage="1" showErrorMessage="1" promptTitle="Nutzung" sqref="I6 C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157</vt:i4>
      </vt:variant>
    </vt:vector>
  </HeadingPairs>
  <TitlesOfParts>
    <vt:vector size="173" baseType="lpstr">
      <vt:lpstr>Dokumentation</vt:lpstr>
      <vt:lpstr>Objektdaten_Neubau</vt:lpstr>
      <vt:lpstr>Objektdaten_Modernisierung</vt:lpstr>
      <vt:lpstr>Bauteile_Neubau</vt:lpstr>
      <vt:lpstr>Bauteile_Modernisierung</vt:lpstr>
      <vt:lpstr>Konstruktionen</vt:lpstr>
      <vt:lpstr>Eingriffe_Modernisierung</vt:lpstr>
      <vt:lpstr>Graphiken Bauteile</vt:lpstr>
      <vt:lpstr>Rechnungsblatt GE</vt:lpstr>
      <vt:lpstr>Rechnungsblatt THGE</vt:lpstr>
      <vt:lpstr>Rechnungsblatt UBP</vt:lpstr>
      <vt:lpstr>Referenzblatt</vt:lpstr>
      <vt:lpstr>Berechnung Grenzwerte</vt:lpstr>
      <vt:lpstr>KBOBBaumaterialien</vt:lpstr>
      <vt:lpstr>KBOBTransporte</vt:lpstr>
      <vt:lpstr>KBOBGebäudetechnik</vt:lpstr>
      <vt:lpstr>Abluftanlagen</vt:lpstr>
      <vt:lpstr>Ae</vt:lpstr>
      <vt:lpstr>Ae_mod</vt:lpstr>
      <vt:lpstr>AFU</vt:lpstr>
      <vt:lpstr>AFU_mod</vt:lpstr>
      <vt:lpstr>array_Deckenstärke_GE</vt:lpstr>
      <vt:lpstr>array_Deckenstärke_THGE</vt:lpstr>
      <vt:lpstr>array_Deckenstärke_UBP</vt:lpstr>
      <vt:lpstr>array_Eingriffstiefe_GE</vt:lpstr>
      <vt:lpstr>array_Eingriffstiefe_THGE</vt:lpstr>
      <vt:lpstr>array_Eingriffstiefe_UBP</vt:lpstr>
      <vt:lpstr>array_Haustechnik_GE_mod</vt:lpstr>
      <vt:lpstr>array_Haustechnik_THGE_mod</vt:lpstr>
      <vt:lpstr>array_Haustechnik_UBP_mod</vt:lpstr>
      <vt:lpstr>array_MINERGIE_GE_mod</vt:lpstr>
      <vt:lpstr>array_MINERGIE_THGE_mod</vt:lpstr>
      <vt:lpstr>Auswahl_Bauteilkategorie</vt:lpstr>
      <vt:lpstr>Auswahl_Bauteilkategorie_mod</vt:lpstr>
      <vt:lpstr>Auswahl_Eingriffstiefe</vt:lpstr>
      <vt:lpstr>Auswahl_Energiestandard</vt:lpstr>
      <vt:lpstr>Auswahl_Energiestandard_mod</vt:lpstr>
      <vt:lpstr>Auswahl_Grundrisstyp</vt:lpstr>
      <vt:lpstr>Auswahl_Haustechnik</vt:lpstr>
      <vt:lpstr>Auswahl_Konstruktionstyp</vt:lpstr>
      <vt:lpstr>AW_Erdsonde</vt:lpstr>
      <vt:lpstr>AW_Minergie</vt:lpstr>
      <vt:lpstr>AW_Wandtyp_GE</vt:lpstr>
      <vt:lpstr>AW_Wandtyp_THGE</vt:lpstr>
      <vt:lpstr>AW_Wandtyp_UBP</vt:lpstr>
      <vt:lpstr>AW_Wandtyp1_GE</vt:lpstr>
      <vt:lpstr>AW_Wandtyp1_THGE</vt:lpstr>
      <vt:lpstr>AW_Wandtyp1_UBP</vt:lpstr>
      <vt:lpstr>Bauteile_Modernisierung!Druckbereich</vt:lpstr>
      <vt:lpstr>Bauteile_Neubau!Druckbereich</vt:lpstr>
      <vt:lpstr>KBOBBaumaterialien!Druckbereich</vt:lpstr>
      <vt:lpstr>KBOBGebäudetechnik!Druckbereich</vt:lpstr>
      <vt:lpstr>KBOBTransporte!Druckbereich</vt:lpstr>
      <vt:lpstr>Objektdaten_Modernisierung!Druckbereich</vt:lpstr>
      <vt:lpstr>KBOBBaumaterialien!Drucktitel</vt:lpstr>
      <vt:lpstr>KBOBGebäudetechnik!Drucktitel</vt:lpstr>
      <vt:lpstr>KBOBTransporte!Drucktitel</vt:lpstr>
      <vt:lpstr>EBF</vt:lpstr>
      <vt:lpstr>EBF_mod</vt:lpstr>
      <vt:lpstr>Eingriffstiefe</vt:lpstr>
      <vt:lpstr>Elektro</vt:lpstr>
      <vt:lpstr>Erdregister</vt:lpstr>
      <vt:lpstr>Erdsonde</vt:lpstr>
      <vt:lpstr>Erdsonde_mod</vt:lpstr>
      <vt:lpstr>Gf</vt:lpstr>
      <vt:lpstr>Gf_mod</vt:lpstr>
      <vt:lpstr>GF_ST</vt:lpstr>
      <vt:lpstr>H</vt:lpstr>
      <vt:lpstr>H_mod</vt:lpstr>
      <vt:lpstr>IW_BT</vt:lpstr>
      <vt:lpstr>IW_Konstruktion</vt:lpstr>
      <vt:lpstr>IW_Konstruktion_mod</vt:lpstr>
      <vt:lpstr>K_Fläche_Tür</vt:lpstr>
      <vt:lpstr>K_Länge_Sturz</vt:lpstr>
      <vt:lpstr>K_Rahmenbreite</vt:lpstr>
      <vt:lpstr>K_Rahmenhöhe</vt:lpstr>
      <vt:lpstr>K_Rahmentiefe</vt:lpstr>
      <vt:lpstr>K_Tiefe_Sturz</vt:lpstr>
      <vt:lpstr>K_Türumfang1</vt:lpstr>
      <vt:lpstr>K_Türumfang2</vt:lpstr>
      <vt:lpstr>KBOB</vt:lpstr>
      <vt:lpstr>KBOB_Baustoffe_2012</vt:lpstr>
      <vt:lpstr>KBOB_Gebäudetechnik_2012</vt:lpstr>
      <vt:lpstr>KBOB_Transporte</vt:lpstr>
      <vt:lpstr>keine_BE_mod</vt:lpstr>
      <vt:lpstr>keine_Bu_mod</vt:lpstr>
      <vt:lpstr>keine_D_mod</vt:lpstr>
      <vt:lpstr>keine_Fe_mod</vt:lpstr>
      <vt:lpstr>keine_Wu_mod</vt:lpstr>
      <vt:lpstr>keine_Wü_mod</vt:lpstr>
      <vt:lpstr>Konstruktionen</vt:lpstr>
      <vt:lpstr>Konstruktionen_2</vt:lpstr>
      <vt:lpstr>Konstruktionen_2_mod</vt:lpstr>
      <vt:lpstr>Konstruktionen_mod</vt:lpstr>
      <vt:lpstr>Lüftung</vt:lpstr>
      <vt:lpstr>Minergie</vt:lpstr>
      <vt:lpstr>MINERGIE_BE</vt:lpstr>
      <vt:lpstr>MINERGIE_BE_mod</vt:lpstr>
      <vt:lpstr>MINERGIE_Bu</vt:lpstr>
      <vt:lpstr>MINERGIE_Bu_mod</vt:lpstr>
      <vt:lpstr>MINERGIE_D</vt:lpstr>
      <vt:lpstr>MINERGIE_D_mod</vt:lpstr>
      <vt:lpstr>MINERGIE_Fe</vt:lpstr>
      <vt:lpstr>MINERGIE_Fe_mod</vt:lpstr>
      <vt:lpstr>MINERGIE_P_BE</vt:lpstr>
      <vt:lpstr>MINERGIE_P_BE_mod</vt:lpstr>
      <vt:lpstr>MINERGIE_P_Bu</vt:lpstr>
      <vt:lpstr>MINERGIE_P_Bu_mod</vt:lpstr>
      <vt:lpstr>MINERGIE_P_D</vt:lpstr>
      <vt:lpstr>MINERGIE_P_D_mod</vt:lpstr>
      <vt:lpstr>MINERGIE_P_Fe</vt:lpstr>
      <vt:lpstr>MINERGIE_P_Fe_mod</vt:lpstr>
      <vt:lpstr>MINERGIE_P_Wu</vt:lpstr>
      <vt:lpstr>MINERGIE_P_Wü</vt:lpstr>
      <vt:lpstr>MINERGIE_P_Wu_mod</vt:lpstr>
      <vt:lpstr>MINERGIE_P_Wü_mod</vt:lpstr>
      <vt:lpstr>MINERGIE_Wu</vt:lpstr>
      <vt:lpstr>MINERGIE_Wü</vt:lpstr>
      <vt:lpstr>MINERGIE_Wu_mod</vt:lpstr>
      <vt:lpstr>MINERGIE_Wü_mod</vt:lpstr>
      <vt:lpstr>MuKen_BE</vt:lpstr>
      <vt:lpstr>MuKen_BE_mod</vt:lpstr>
      <vt:lpstr>MuKen_Bu</vt:lpstr>
      <vt:lpstr>MuKen_D</vt:lpstr>
      <vt:lpstr>MuKen_D_mod</vt:lpstr>
      <vt:lpstr>MuKen_Fe</vt:lpstr>
      <vt:lpstr>MuKen_Fe_mod</vt:lpstr>
      <vt:lpstr>MuKen_Nu_mod</vt:lpstr>
      <vt:lpstr>MuKen_Wu</vt:lpstr>
      <vt:lpstr>MuKen_Wü</vt:lpstr>
      <vt:lpstr>MuKen_Wu_mod</vt:lpstr>
      <vt:lpstr>MuKen_Wü_mod</vt:lpstr>
      <vt:lpstr>NF_ST</vt:lpstr>
      <vt:lpstr>NF_UB</vt:lpstr>
      <vt:lpstr>PV_Fläche</vt:lpstr>
      <vt:lpstr>PV_Fläche_mod</vt:lpstr>
      <vt:lpstr>Sanitär</vt:lpstr>
      <vt:lpstr>SK_Fläche</vt:lpstr>
      <vt:lpstr>SK_Fläche_mod</vt:lpstr>
      <vt:lpstr>tbl_Deckenstärke_GE</vt:lpstr>
      <vt:lpstr>tbl_Deckenstärke_THGE</vt:lpstr>
      <vt:lpstr>tbl_Deckenstärke_UBP</vt:lpstr>
      <vt:lpstr>tbl_Eingriffstiefe_GE</vt:lpstr>
      <vt:lpstr>tbl_Eingriffstiefe_THGE</vt:lpstr>
      <vt:lpstr>tbl_Eingriffstiefe_UBP</vt:lpstr>
      <vt:lpstr>tbl_Grundrisstyp_GE</vt:lpstr>
      <vt:lpstr>tbl_Grundrisstyp_THGE</vt:lpstr>
      <vt:lpstr>tbl_Grundrisstyp_UBP</vt:lpstr>
      <vt:lpstr>tbl_Haustechnik_GE</vt:lpstr>
      <vt:lpstr>tbl_Haustechnik_GE_mod</vt:lpstr>
      <vt:lpstr>tbl_Haustechnik_THGE</vt:lpstr>
      <vt:lpstr>tbl_Haustechnik_THGE_mod</vt:lpstr>
      <vt:lpstr>tbl_Haustechnik_UBP</vt:lpstr>
      <vt:lpstr>tbl_Haustechnik_UBP_mod</vt:lpstr>
      <vt:lpstr>tbl_Konstanten_GE</vt:lpstr>
      <vt:lpstr>tbl_Konstanten_THGE</vt:lpstr>
      <vt:lpstr>tbl_Konstanten_UBP</vt:lpstr>
      <vt:lpstr>tbl_Konstruktionstyp_GE</vt:lpstr>
      <vt:lpstr>tbl_Konstruktionstyp_mod_GE</vt:lpstr>
      <vt:lpstr>tbl_Konstruktionstyp_mod_THGE</vt:lpstr>
      <vt:lpstr>tbl_Konstruktionstyp_mod_UBP</vt:lpstr>
      <vt:lpstr>tbl_Konstruktionstyp_THGE</vt:lpstr>
      <vt:lpstr>tbl_Konstruktionstyp_UBP</vt:lpstr>
      <vt:lpstr>tbl_Minergie_GE</vt:lpstr>
      <vt:lpstr>tbl_Minergie_GE_mod</vt:lpstr>
      <vt:lpstr>tbl_Minergie_THGE</vt:lpstr>
      <vt:lpstr>tbl_Minergie_UBP</vt:lpstr>
      <vt:lpstr>UBF</vt:lpstr>
      <vt:lpstr>Wärmeerzeugung</vt:lpstr>
      <vt:lpstr>Wärmeverteilung</vt:lpstr>
      <vt:lpstr>ZD_BT</vt:lpstr>
      <vt:lpstr>ZD_Konstruktion</vt:lpstr>
      <vt:lpstr>ZD_Konstruktion_mod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Aurelia Kollros</dc:creator>
  <cp:lastModifiedBy>Magdalena Portmann</cp:lastModifiedBy>
  <cp:lastPrinted>2014-03-20T08:32:51Z</cp:lastPrinted>
  <dcterms:created xsi:type="dcterms:W3CDTF">2013-01-15T08:05:16Z</dcterms:created>
  <dcterms:modified xsi:type="dcterms:W3CDTF">2016-12-28T13:38:44Z</dcterms:modified>
</cp:coreProperties>
</file>