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Questa_cartella_di_lavoro"/>
  <mc:AlternateContent xmlns:mc="http://schemas.openxmlformats.org/markup-compatibility/2006">
    <mc:Choice Requires="x15">
      <x15ac:absPath xmlns:x15ac="http://schemas.microsoft.com/office/spreadsheetml/2010/11/ac" url="S:\Nova_PROJEKTE\1506_Minergie_Agentur\4_Grundlagen\Dokumente_AGB_Muttenz\2. Produkte\2.3 ME-A\2016\"/>
    </mc:Choice>
  </mc:AlternateContent>
  <bookViews>
    <workbookView xWindow="0" yWindow="228" windowWidth="7440" windowHeight="6600" tabRatio="764"/>
  </bookViews>
  <sheets>
    <sheet name="Domanda" sheetId="2" r:id="rId1"/>
    <sheet name="Dati" sheetId="3" r:id="rId2"/>
    <sheet name="Estate" sheetId="105" r:id="rId3"/>
    <sheet name="Aerazione" sheetId="33252" r:id="rId4"/>
    <sheet name="Produzione" sheetId="2960" r:id="rId5"/>
    <sheet name="Verifica" sheetId="1027" r:id="rId6"/>
    <sheet name="Rechnung" sheetId="1" state="hidden" r:id="rId7"/>
    <sheet name="Standardwerte" sheetId="83" state="hidden" r:id="rId8"/>
    <sheet name="Input" sheetId="70" state="hidden" r:id="rId9"/>
    <sheet name="Schnittstelle380" sheetId="114" state="hidden" r:id="rId10"/>
    <sheet name="Prüflog" sheetId="46" state="hidden" r:id="rId11"/>
  </sheets>
  <definedNames>
    <definedName name="_EBF1">Standardwerte!$K$5</definedName>
    <definedName name="_EBF2">Standardwerte!$M$5</definedName>
    <definedName name="_EBF3">Standardwerte!$O$5</definedName>
    <definedName name="_EBF4">Standardwerte!$Q$5</definedName>
    <definedName name="_gew1">Verifica!$D$25</definedName>
    <definedName name="_gew2">Verifica!$D$26</definedName>
    <definedName name="_gew3">Verifica!$D$27</definedName>
    <definedName name="_gew4">Verifica!$D$28</definedName>
    <definedName name="_gew5">Verifica!$D$29</definedName>
    <definedName name="_LER1">Standardwerte!$BU$35</definedName>
    <definedName name="_LER2">Standardwerte!$BU$36</definedName>
    <definedName name="_LER3">Standardwerte!$BU$37</definedName>
    <definedName name="_LER4">Standardwerte!$BU$38</definedName>
    <definedName name="_nL1">Standardwerte!$N$23</definedName>
    <definedName name="_nL2">Standardwerte!$R$23</definedName>
    <definedName name="_nL3">Standardwerte!$N$27</definedName>
    <definedName name="_nL4">Standardwerte!$R$27</definedName>
    <definedName name="_nL50">Standardwerte!$BT$59</definedName>
    <definedName name="_Qe1">Dati!$E$61</definedName>
    <definedName name="_Qe2">Dati!$F$61</definedName>
    <definedName name="_Qe3">Dati!$G$61</definedName>
    <definedName name="_Qe4">Dati!$H$61</definedName>
    <definedName name="_Qel1">Aerazione!$J$34</definedName>
    <definedName name="_Qel2">Aerazione!$J$75</definedName>
    <definedName name="_Qel3">Aerazione!$J$116</definedName>
    <definedName name="_Qel4">Aerazione!$J$157</definedName>
    <definedName name="_qh1">Dati!$E$42</definedName>
    <definedName name="_qh2">Dati!$F$42</definedName>
    <definedName name="_qh3">Dati!$G$42</definedName>
    <definedName name="_qh4">Dati!$H$42</definedName>
    <definedName name="_qhs1">Dati!$E$20</definedName>
    <definedName name="_qhs2">Dati!$F$20</definedName>
    <definedName name="_qhs3">Dati!$G$20</definedName>
    <definedName name="_qhs4">Dati!$H$20</definedName>
    <definedName name="_qw1">Verifica!$E$12</definedName>
    <definedName name="_qw2">Verifica!$F$12</definedName>
    <definedName name="_qw3">Verifica!$G$12</definedName>
    <definedName name="_qw4">Verifica!$H$12</definedName>
    <definedName name="_typ1">Standardwerte!$V$55</definedName>
    <definedName name="_typ2">Standardwerte!$V$56</definedName>
    <definedName name="_typ3">Standardwerte!$V$57</definedName>
    <definedName name="_typ4">Standardwerte!$V$58</definedName>
    <definedName name="_Vth1">Dati!$E$41</definedName>
    <definedName name="_Vth2">Dati!$F$41</definedName>
    <definedName name="_Vth3">Dati!$G$41</definedName>
    <definedName name="_Vth4">Dati!$H$41</definedName>
    <definedName name="_WRG1">Dati!$E$32</definedName>
    <definedName name="_WRG2">Dati!$F$32</definedName>
    <definedName name="_WRG3">Dati!$G$32</definedName>
    <definedName name="_WRG4">Dati!$H$32</definedName>
    <definedName name="_WW1">Standardwerte!$J$101</definedName>
    <definedName name="_WW2">Standardwerte!$K$101</definedName>
    <definedName name="_WW3">Standardwerte!$L$101</definedName>
    <definedName name="_WW4">Standardwerte!$M$101</definedName>
    <definedName name="abgabe1">Standardwerte!$AG$23</definedName>
    <definedName name="abgabe2">Standardwerte!$AG$24</definedName>
    <definedName name="abgabe3">Standardwerte!$AG$25</definedName>
    <definedName name="abgabe4">Standardwerte!$AG$26</definedName>
    <definedName name="AbluftWP">Dati!$J$63</definedName>
    <definedName name="ACDC1">Standardwerte!$S$67</definedName>
    <definedName name="ACDC2">Standardwerte!$S$68</definedName>
    <definedName name="ACDC3">Standardwerte!$S$69</definedName>
    <definedName name="ACDC4">Standardwerte!$S$70</definedName>
    <definedName name="ACDCeff1">Aerazione!$M$33</definedName>
    <definedName name="ACDCeff2">Aerazione!$M$110</definedName>
    <definedName name="ACDCeff3">Aerazione!$M$120</definedName>
    <definedName name="ACDCeff4">Aerazione!$M$130</definedName>
    <definedName name="AEBF">Dati!$J$16</definedName>
    <definedName name="AEBF1">Dati!$E$16</definedName>
    <definedName name="AEBF2">Dati!$F$16</definedName>
    <definedName name="AEBF3">Dati!$G$16</definedName>
    <definedName name="AEBF4">Dati!$H$16</definedName>
    <definedName name="Anetto_AEBF1">Standardwerte!$BU$55</definedName>
    <definedName name="Anetto_AEBF2">Standardwerte!$BU$56</definedName>
    <definedName name="Anetto_AEBF3">Standardwerte!$BU$57</definedName>
    <definedName name="Anetto_AEBF4">Standardwerte!$BU$58</definedName>
    <definedName name="Ausk_Lueftung1">Aerazione!$O$5:$O$11</definedName>
    <definedName name="Ausk_Lueftung2">Aerazione!$O$46:$O$52</definedName>
    <definedName name="Ausk_Lueftung3">Aerazione!$O$87:$O$93</definedName>
    <definedName name="Ausk_Lueftung4">Aerazione!$O$128:$O$134</definedName>
    <definedName name="Ausk_Motor1">Aerazione!$O$31:$O$32</definedName>
    <definedName name="Ausk_Motor2">Aerazione!$O$72:$O$73</definedName>
    <definedName name="Ausk_Motor3">Aerazione!$O$113:$O$114</definedName>
    <definedName name="Ausk_Motor4">Aerazione!$O$154:$O$155</definedName>
    <definedName name="Ausw_Druckverl1">Aerazione!$N$17:$N$23</definedName>
    <definedName name="Ausw_Lueftung">Aerazione!$N$5:$N$16</definedName>
    <definedName name="Ausw_Lueftung1">Aerazione!$N$5:$N$11</definedName>
    <definedName name="Ausw_Lueftung2">Aerazione!$N$46:$N$52</definedName>
    <definedName name="Ausw_Lueftung3">Aerazione!$N$87:$N$93</definedName>
    <definedName name="Ausw_Lueftung4">Aerazione!$N$128:$N$134</definedName>
    <definedName name="auswahl1">Standardwerte!$AZ$6</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BadMisch">Standardwerte!$S$4</definedName>
    <definedName name="beta">Standardwerte!$BS$59</definedName>
    <definedName name="beta1">Standardwerte!$BS$55</definedName>
    <definedName name="beta2">Standardwerte!$BS$56</definedName>
    <definedName name="beta3">Standardwerte!$BS$57</definedName>
    <definedName name="beta4">Standardwerte!$BS$58</definedName>
    <definedName name="BioSolar">Standardwerte!$AE$61</definedName>
    <definedName name="Bueronutzung">Standardwerte!$S$1</definedName>
    <definedName name="DeckungsgradHeizung">Produzione!$K$68</definedName>
    <definedName name="DeckungsgradWW">Produzione!$L$68</definedName>
    <definedName name="_xlnm.Print_Area" localSheetId="3">Aerazione!$A$9:$J$76,Aerazione!$A$91:$J$158</definedName>
    <definedName name="_xlnm.Print_Area" localSheetId="1">Dati!$A$1:$J$54</definedName>
    <definedName name="_xlnm.Print_Area" localSheetId="0">Domanda!$A$1:$K$32</definedName>
    <definedName name="_xlnm.Print_Area" localSheetId="2">Estate!$A$1:$M$52</definedName>
    <definedName name="_xlnm.Print_Area" localSheetId="4">Produzione!$A$2:$L$68</definedName>
    <definedName name="_xlnm.Print_Area" localSheetId="7">Standardwerte!$A$1:$Z$77</definedName>
    <definedName name="_xlnm.Print_Area" localSheetId="5">Verifica!$A$1:$J$57</definedName>
    <definedName name="_xlnm.Print_Titles" localSheetId="3">Aerazione!$2:$8</definedName>
    <definedName name="e_1">Standardwerte!$AV$27</definedName>
    <definedName name="e_2">Standardwerte!$AV$28</definedName>
    <definedName name="e_3">Standardwerte!$AV$29</definedName>
    <definedName name="e_4">Standardwerte!$AV$30</definedName>
    <definedName name="E_Qk">Dati!$J$62</definedName>
    <definedName name="E_Qk1">Dati!$E$62</definedName>
    <definedName name="E_Qk11">Dati!$E$59</definedName>
    <definedName name="E_Qk2">Dati!$F$62</definedName>
    <definedName name="E_Qk22">Dati!$F$59</definedName>
    <definedName name="E_Qk3">Dati!$G$62</definedName>
    <definedName name="E_Qk33">Dati!$G$59</definedName>
    <definedName name="E_Qk4">Dati!$H$62</definedName>
    <definedName name="E_Qk44">Dati!$H$59</definedName>
    <definedName name="EBF">Dati!$J$15</definedName>
    <definedName name="EBFo">Dati!$J$14</definedName>
    <definedName name="EBFo1">Standardwerte!$K$6</definedName>
    <definedName name="EBFo2">Standardwerte!$M$6</definedName>
    <definedName name="EBFo3">Standardwerte!$O$6</definedName>
    <definedName name="EBFo4">Standardwerte!$Q$6</definedName>
    <definedName name="EFH">Standardwerte!$BR$3</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Produzione!$I$18</definedName>
    <definedName name="EndenergieB">Produzione!$I$32</definedName>
    <definedName name="EndenergieC">Produzione!$I$46</definedName>
    <definedName name="EndenergieD">Produzione!$I$60</definedName>
    <definedName name="EndenergieE">Produzione!$I$66</definedName>
    <definedName name="F_s1">Dati!$E$21</definedName>
    <definedName name="F_s2">Dati!$F$21</definedName>
    <definedName name="F_s3">Dati!$G$21</definedName>
    <definedName name="F_s4">Dati!$H$21</definedName>
    <definedName name="Fehler_Neuzertifizierung">Standardwerte!$BH$26</definedName>
    <definedName name="FehlerLüftung1">Standardwerte!$S$39</definedName>
    <definedName name="FehlerLüftung2">Standardwerte!$S$50</definedName>
    <definedName name="FehlerLüftung3">Standardwerte!$T$59</definedName>
    <definedName name="Gebuehr">Standardwerte!$BL$6</definedName>
    <definedName name="Grau">Standardwerte!$BR$72</definedName>
    <definedName name="Grau_Grenz">Standardwerte!$BS$77</definedName>
    <definedName name="GrenzwertMINERGIE">Standardwerte!$J$78</definedName>
    <definedName name="hlicht1">Dati!$E$22</definedName>
    <definedName name="hlicht2">Dati!$F$22</definedName>
    <definedName name="hlicht3">Dati!$G$22</definedName>
    <definedName name="hlicht4">Dati!$H$22</definedName>
    <definedName name="Hoehe">Dati!$E$9</definedName>
    <definedName name="Industrienutzung">Standardwerte!$S$22</definedName>
    <definedName name="Kanton">Standardwerte!$BB$33</definedName>
    <definedName name="Kategorie1">Standardwerte!$L$24</definedName>
    <definedName name="Kategorie2">Standardwerte!$P$24</definedName>
    <definedName name="Kategorie3">Standardwerte!$L$28</definedName>
    <definedName name="Kategorie4">Standardwerte!$P$28</definedName>
    <definedName name="Klima">Standardwerte!$C$4</definedName>
    <definedName name="klima1">Standardwerte!$J$54</definedName>
    <definedName name="klima2">Standardwerte!$J$55</definedName>
    <definedName name="klima3">Standardwerte!$J$56</definedName>
    <definedName name="klima4">Standardwerte!$J$57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ueftungsWP">Produzione!$B$6</definedName>
    <definedName name="Luftheizung">Standardwerte!$BW$28</definedName>
    <definedName name="Lüftngstyp4">Dati!$H$29</definedName>
    <definedName name="Lüftung1">Standardwerte!$Q$35</definedName>
    <definedName name="Lüftung2">Standardwerte!$Q$36</definedName>
    <definedName name="Lüftung3">Standardwerte!$Q$37</definedName>
    <definedName name="Lüftung4">Standardwerte!$Q$38</definedName>
    <definedName name="Lüftungstyp1">Dati!$E$29</definedName>
    <definedName name="Lüftungstyp2">Dati!$F$29</definedName>
    <definedName name="Lüftungstyp3">Dati!$G$29</definedName>
    <definedName name="mehr1">Standardwerte!$BH$12</definedName>
    <definedName name="Mehrfachanwendung">Standardwerte!$BV$6</definedName>
    <definedName name="mineco">Standardwerte!$BF$33</definedName>
    <definedName name="MINERGIE_Wert">Verifica!$G$36</definedName>
    <definedName name="minergiea">Standardwerte!$BM$33</definedName>
    <definedName name="minergiep">Standardwerte!$BM$28</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Standardwerte!$BT$55</definedName>
    <definedName name="nL50_2">Standardwerte!$BT$56</definedName>
    <definedName name="nL50_3">Standardwerte!$BT$57</definedName>
    <definedName name="nL50_4">Standardwerte!$BT$58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Dati!$B$3</definedName>
    <definedName name="Projekt2">Dati!$B$4</definedName>
    <definedName name="Projekt3">Dati!$B$5</definedName>
    <definedName name="Qe">Dati!$J$61</definedName>
    <definedName name="Qe_vollständig">Dati!$I$61</definedName>
    <definedName name="qh">Dati!$J$42</definedName>
    <definedName name="qh_vollständig">Dati!$I$42</definedName>
    <definedName name="qhmax">Standardwerte!$BR$59</definedName>
    <definedName name="qhmax1">Standardwerte!$BR$55</definedName>
    <definedName name="qhmax2">Standardwerte!$BR$56</definedName>
    <definedName name="qhmax3">Standardwerte!$BR$57</definedName>
    <definedName name="qhmax4">Standardwerte!$BR$58</definedName>
    <definedName name="qhs">Standardwerte!$N$2</definedName>
    <definedName name="qhs_vollständig">Dati!$I$20</definedName>
    <definedName name="qw">Verifica!$J$12</definedName>
    <definedName name="Raum1">Dati!$E$28</definedName>
    <definedName name="Raum2">Dati!$F$28</definedName>
    <definedName name="Raum3">Dati!$G$28</definedName>
    <definedName name="Raum4">Dati!$H$28</definedName>
    <definedName name="Reduktion">Standardwerte!$BV$4</definedName>
    <definedName name="REFH">Standardwerte!$BV$3</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Produzione!$I$64</definedName>
    <definedName name="Thetaea">Standardwerte!$G$4</definedName>
    <definedName name="VEBFo1">Aerazione!$J$33</definedName>
    <definedName name="VEBFo2">Aerazione!$J$74</definedName>
    <definedName name="VEBFo3">Aerazione!$J$115</definedName>
    <definedName name="VEBFo4">Aerazione!$J$156</definedName>
    <definedName name="Verkaufsnutzung">Standardwerte!$S$3</definedName>
    <definedName name="vo">Standardwerte!$P$51</definedName>
    <definedName name="VSup1">Aerazione!$Y$12</definedName>
    <definedName name="VSup2">Aerazione!$Y$53</definedName>
    <definedName name="VSup3">Aerazione!$Y$94</definedName>
    <definedName name="VSup4">Aerazione!$Y$135</definedName>
    <definedName name="Vth">Dati!$J$41</definedName>
    <definedName name="vx">Standardwerte!$P$50</definedName>
    <definedName name="WaermebedarfA">Produzione!$I$17</definedName>
    <definedName name="WaermebedarfB">Produzione!$I$31</definedName>
    <definedName name="WaermebedarfC">Produzione!$I$45</definedName>
    <definedName name="WaermebedarfD">Produzione!$I$59</definedName>
    <definedName name="WaermebedarfE">Produzione!$I$65</definedName>
    <definedName name="Waermepumpe">Dati!$J$55</definedName>
    <definedName name="Waermeschutz">Estate!$R$52</definedName>
    <definedName name="Warmwasser">Standardwerte!$N$103</definedName>
    <definedName name="WirkungsgradA">Produzione!$I$11</definedName>
    <definedName name="WirkungsgradB">Produzione!$I$25</definedName>
    <definedName name="WirkungsgradC">Produzione!$I$39</definedName>
    <definedName name="WirkungsgradD">Produzione!$I$53</definedName>
    <definedName name="Wochen">Dati!$H$23</definedName>
    <definedName name="wohnnutzung">Standardwerte!$BT$3</definedName>
    <definedName name="WRG">Dati!$J$32</definedName>
    <definedName name="WRG0">Dati!$J$54</definedName>
    <definedName name="WRGtEff1">Aerazione!$M$30</definedName>
    <definedName name="WRGtEff2">Aerazione!$M$107</definedName>
    <definedName name="WRGtEff3">Aerazione!$M$117</definedName>
    <definedName name="WRGtEff4">Aerazione!$M$127</definedName>
    <definedName name="WRGtyp1">Standardwerte!$T$55</definedName>
    <definedName name="WRGtyp2">Standardwerte!$T$56</definedName>
    <definedName name="WRGtyp3">Standardwerte!$T$57</definedName>
    <definedName name="WRGtyp4">Standardwerte!$T$58</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n">Dati!$J$7</definedName>
    <definedName name="Zonen_vollständig">Standardwerte!$N$3</definedName>
  </definedNames>
  <calcPr calcId="152511"/>
</workbook>
</file>

<file path=xl/calcChain.xml><?xml version="1.0" encoding="utf-8"?>
<calcChain xmlns="http://schemas.openxmlformats.org/spreadsheetml/2006/main">
  <c r="F147" i="33252" l="1"/>
  <c r="B147" i="33252"/>
  <c r="F106" i="33252"/>
  <c r="B106" i="33252"/>
  <c r="F65" i="33252"/>
  <c r="B65" i="33252"/>
  <c r="F24" i="33252"/>
  <c r="B24" i="33252"/>
  <c r="J32" i="2"/>
  <c r="C82" i="70"/>
  <c r="BH33" i="83" s="1"/>
  <c r="Q29" i="105"/>
  <c r="P29" i="105"/>
  <c r="O29" i="105"/>
  <c r="N29" i="105"/>
  <c r="Q28" i="105"/>
  <c r="P28" i="105"/>
  <c r="O28" i="105"/>
  <c r="N28" i="105"/>
  <c r="Q27" i="105"/>
  <c r="P27" i="105"/>
  <c r="O27" i="105"/>
  <c r="N27" i="105"/>
  <c r="Q23" i="105"/>
  <c r="P23" i="105"/>
  <c r="O23" i="105"/>
  <c r="N23" i="105"/>
  <c r="Q22" i="105"/>
  <c r="P22" i="105"/>
  <c r="O22" i="105"/>
  <c r="N22" i="105"/>
  <c r="Q21" i="105"/>
  <c r="P21" i="105"/>
  <c r="O21" i="105"/>
  <c r="N21" i="105"/>
  <c r="Q20" i="105"/>
  <c r="P20" i="105"/>
  <c r="O20" i="105"/>
  <c r="N20" i="105"/>
  <c r="Q18" i="105"/>
  <c r="P18" i="105"/>
  <c r="O18" i="105"/>
  <c r="N18" i="105"/>
  <c r="J11" i="33252"/>
  <c r="X13" i="33252"/>
  <c r="X16" i="33252"/>
  <c r="H22" i="33252"/>
  <c r="X22" i="33252"/>
  <c r="B23" i="33252"/>
  <c r="H24" i="33252"/>
  <c r="C28" i="33252"/>
  <c r="M28" i="33252"/>
  <c r="X26" i="33252"/>
  <c r="X28" i="33252"/>
  <c r="X30" i="33252"/>
  <c r="M31" i="33252"/>
  <c r="X27" i="33252"/>
  <c r="B32" i="33252"/>
  <c r="X32" i="33252"/>
  <c r="BN37" i="33252"/>
  <c r="BW37" i="33252"/>
  <c r="CF37" i="33252"/>
  <c r="CO37" i="33252"/>
  <c r="CX37" i="33252"/>
  <c r="DG37" i="33252"/>
  <c r="BN38" i="33252"/>
  <c r="BW38" i="33252"/>
  <c r="CF38" i="33252"/>
  <c r="CO38" i="33252"/>
  <c r="CX38" i="33252"/>
  <c r="DG38" i="33252"/>
  <c r="BN39" i="33252"/>
  <c r="BW39" i="33252"/>
  <c r="CF39" i="33252"/>
  <c r="CO39" i="33252"/>
  <c r="CX39" i="33252"/>
  <c r="DG39" i="33252"/>
  <c r="BN41" i="33252"/>
  <c r="BW41" i="33252"/>
  <c r="CF41" i="33252"/>
  <c r="CO41" i="33252"/>
  <c r="CX41" i="33252"/>
  <c r="DG41" i="33252"/>
  <c r="BN42" i="33252"/>
  <c r="BW42" i="33252"/>
  <c r="CF42" i="33252"/>
  <c r="CO42" i="33252"/>
  <c r="CX42" i="33252"/>
  <c r="DG42" i="33252"/>
  <c r="BN43" i="33252"/>
  <c r="BW43" i="33252"/>
  <c r="CF43" i="33252"/>
  <c r="CO43" i="33252"/>
  <c r="CX43" i="33252"/>
  <c r="DG43" i="33252"/>
  <c r="J52" i="33252"/>
  <c r="BK52" i="33252"/>
  <c r="X54" i="33252"/>
  <c r="X57" i="33252"/>
  <c r="H63" i="33252"/>
  <c r="X63" i="33252"/>
  <c r="B64" i="33252"/>
  <c r="H65" i="33252"/>
  <c r="C69" i="33252"/>
  <c r="M69" i="33252"/>
  <c r="X69" i="33252"/>
  <c r="X71" i="33252"/>
  <c r="M72" i="33252"/>
  <c r="X68" i="33252"/>
  <c r="B73" i="33252"/>
  <c r="X73" i="33252"/>
  <c r="BH76" i="33252"/>
  <c r="BH91" i="33252"/>
  <c r="BH92" i="33252"/>
  <c r="J93" i="33252"/>
  <c r="X95" i="33252"/>
  <c r="X98" i="33252"/>
  <c r="BH99" i="33252"/>
  <c r="BH100" i="33252"/>
  <c r="BH101" i="33252"/>
  <c r="BH102" i="33252"/>
  <c r="BH103" i="33252"/>
  <c r="H104" i="33252"/>
  <c r="X104" i="33252"/>
  <c r="BH104" i="33252"/>
  <c r="B105" i="33252"/>
  <c r="H106" i="33252"/>
  <c r="C110" i="33252"/>
  <c r="M110" i="33252"/>
  <c r="X108" i="33252" s="1"/>
  <c r="X110" i="33252"/>
  <c r="BH110" i="33252"/>
  <c r="BH111" i="33252"/>
  <c r="X112" i="33252"/>
  <c r="BH112" i="33252"/>
  <c r="M113" i="33252"/>
  <c r="X109" i="33252" s="1"/>
  <c r="BH113" i="33252"/>
  <c r="B114" i="33252"/>
  <c r="X114" i="33252"/>
  <c r="BH114" i="33252"/>
  <c r="BH115" i="33252"/>
  <c r="J134" i="33252"/>
  <c r="X136" i="33252"/>
  <c r="X139" i="33252"/>
  <c r="H145" i="33252"/>
  <c r="X145" i="33252"/>
  <c r="B146" i="33252"/>
  <c r="H147" i="33252"/>
  <c r="C151" i="33252"/>
  <c r="M151" i="33252"/>
  <c r="X149" i="33252" s="1"/>
  <c r="X151" i="33252"/>
  <c r="X153" i="33252"/>
  <c r="M154" i="33252"/>
  <c r="X150" i="33252" s="1"/>
  <c r="B155" i="33252"/>
  <c r="X155" i="33252"/>
  <c r="D16" i="3"/>
  <c r="B20" i="3"/>
  <c r="C20" i="3"/>
  <c r="E35" i="3"/>
  <c r="F35" i="3"/>
  <c r="G35" i="3"/>
  <c r="H35" i="3"/>
  <c r="J36" i="3"/>
  <c r="J37" i="3"/>
  <c r="J38" i="3"/>
  <c r="J39" i="3"/>
  <c r="E56" i="3"/>
  <c r="F56" i="3"/>
  <c r="G56" i="3"/>
  <c r="H56" i="3"/>
  <c r="E57" i="3"/>
  <c r="F57" i="3"/>
  <c r="G57" i="3"/>
  <c r="H57" i="3"/>
  <c r="E58" i="3"/>
  <c r="F58" i="3"/>
  <c r="G58" i="3"/>
  <c r="H58" i="3"/>
  <c r="B60" i="3"/>
  <c r="B17" i="2"/>
  <c r="O11" i="105"/>
  <c r="S20" i="105"/>
  <c r="T20" i="105"/>
  <c r="U20" i="105"/>
  <c r="V20" i="105"/>
  <c r="S21" i="105"/>
  <c r="T21" i="105"/>
  <c r="U21" i="105"/>
  <c r="V21" i="105"/>
  <c r="S22" i="105"/>
  <c r="T22" i="105"/>
  <c r="U22" i="105"/>
  <c r="V22" i="105"/>
  <c r="S23" i="105"/>
  <c r="T23" i="105"/>
  <c r="U23" i="105"/>
  <c r="V23" i="105"/>
  <c r="S27" i="105"/>
  <c r="T27" i="105"/>
  <c r="U27" i="105"/>
  <c r="V27" i="105"/>
  <c r="S28" i="105"/>
  <c r="T28" i="105"/>
  <c r="U28" i="105"/>
  <c r="V28" i="105"/>
  <c r="S29" i="105"/>
  <c r="T29" i="105"/>
  <c r="U29" i="105"/>
  <c r="V29" i="105"/>
  <c r="N35" i="105"/>
  <c r="O35" i="105"/>
  <c r="P35" i="105"/>
  <c r="Q35" i="105"/>
  <c r="N36" i="105"/>
  <c r="O36" i="105"/>
  <c r="P36" i="105"/>
  <c r="Q36" i="105"/>
  <c r="N37" i="105"/>
  <c r="O37" i="105"/>
  <c r="P37" i="105"/>
  <c r="Q37" i="105"/>
  <c r="N42" i="105"/>
  <c r="O42" i="105"/>
  <c r="P42" i="105"/>
  <c r="Q42" i="105"/>
  <c r="N47" i="105"/>
  <c r="O47" i="105"/>
  <c r="P47" i="105"/>
  <c r="Q47" i="105"/>
  <c r="N48" i="105"/>
  <c r="O48" i="105"/>
  <c r="P48" i="105"/>
  <c r="Q48" i="105"/>
  <c r="N49" i="105"/>
  <c r="O49" i="105"/>
  <c r="P49" i="105"/>
  <c r="Q49" i="105"/>
  <c r="N50" i="105"/>
  <c r="O50" i="105"/>
  <c r="P50" i="105"/>
  <c r="Q50" i="105"/>
  <c r="N51" i="105"/>
  <c r="O51" i="105"/>
  <c r="P51" i="105"/>
  <c r="Q51" i="105"/>
  <c r="C1" i="70"/>
  <c r="BN28" i="83" s="1"/>
  <c r="BM33" i="83" s="1"/>
  <c r="C2" i="70"/>
  <c r="C7" i="2" s="1"/>
  <c r="B3" i="3" s="1"/>
  <c r="B128" i="33252" s="1"/>
  <c r="C3" i="70"/>
  <c r="C8" i="2" s="1"/>
  <c r="B4" i="3" s="1"/>
  <c r="B88" i="33252" s="1"/>
  <c r="C4" i="70"/>
  <c r="C9" i="2" s="1"/>
  <c r="B5" i="3" s="1"/>
  <c r="B5" i="1027" s="1"/>
  <c r="C5" i="70"/>
  <c r="E9" i="2" s="1"/>
  <c r="C6" i="70"/>
  <c r="C7" i="70"/>
  <c r="C8" i="70"/>
  <c r="C9" i="70"/>
  <c r="C10" i="70"/>
  <c r="BF21" i="83" s="1"/>
  <c r="C11" i="70"/>
  <c r="C12" i="70"/>
  <c r="C13" i="70"/>
  <c r="C14" i="70"/>
  <c r="C15" i="70"/>
  <c r="BG21" i="83" s="1"/>
  <c r="C16" i="70"/>
  <c r="C17" i="70"/>
  <c r="C18" i="70"/>
  <c r="C19" i="70"/>
  <c r="C20" i="70"/>
  <c r="C21" i="70"/>
  <c r="BG12" i="83" s="1"/>
  <c r="F14" i="2" s="1"/>
  <c r="C22" i="70"/>
  <c r="BH12" i="83" s="1"/>
  <c r="C23" i="70"/>
  <c r="E21" i="2" s="1"/>
  <c r="C24" i="70"/>
  <c r="C25" i="70"/>
  <c r="BG25" i="83" s="1"/>
  <c r="C26" i="70"/>
  <c r="BG26" i="83" s="1"/>
  <c r="C27" i="70"/>
  <c r="C4" i="83" s="1"/>
  <c r="J50" i="83" s="1"/>
  <c r="C28" i="70"/>
  <c r="E9" i="3" s="1"/>
  <c r="O473" i="1" s="1"/>
  <c r="C29" i="70"/>
  <c r="C31" i="70"/>
  <c r="N24" i="83" s="1"/>
  <c r="C33" i="70"/>
  <c r="E15" i="3" s="1"/>
  <c r="E59" i="3" s="1"/>
  <c r="C34" i="70"/>
  <c r="E16" i="3" s="1"/>
  <c r="C35" i="70"/>
  <c r="R43" i="83" s="1"/>
  <c r="C36" i="70"/>
  <c r="C37" i="70"/>
  <c r="E20" i="3" s="1"/>
  <c r="E11" i="1027" s="1"/>
  <c r="C38" i="70"/>
  <c r="C39" i="70"/>
  <c r="C40" i="70"/>
  <c r="E42" i="3" s="1"/>
  <c r="E14" i="1027" s="1"/>
  <c r="C42" i="70"/>
  <c r="R24" i="83" s="1"/>
  <c r="P24" i="83" s="1"/>
  <c r="C44" i="70"/>
  <c r="F15" i="3" s="1"/>
  <c r="F59" i="3" s="1"/>
  <c r="C45" i="70"/>
  <c r="F16" i="3" s="1"/>
  <c r="C46" i="70"/>
  <c r="C47" i="70"/>
  <c r="AG24" i="83" s="1"/>
  <c r="C48" i="70"/>
  <c r="F20" i="3" s="1"/>
  <c r="F11" i="1027" s="1"/>
  <c r="C49" i="70"/>
  <c r="F21" i="3" s="1"/>
  <c r="BO72" i="83" s="1"/>
  <c r="BO73" i="83" s="1"/>
  <c r="C50" i="70"/>
  <c r="C51" i="70"/>
  <c r="F42" i="3" s="1"/>
  <c r="F14" i="1027" s="1"/>
  <c r="C53" i="70"/>
  <c r="N28" i="83" s="1"/>
  <c r="L28" i="83" s="1"/>
  <c r="W90" i="83" s="1"/>
  <c r="C55" i="70"/>
  <c r="G15" i="3" s="1"/>
  <c r="G14" i="3" s="1"/>
  <c r="C56" i="70"/>
  <c r="G16" i="3" s="1"/>
  <c r="C57" i="70"/>
  <c r="R45" i="83" s="1"/>
  <c r="Q45" i="83" s="1"/>
  <c r="C58" i="70"/>
  <c r="AG25" i="83" s="1"/>
  <c r="G18" i="3" s="1"/>
  <c r="C59" i="70"/>
  <c r="G20" i="3" s="1"/>
  <c r="G11" i="1027" s="1"/>
  <c r="C60" i="70"/>
  <c r="G21" i="3" s="1"/>
  <c r="BP72" i="83" s="1"/>
  <c r="BP73" i="83" s="1"/>
  <c r="C61" i="70"/>
  <c r="C62" i="70"/>
  <c r="G42" i="3" s="1"/>
  <c r="G14" i="1027" s="1"/>
  <c r="C64" i="70"/>
  <c r="R28" i="83" s="1"/>
  <c r="C66" i="70"/>
  <c r="H15" i="3" s="1"/>
  <c r="H59" i="3" s="1"/>
  <c r="C67" i="70"/>
  <c r="H16" i="3" s="1"/>
  <c r="C68" i="70"/>
  <c r="R46" i="83" s="1"/>
  <c r="Q46" i="83" s="1"/>
  <c r="H17" i="3" s="1"/>
  <c r="C69" i="70"/>
  <c r="AG26" i="83" s="1"/>
  <c r="H18" i="3" s="1"/>
  <c r="C70" i="70"/>
  <c r="H20" i="3" s="1"/>
  <c r="H11" i="1027" s="1"/>
  <c r="C71" i="70"/>
  <c r="H21" i="3" s="1"/>
  <c r="BQ72" i="83" s="1"/>
  <c r="BQ73" i="83" s="1"/>
  <c r="C72" i="70"/>
  <c r="C73" i="70"/>
  <c r="H42" i="3" s="1"/>
  <c r="H14" i="1027" s="1"/>
  <c r="C74" i="70"/>
  <c r="C75" i="70"/>
  <c r="C76" i="70"/>
  <c r="C77" i="70"/>
  <c r="C78" i="70"/>
  <c r="C79" i="70"/>
  <c r="C80" i="70"/>
  <c r="BH22" i="83" s="1"/>
  <c r="C81" i="70"/>
  <c r="BG33" i="83" s="1"/>
  <c r="J31" i="2" s="1"/>
  <c r="J10" i="1"/>
  <c r="K10" i="1"/>
  <c r="M10" i="1"/>
  <c r="T10" i="1"/>
  <c r="AA10" i="1"/>
  <c r="AH10" i="1"/>
  <c r="M11" i="1"/>
  <c r="T11" i="1"/>
  <c r="AA11" i="1"/>
  <c r="AH11" i="1"/>
  <c r="M14" i="1"/>
  <c r="T14" i="1"/>
  <c r="AA14" i="1"/>
  <c r="AH14" i="1"/>
  <c r="M15" i="1"/>
  <c r="T15" i="1"/>
  <c r="AA15" i="1"/>
  <c r="AH15" i="1"/>
  <c r="M16" i="1"/>
  <c r="T16" i="1"/>
  <c r="AA16" i="1"/>
  <c r="AH16" i="1"/>
  <c r="M17" i="1"/>
  <c r="T17" i="1"/>
  <c r="AA17" i="1"/>
  <c r="AH17" i="1"/>
  <c r="X20" i="1"/>
  <c r="Y20" i="1"/>
  <c r="AE20" i="1"/>
  <c r="AF20" i="1"/>
  <c r="AL20" i="1"/>
  <c r="AM20" i="1"/>
  <c r="B23" i="1"/>
  <c r="J24" i="1"/>
  <c r="B30" i="1" s="1"/>
  <c r="K24" i="1"/>
  <c r="M24" i="1"/>
  <c r="T24" i="1"/>
  <c r="AA24" i="1"/>
  <c r="AH24" i="1"/>
  <c r="F25" i="1"/>
  <c r="O25" i="1" s="1"/>
  <c r="M25" i="1"/>
  <c r="T25" i="1"/>
  <c r="V25" i="1"/>
  <c r="AA25" i="1"/>
  <c r="AH25" i="1"/>
  <c r="AJ25" i="1"/>
  <c r="M28" i="1"/>
  <c r="T28" i="1"/>
  <c r="AA28" i="1"/>
  <c r="AH28" i="1"/>
  <c r="M29" i="1"/>
  <c r="T29" i="1"/>
  <c r="AA29" i="1"/>
  <c r="AH29" i="1"/>
  <c r="C30" i="1"/>
  <c r="M30" i="1"/>
  <c r="T30" i="1"/>
  <c r="AA30" i="1"/>
  <c r="AH30" i="1"/>
  <c r="M31" i="1"/>
  <c r="T31" i="1"/>
  <c r="AA31" i="1"/>
  <c r="AH31" i="1"/>
  <c r="Q34" i="1"/>
  <c r="Q32" i="1"/>
  <c r="R34" i="1"/>
  <c r="R31" i="1"/>
  <c r="X34" i="1"/>
  <c r="X32" i="1"/>
  <c r="Y34" i="1"/>
  <c r="Y31" i="1"/>
  <c r="AE34" i="1"/>
  <c r="AE32" i="1"/>
  <c r="AF34" i="1"/>
  <c r="AF32" i="1"/>
  <c r="AL34" i="1"/>
  <c r="AM34" i="1"/>
  <c r="Q35" i="1"/>
  <c r="X35" i="1"/>
  <c r="AE35" i="1"/>
  <c r="AL35" i="1"/>
  <c r="B37" i="1"/>
  <c r="J38" i="1"/>
  <c r="B44" i="1" s="1"/>
  <c r="K38" i="1"/>
  <c r="M38" i="1"/>
  <c r="T38" i="1"/>
  <c r="AA38" i="1"/>
  <c r="AH38" i="1"/>
  <c r="F39" i="1"/>
  <c r="O39" i="1" s="1"/>
  <c r="M39" i="1"/>
  <c r="T39" i="1"/>
  <c r="V39" i="1"/>
  <c r="AA39" i="1"/>
  <c r="AH39" i="1"/>
  <c r="AJ39" i="1"/>
  <c r="M42" i="1"/>
  <c r="T42" i="1"/>
  <c r="AA42" i="1"/>
  <c r="AH42" i="1"/>
  <c r="M43" i="1"/>
  <c r="T43" i="1"/>
  <c r="AA43" i="1"/>
  <c r="AH43" i="1"/>
  <c r="M44" i="1"/>
  <c r="T44" i="1"/>
  <c r="AA44" i="1"/>
  <c r="AH44" i="1"/>
  <c r="M45" i="1"/>
  <c r="T45" i="1"/>
  <c r="AA45" i="1"/>
  <c r="AH45" i="1"/>
  <c r="Q48" i="1"/>
  <c r="R48" i="1"/>
  <c r="X48" i="1"/>
  <c r="Y48" i="1"/>
  <c r="AE48" i="1"/>
  <c r="AF48" i="1"/>
  <c r="AL48" i="1"/>
  <c r="AM48" i="1"/>
  <c r="Q49" i="1"/>
  <c r="X49" i="1"/>
  <c r="AE49" i="1"/>
  <c r="AL49" i="1"/>
  <c r="B51" i="1"/>
  <c r="J52" i="1"/>
  <c r="B58" i="1" s="1"/>
  <c r="K52" i="1"/>
  <c r="M52" i="1"/>
  <c r="T52" i="1"/>
  <c r="AA52" i="1"/>
  <c r="AH52" i="1"/>
  <c r="F53" i="1"/>
  <c r="M53" i="1"/>
  <c r="O53" i="1"/>
  <c r="T53" i="1"/>
  <c r="V53" i="1"/>
  <c r="AA53" i="1"/>
  <c r="AC53" i="1"/>
  <c r="AH53" i="1"/>
  <c r="AJ53" i="1"/>
  <c r="M56" i="1"/>
  <c r="T56" i="1"/>
  <c r="AA56" i="1"/>
  <c r="AH56" i="1"/>
  <c r="M57" i="1"/>
  <c r="T57" i="1"/>
  <c r="AA57" i="1"/>
  <c r="AH57" i="1"/>
  <c r="M58" i="1"/>
  <c r="T58" i="1"/>
  <c r="AA58" i="1"/>
  <c r="AH58" i="1"/>
  <c r="M59" i="1"/>
  <c r="T59" i="1"/>
  <c r="AA59" i="1"/>
  <c r="AH59" i="1"/>
  <c r="Q62" i="1"/>
  <c r="R62" i="1"/>
  <c r="X62" i="1"/>
  <c r="Y73" i="1" s="1"/>
  <c r="Y62" i="1"/>
  <c r="AE62" i="1"/>
  <c r="AF62" i="1"/>
  <c r="AL62" i="1"/>
  <c r="AM73" i="1" s="1"/>
  <c r="AM62" i="1"/>
  <c r="Q63" i="1"/>
  <c r="X63" i="1"/>
  <c r="AE63" i="1"/>
  <c r="AL63" i="1"/>
  <c r="B65" i="1"/>
  <c r="J66" i="1"/>
  <c r="B72" i="1"/>
  <c r="K66" i="1"/>
  <c r="M66" i="1"/>
  <c r="T66" i="1"/>
  <c r="AA66" i="1"/>
  <c r="AH66" i="1"/>
  <c r="F67" i="1"/>
  <c r="M67" i="1"/>
  <c r="O67" i="1"/>
  <c r="T67" i="1"/>
  <c r="V67" i="1"/>
  <c r="AA67" i="1"/>
  <c r="AC67" i="1"/>
  <c r="AH67" i="1"/>
  <c r="AJ67" i="1"/>
  <c r="M70" i="1"/>
  <c r="T70" i="1"/>
  <c r="AA70" i="1"/>
  <c r="AH70" i="1"/>
  <c r="M71" i="1"/>
  <c r="T71" i="1"/>
  <c r="AA71" i="1"/>
  <c r="AH71" i="1"/>
  <c r="M72" i="1"/>
  <c r="T72" i="1"/>
  <c r="AA72" i="1"/>
  <c r="AH72" i="1"/>
  <c r="M73" i="1"/>
  <c r="T73" i="1"/>
  <c r="AA73" i="1"/>
  <c r="AH73" i="1"/>
  <c r="Q76" i="1"/>
  <c r="R76" i="1"/>
  <c r="R73" i="1" s="1"/>
  <c r="X76" i="1"/>
  <c r="Y76" i="1"/>
  <c r="AE76" i="1"/>
  <c r="AF76" i="1"/>
  <c r="AL76" i="1"/>
  <c r="AM76" i="1"/>
  <c r="Q77" i="1"/>
  <c r="X77" i="1"/>
  <c r="AE77" i="1"/>
  <c r="AL77" i="1"/>
  <c r="B79" i="1"/>
  <c r="J80" i="1"/>
  <c r="B86" i="1" s="1"/>
  <c r="K80" i="1"/>
  <c r="M80" i="1"/>
  <c r="T80" i="1"/>
  <c r="AA80" i="1"/>
  <c r="AH80" i="1"/>
  <c r="F81" i="1"/>
  <c r="M81" i="1"/>
  <c r="T81" i="1"/>
  <c r="V81" i="1"/>
  <c r="AA81" i="1"/>
  <c r="AH81" i="1"/>
  <c r="M84" i="1"/>
  <c r="T84" i="1"/>
  <c r="AA84" i="1"/>
  <c r="AH84" i="1"/>
  <c r="M85" i="1"/>
  <c r="T85" i="1"/>
  <c r="AA85" i="1"/>
  <c r="AH85" i="1"/>
  <c r="M86" i="1"/>
  <c r="T86" i="1"/>
  <c r="AA86" i="1"/>
  <c r="AH86" i="1"/>
  <c r="M87" i="1"/>
  <c r="T87" i="1"/>
  <c r="AA87" i="1"/>
  <c r="AH87" i="1"/>
  <c r="Q90" i="1"/>
  <c r="R90" i="1"/>
  <c r="X90" i="1"/>
  <c r="Y90" i="1"/>
  <c r="AE90" i="1"/>
  <c r="AF90" i="1"/>
  <c r="AL90" i="1"/>
  <c r="AM90" i="1"/>
  <c r="Q91" i="1"/>
  <c r="X91" i="1"/>
  <c r="AE91" i="1"/>
  <c r="AL91" i="1"/>
  <c r="B93" i="1"/>
  <c r="J94" i="1"/>
  <c r="K94" i="1"/>
  <c r="M94" i="1"/>
  <c r="T94" i="1"/>
  <c r="AA94" i="1"/>
  <c r="AH94" i="1"/>
  <c r="F95" i="1"/>
  <c r="AJ95" i="1" s="1"/>
  <c r="M95" i="1"/>
  <c r="T95" i="1"/>
  <c r="V95" i="1"/>
  <c r="AA95" i="1"/>
  <c r="AH95" i="1"/>
  <c r="M98" i="1"/>
  <c r="T98" i="1"/>
  <c r="AA98" i="1"/>
  <c r="AH98" i="1"/>
  <c r="M99" i="1"/>
  <c r="T99" i="1"/>
  <c r="AA99" i="1"/>
  <c r="AH99" i="1"/>
  <c r="M100" i="1"/>
  <c r="T100" i="1"/>
  <c r="AA100" i="1"/>
  <c r="AH100" i="1"/>
  <c r="M101" i="1"/>
  <c r="T101" i="1"/>
  <c r="AA101" i="1"/>
  <c r="AH101" i="1"/>
  <c r="Q104" i="1"/>
  <c r="R104" i="1"/>
  <c r="X104" i="1"/>
  <c r="Y104" i="1"/>
  <c r="AE104" i="1"/>
  <c r="AF104" i="1"/>
  <c r="AL104" i="1"/>
  <c r="AM104" i="1"/>
  <c r="Q105" i="1"/>
  <c r="X105" i="1"/>
  <c r="AE105" i="1"/>
  <c r="AL105" i="1"/>
  <c r="B107" i="1"/>
  <c r="J108" i="1"/>
  <c r="B114" i="1"/>
  <c r="K108" i="1"/>
  <c r="M108" i="1"/>
  <c r="T108" i="1"/>
  <c r="AA108" i="1"/>
  <c r="AH108" i="1"/>
  <c r="F109" i="1"/>
  <c r="M109" i="1"/>
  <c r="O109" i="1"/>
  <c r="T109" i="1"/>
  <c r="V109" i="1"/>
  <c r="AA109" i="1"/>
  <c r="AC109" i="1"/>
  <c r="AH109" i="1"/>
  <c r="AJ109" i="1"/>
  <c r="M112" i="1"/>
  <c r="T112" i="1"/>
  <c r="AA112" i="1"/>
  <c r="AH112" i="1"/>
  <c r="M113" i="1"/>
  <c r="T113" i="1"/>
  <c r="AA113" i="1"/>
  <c r="AH113" i="1"/>
  <c r="M114" i="1"/>
  <c r="T114" i="1"/>
  <c r="AA114" i="1"/>
  <c r="AH114" i="1"/>
  <c r="M115" i="1"/>
  <c r="T115" i="1"/>
  <c r="AA115" i="1"/>
  <c r="AH115" i="1"/>
  <c r="Q118" i="1"/>
  <c r="R118" i="1"/>
  <c r="X118" i="1"/>
  <c r="Y118" i="1"/>
  <c r="AE118" i="1"/>
  <c r="AF118" i="1"/>
  <c r="AL118" i="1"/>
  <c r="AM118" i="1"/>
  <c r="Q119" i="1"/>
  <c r="X119" i="1"/>
  <c r="AE119" i="1"/>
  <c r="AL119" i="1"/>
  <c r="B121" i="1"/>
  <c r="J122" i="1"/>
  <c r="B128" i="1" s="1"/>
  <c r="K122" i="1"/>
  <c r="M122" i="1"/>
  <c r="T122" i="1"/>
  <c r="AA122" i="1"/>
  <c r="AH122" i="1"/>
  <c r="F123" i="1"/>
  <c r="M123" i="1"/>
  <c r="O123" i="1"/>
  <c r="T123" i="1"/>
  <c r="V123" i="1"/>
  <c r="AA123" i="1"/>
  <c r="AC123" i="1"/>
  <c r="AH123" i="1"/>
  <c r="AJ123" i="1"/>
  <c r="M126" i="1"/>
  <c r="T126" i="1"/>
  <c r="AA126" i="1"/>
  <c r="AH126" i="1"/>
  <c r="M127" i="1"/>
  <c r="Q131" i="1" s="1"/>
  <c r="T127" i="1"/>
  <c r="X131" i="1" s="1"/>
  <c r="X130" i="1" s="1"/>
  <c r="AA127" i="1"/>
  <c r="AE131" i="1" s="1"/>
  <c r="AH127" i="1"/>
  <c r="AL131" i="1"/>
  <c r="AL130" i="1" s="1"/>
  <c r="M128" i="1"/>
  <c r="T128" i="1"/>
  <c r="AA128" i="1"/>
  <c r="AH128" i="1"/>
  <c r="M129" i="1"/>
  <c r="T129" i="1"/>
  <c r="AA129" i="1"/>
  <c r="AH129" i="1"/>
  <c r="Q132" i="1"/>
  <c r="R132" i="1"/>
  <c r="X132" i="1"/>
  <c r="Y132" i="1"/>
  <c r="AE132" i="1"/>
  <c r="AF132" i="1"/>
  <c r="AL132" i="1"/>
  <c r="AM132" i="1"/>
  <c r="B135" i="1"/>
  <c r="J136" i="1"/>
  <c r="B142" i="1" s="1"/>
  <c r="K136" i="1"/>
  <c r="M136" i="1"/>
  <c r="T136" i="1"/>
  <c r="AA136" i="1"/>
  <c r="AH136" i="1"/>
  <c r="F137" i="1"/>
  <c r="O137" i="1" s="1"/>
  <c r="M137" i="1"/>
  <c r="T137" i="1"/>
  <c r="V137" i="1"/>
  <c r="AA137" i="1"/>
  <c r="AH137" i="1"/>
  <c r="AJ137" i="1"/>
  <c r="M140" i="1"/>
  <c r="T140" i="1"/>
  <c r="AA140" i="1"/>
  <c r="AH140" i="1"/>
  <c r="M141" i="1"/>
  <c r="T141" i="1"/>
  <c r="AA141" i="1"/>
  <c r="AH141" i="1"/>
  <c r="M142" i="1"/>
  <c r="T142" i="1"/>
  <c r="AA142" i="1"/>
  <c r="AH142" i="1"/>
  <c r="M143" i="1"/>
  <c r="T143" i="1"/>
  <c r="AA143" i="1"/>
  <c r="AH143" i="1"/>
  <c r="Q146" i="1"/>
  <c r="R146" i="1"/>
  <c r="X146" i="1"/>
  <c r="Y146" i="1"/>
  <c r="AE146" i="1"/>
  <c r="AF146" i="1"/>
  <c r="AL146" i="1"/>
  <c r="AM146" i="1"/>
  <c r="Q147" i="1"/>
  <c r="X147" i="1"/>
  <c r="AE147" i="1"/>
  <c r="AL147" i="1"/>
  <c r="B149" i="1"/>
  <c r="J150" i="1"/>
  <c r="K150" i="1"/>
  <c r="M150" i="1"/>
  <c r="T150" i="1"/>
  <c r="AA150" i="1"/>
  <c r="AH150" i="1"/>
  <c r="F151" i="1"/>
  <c r="O151" i="1" s="1"/>
  <c r="M151" i="1"/>
  <c r="T151" i="1"/>
  <c r="V151" i="1"/>
  <c r="AA151" i="1"/>
  <c r="AH151" i="1"/>
  <c r="AJ151" i="1"/>
  <c r="M154" i="1"/>
  <c r="T154" i="1"/>
  <c r="AA154" i="1"/>
  <c r="AH154" i="1"/>
  <c r="M155" i="1"/>
  <c r="T155" i="1"/>
  <c r="AA155" i="1"/>
  <c r="AH155" i="1"/>
  <c r="M156" i="1"/>
  <c r="T156" i="1"/>
  <c r="AA156" i="1"/>
  <c r="AH156" i="1"/>
  <c r="M157" i="1"/>
  <c r="T157" i="1"/>
  <c r="AA157" i="1"/>
  <c r="AH157" i="1"/>
  <c r="Q160" i="1"/>
  <c r="R160" i="1"/>
  <c r="X160" i="1"/>
  <c r="Y160" i="1"/>
  <c r="AE160" i="1"/>
  <c r="AF160" i="1"/>
  <c r="AL160" i="1"/>
  <c r="AM160" i="1"/>
  <c r="Q161" i="1"/>
  <c r="X161" i="1"/>
  <c r="AE161" i="1"/>
  <c r="AL161" i="1"/>
  <c r="B163" i="1"/>
  <c r="J164" i="1"/>
  <c r="B170" i="1" s="1"/>
  <c r="K164" i="1"/>
  <c r="M164" i="1"/>
  <c r="T164" i="1"/>
  <c r="AA164" i="1"/>
  <c r="AH164" i="1"/>
  <c r="F165" i="1"/>
  <c r="O165" i="1" s="1"/>
  <c r="M165" i="1"/>
  <c r="T165" i="1"/>
  <c r="V165" i="1"/>
  <c r="AA165" i="1"/>
  <c r="AH165" i="1"/>
  <c r="AJ165" i="1"/>
  <c r="M168" i="1"/>
  <c r="T168" i="1"/>
  <c r="AA168" i="1"/>
  <c r="AH168" i="1"/>
  <c r="M169" i="1"/>
  <c r="T169" i="1"/>
  <c r="AA169" i="1"/>
  <c r="AH169" i="1"/>
  <c r="M170" i="1"/>
  <c r="T170" i="1"/>
  <c r="AA170" i="1"/>
  <c r="AH170" i="1"/>
  <c r="M171" i="1"/>
  <c r="T171" i="1"/>
  <c r="AA171" i="1"/>
  <c r="AH171" i="1"/>
  <c r="Q174" i="1"/>
  <c r="R174" i="1"/>
  <c r="R172" i="1"/>
  <c r="X174" i="1"/>
  <c r="Y174" i="1"/>
  <c r="AE174" i="1"/>
  <c r="AF174" i="1"/>
  <c r="AL174" i="1"/>
  <c r="AM174" i="1"/>
  <c r="Q175" i="1"/>
  <c r="X175" i="1"/>
  <c r="AE175" i="1"/>
  <c r="AL175" i="1"/>
  <c r="B177" i="1"/>
  <c r="J178" i="1"/>
  <c r="B184" i="1" s="1"/>
  <c r="K178" i="1"/>
  <c r="M178" i="1"/>
  <c r="T178" i="1"/>
  <c r="AA178" i="1"/>
  <c r="AH178" i="1"/>
  <c r="F179" i="1"/>
  <c r="M179" i="1"/>
  <c r="T179" i="1"/>
  <c r="AA179" i="1"/>
  <c r="AH179" i="1"/>
  <c r="AJ179" i="1"/>
  <c r="M182" i="1"/>
  <c r="T182" i="1"/>
  <c r="AA182" i="1"/>
  <c r="AH182" i="1"/>
  <c r="M183" i="1"/>
  <c r="T183" i="1"/>
  <c r="AA183" i="1"/>
  <c r="AH183" i="1"/>
  <c r="M184" i="1"/>
  <c r="T184" i="1"/>
  <c r="AA184" i="1"/>
  <c r="AH184" i="1"/>
  <c r="M185" i="1"/>
  <c r="T185" i="1"/>
  <c r="AA185" i="1"/>
  <c r="AH185" i="1"/>
  <c r="Q188" i="1"/>
  <c r="R188" i="1"/>
  <c r="X188" i="1"/>
  <c r="Y188" i="1"/>
  <c r="AE188" i="1"/>
  <c r="AF188" i="1"/>
  <c r="AF185" i="1"/>
  <c r="AL188" i="1"/>
  <c r="AM188" i="1"/>
  <c r="Q189" i="1"/>
  <c r="X189" i="1"/>
  <c r="AE189" i="1"/>
  <c r="AL189" i="1"/>
  <c r="B191" i="1"/>
  <c r="J192" i="1"/>
  <c r="B198" i="1" s="1"/>
  <c r="K192" i="1"/>
  <c r="M192" i="1"/>
  <c r="T192" i="1"/>
  <c r="AA192" i="1"/>
  <c r="AH192" i="1"/>
  <c r="F193" i="1"/>
  <c r="M193" i="1"/>
  <c r="O193" i="1"/>
  <c r="T193" i="1"/>
  <c r="V193" i="1"/>
  <c r="AA193" i="1"/>
  <c r="AC193" i="1"/>
  <c r="AH193" i="1"/>
  <c r="AJ193" i="1"/>
  <c r="M196" i="1"/>
  <c r="T196" i="1"/>
  <c r="AA196" i="1"/>
  <c r="AH196" i="1"/>
  <c r="M197" i="1"/>
  <c r="T197" i="1"/>
  <c r="AA197" i="1"/>
  <c r="AH197" i="1"/>
  <c r="M198" i="1"/>
  <c r="T198" i="1"/>
  <c r="AA198" i="1"/>
  <c r="AH198" i="1"/>
  <c r="M199" i="1"/>
  <c r="T199" i="1"/>
  <c r="AA199" i="1"/>
  <c r="AH199" i="1"/>
  <c r="Q202" i="1"/>
  <c r="R202" i="1"/>
  <c r="X202" i="1"/>
  <c r="Y202" i="1"/>
  <c r="AE202" i="1"/>
  <c r="AF202" i="1"/>
  <c r="AF200" i="1"/>
  <c r="AL202" i="1"/>
  <c r="AM202" i="1"/>
  <c r="Q203" i="1"/>
  <c r="X203" i="1"/>
  <c r="AE203" i="1"/>
  <c r="AL203" i="1"/>
  <c r="B205" i="1"/>
  <c r="J206" i="1"/>
  <c r="K206" i="1"/>
  <c r="M206" i="1"/>
  <c r="T206" i="1"/>
  <c r="AA206" i="1"/>
  <c r="AH206" i="1"/>
  <c r="F207" i="1"/>
  <c r="M207" i="1"/>
  <c r="T207" i="1"/>
  <c r="AA207" i="1"/>
  <c r="AH207" i="1"/>
  <c r="M210" i="1"/>
  <c r="T210" i="1"/>
  <c r="AA210" i="1"/>
  <c r="AH210" i="1"/>
  <c r="M211" i="1"/>
  <c r="T211" i="1"/>
  <c r="AA211" i="1"/>
  <c r="AH211" i="1"/>
  <c r="M212" i="1"/>
  <c r="T212" i="1"/>
  <c r="AA212" i="1"/>
  <c r="AH212" i="1"/>
  <c r="M213" i="1"/>
  <c r="T213" i="1"/>
  <c r="AA213" i="1"/>
  <c r="AH213" i="1"/>
  <c r="Q216" i="1"/>
  <c r="R216" i="1"/>
  <c r="X216" i="1"/>
  <c r="Y216" i="1"/>
  <c r="AE216" i="1"/>
  <c r="AF216" i="1"/>
  <c r="AL216" i="1"/>
  <c r="AM216" i="1"/>
  <c r="Q217" i="1"/>
  <c r="X217" i="1"/>
  <c r="AE217" i="1"/>
  <c r="AL217" i="1"/>
  <c r="B219" i="1"/>
  <c r="J220" i="1"/>
  <c r="B226" i="1" s="1"/>
  <c r="K220" i="1"/>
  <c r="M220" i="1"/>
  <c r="T220" i="1"/>
  <c r="AA220" i="1"/>
  <c r="AH220" i="1"/>
  <c r="F221" i="1"/>
  <c r="O221" i="1" s="1"/>
  <c r="M221" i="1"/>
  <c r="T221" i="1"/>
  <c r="V221" i="1"/>
  <c r="AA221" i="1"/>
  <c r="AH221" i="1"/>
  <c r="AJ221" i="1"/>
  <c r="M224" i="1"/>
  <c r="T224" i="1"/>
  <c r="AA224" i="1"/>
  <c r="AH224" i="1"/>
  <c r="M225" i="1"/>
  <c r="T225" i="1"/>
  <c r="AA225" i="1"/>
  <c r="AH225" i="1"/>
  <c r="M226" i="1"/>
  <c r="T226" i="1"/>
  <c r="AA226" i="1"/>
  <c r="AH226" i="1"/>
  <c r="M227" i="1"/>
  <c r="T227" i="1"/>
  <c r="AA227" i="1"/>
  <c r="AH227" i="1"/>
  <c r="Q230" i="1"/>
  <c r="R230" i="1"/>
  <c r="X230" i="1"/>
  <c r="Y230" i="1"/>
  <c r="AE230" i="1"/>
  <c r="AF230" i="1"/>
  <c r="AL230" i="1"/>
  <c r="AM230" i="1"/>
  <c r="Q231" i="1"/>
  <c r="X231" i="1"/>
  <c r="AE231" i="1"/>
  <c r="AL231" i="1"/>
  <c r="B233" i="1"/>
  <c r="J234" i="1"/>
  <c r="C239" i="1"/>
  <c r="K234" i="1"/>
  <c r="M234" i="1"/>
  <c r="T234" i="1"/>
  <c r="AA234" i="1"/>
  <c r="AH234" i="1"/>
  <c r="F235" i="1"/>
  <c r="M235" i="1"/>
  <c r="T235" i="1"/>
  <c r="V235" i="1"/>
  <c r="AA235" i="1"/>
  <c r="AH235" i="1"/>
  <c r="M238" i="1"/>
  <c r="T238" i="1"/>
  <c r="AA238" i="1"/>
  <c r="AH238" i="1"/>
  <c r="M239" i="1"/>
  <c r="T239" i="1"/>
  <c r="AA239" i="1"/>
  <c r="AH239" i="1"/>
  <c r="M240" i="1"/>
  <c r="T240" i="1"/>
  <c r="AA240" i="1"/>
  <c r="AH240" i="1"/>
  <c r="M241" i="1"/>
  <c r="T241" i="1"/>
  <c r="AA241" i="1"/>
  <c r="AH241" i="1"/>
  <c r="Q244" i="1"/>
  <c r="Q242" i="1"/>
  <c r="R244" i="1"/>
  <c r="X244" i="1"/>
  <c r="Y244" i="1"/>
  <c r="AE244" i="1"/>
  <c r="AE242" i="1" s="1"/>
  <c r="AF244" i="1"/>
  <c r="AL244" i="1"/>
  <c r="AM244" i="1"/>
  <c r="B247" i="1"/>
  <c r="J248" i="1"/>
  <c r="C253" i="1" s="1"/>
  <c r="K248" i="1"/>
  <c r="M248" i="1"/>
  <c r="T248" i="1"/>
  <c r="AA248" i="1"/>
  <c r="AH248" i="1"/>
  <c r="F249" i="1"/>
  <c r="O249" i="1" s="1"/>
  <c r="M249" i="1"/>
  <c r="T249" i="1"/>
  <c r="V249" i="1"/>
  <c r="AA249" i="1"/>
  <c r="AH249" i="1"/>
  <c r="AJ249" i="1"/>
  <c r="M252" i="1"/>
  <c r="T252" i="1"/>
  <c r="AA252" i="1"/>
  <c r="AH252" i="1"/>
  <c r="M253" i="1"/>
  <c r="T253" i="1"/>
  <c r="AA253" i="1"/>
  <c r="AH253" i="1"/>
  <c r="M254" i="1"/>
  <c r="T254" i="1"/>
  <c r="AA254" i="1"/>
  <c r="AH254" i="1"/>
  <c r="M255" i="1"/>
  <c r="T255" i="1"/>
  <c r="AA255" i="1"/>
  <c r="AH255" i="1"/>
  <c r="Q258" i="1"/>
  <c r="R258" i="1"/>
  <c r="R256" i="1"/>
  <c r="X258" i="1"/>
  <c r="Y258" i="1"/>
  <c r="X259" i="1" s="1"/>
  <c r="AE258" i="1"/>
  <c r="AF258" i="1"/>
  <c r="AL258" i="1"/>
  <c r="AM258" i="1"/>
  <c r="AL259" i="1" s="1"/>
  <c r="B261" i="1"/>
  <c r="J262" i="1"/>
  <c r="C267" i="1"/>
  <c r="K262" i="1"/>
  <c r="M262" i="1"/>
  <c r="T262" i="1"/>
  <c r="AA262" i="1"/>
  <c r="AH262" i="1"/>
  <c r="F263" i="1"/>
  <c r="M263" i="1"/>
  <c r="O263" i="1"/>
  <c r="T263" i="1"/>
  <c r="V263" i="1"/>
  <c r="AA263" i="1"/>
  <c r="AC263" i="1"/>
  <c r="AH263" i="1"/>
  <c r="AJ263" i="1"/>
  <c r="M266" i="1"/>
  <c r="T266" i="1"/>
  <c r="AA266" i="1"/>
  <c r="AH266" i="1"/>
  <c r="M267" i="1"/>
  <c r="T267" i="1"/>
  <c r="AA267" i="1"/>
  <c r="AH267" i="1"/>
  <c r="C268" i="1"/>
  <c r="M268" i="1"/>
  <c r="T268" i="1"/>
  <c r="AA268" i="1"/>
  <c r="AH268" i="1"/>
  <c r="M269" i="1"/>
  <c r="T269" i="1"/>
  <c r="AA269" i="1"/>
  <c r="AH269" i="1"/>
  <c r="Q272" i="1"/>
  <c r="Q270" i="1" s="1"/>
  <c r="R272" i="1"/>
  <c r="X272" i="1"/>
  <c r="X273" i="1"/>
  <c r="Y272" i="1"/>
  <c r="AE272" i="1"/>
  <c r="AE270" i="1" s="1"/>
  <c r="AF272" i="1"/>
  <c r="AL272" i="1"/>
  <c r="AL273" i="1"/>
  <c r="AM272" i="1"/>
  <c r="B275" i="1"/>
  <c r="J276" i="1"/>
  <c r="C281" i="1" s="1"/>
  <c r="K276" i="1"/>
  <c r="M276" i="1"/>
  <c r="T276" i="1"/>
  <c r="AA276" i="1"/>
  <c r="AH276" i="1"/>
  <c r="F277" i="1"/>
  <c r="M277" i="1"/>
  <c r="O277" i="1"/>
  <c r="T277" i="1"/>
  <c r="V277" i="1"/>
  <c r="AA277" i="1"/>
  <c r="AC277" i="1"/>
  <c r="AH277" i="1"/>
  <c r="AJ277" i="1"/>
  <c r="M280" i="1"/>
  <c r="T280" i="1"/>
  <c r="AA280" i="1"/>
  <c r="AH280" i="1"/>
  <c r="M281" i="1"/>
  <c r="T281" i="1"/>
  <c r="AA281" i="1"/>
  <c r="AH281" i="1"/>
  <c r="M282" i="1"/>
  <c r="T282" i="1"/>
  <c r="AA282" i="1"/>
  <c r="AH282" i="1"/>
  <c r="M283" i="1"/>
  <c r="T283" i="1"/>
  <c r="AA283" i="1"/>
  <c r="AH283" i="1"/>
  <c r="Q286" i="1"/>
  <c r="R286" i="1"/>
  <c r="R284" i="1"/>
  <c r="X286" i="1"/>
  <c r="Y286" i="1"/>
  <c r="X287" i="1"/>
  <c r="AE286" i="1"/>
  <c r="AF286" i="1"/>
  <c r="AL286" i="1"/>
  <c r="AM286" i="1"/>
  <c r="AL287" i="1" s="1"/>
  <c r="B289" i="1"/>
  <c r="J290" i="1"/>
  <c r="B295" i="1"/>
  <c r="K290" i="1"/>
  <c r="M290" i="1"/>
  <c r="T290" i="1"/>
  <c r="AA290" i="1"/>
  <c r="AH290" i="1"/>
  <c r="F291" i="1"/>
  <c r="M291" i="1"/>
  <c r="T291" i="1"/>
  <c r="AA291" i="1"/>
  <c r="AH291" i="1"/>
  <c r="AJ291" i="1"/>
  <c r="M294" i="1"/>
  <c r="T294" i="1"/>
  <c r="AA294" i="1"/>
  <c r="AH294" i="1"/>
  <c r="M295" i="1"/>
  <c r="T295" i="1"/>
  <c r="AA295" i="1"/>
  <c r="AH295" i="1"/>
  <c r="C296" i="1"/>
  <c r="M296" i="1"/>
  <c r="T296" i="1"/>
  <c r="AA296" i="1"/>
  <c r="AH296" i="1"/>
  <c r="M297" i="1"/>
  <c r="T297" i="1"/>
  <c r="AA297" i="1"/>
  <c r="AH297" i="1"/>
  <c r="Q300" i="1"/>
  <c r="Q301" i="1" s="1"/>
  <c r="R300" i="1"/>
  <c r="R298" i="1"/>
  <c r="X300" i="1"/>
  <c r="X301" i="1"/>
  <c r="Y300" i="1"/>
  <c r="AE300" i="1"/>
  <c r="AF300" i="1"/>
  <c r="AL300" i="1"/>
  <c r="AL301" i="1" s="1"/>
  <c r="AM300" i="1"/>
  <c r="B303" i="1"/>
  <c r="J304" i="1"/>
  <c r="B309" i="1"/>
  <c r="K304" i="1"/>
  <c r="M304" i="1"/>
  <c r="T304" i="1"/>
  <c r="AA304" i="1"/>
  <c r="AH304" i="1"/>
  <c r="F305" i="1"/>
  <c r="O305" i="1" s="1"/>
  <c r="O313" i="1" s="1"/>
  <c r="M305" i="1"/>
  <c r="T305" i="1"/>
  <c r="AA305" i="1"/>
  <c r="AH305" i="1"/>
  <c r="M308" i="1"/>
  <c r="T308" i="1"/>
  <c r="AA308" i="1"/>
  <c r="AH308" i="1"/>
  <c r="C309" i="1"/>
  <c r="M309" i="1"/>
  <c r="T309" i="1"/>
  <c r="AA309" i="1"/>
  <c r="AH309" i="1"/>
  <c r="C310" i="1"/>
  <c r="M310" i="1"/>
  <c r="T310" i="1"/>
  <c r="AA310" i="1"/>
  <c r="AH310" i="1"/>
  <c r="M311" i="1"/>
  <c r="T311" i="1"/>
  <c r="AA311" i="1"/>
  <c r="AH311" i="1"/>
  <c r="Q314" i="1"/>
  <c r="Q312" i="1" s="1"/>
  <c r="R314" i="1"/>
  <c r="R312" i="1"/>
  <c r="X314" i="1"/>
  <c r="Y314" i="1"/>
  <c r="AE314" i="1"/>
  <c r="AE312" i="1" s="1"/>
  <c r="AF314" i="1"/>
  <c r="AF312" i="1" s="1"/>
  <c r="AL314" i="1"/>
  <c r="AM314" i="1"/>
  <c r="AL315" i="1"/>
  <c r="B317" i="1"/>
  <c r="J318" i="1"/>
  <c r="K318" i="1"/>
  <c r="M318" i="1"/>
  <c r="T318" i="1"/>
  <c r="AA318" i="1"/>
  <c r="AH318" i="1"/>
  <c r="F319" i="1"/>
  <c r="M319" i="1"/>
  <c r="O319" i="1"/>
  <c r="T319" i="1"/>
  <c r="V319" i="1"/>
  <c r="AA319" i="1"/>
  <c r="AC319" i="1"/>
  <c r="AH319" i="1"/>
  <c r="AJ319" i="1"/>
  <c r="M322" i="1"/>
  <c r="T322" i="1"/>
  <c r="AA322" i="1"/>
  <c r="AH322" i="1"/>
  <c r="M323" i="1"/>
  <c r="T323" i="1"/>
  <c r="AA323" i="1"/>
  <c r="AH323" i="1"/>
  <c r="M324" i="1"/>
  <c r="T324" i="1"/>
  <c r="X324" i="1"/>
  <c r="AA324" i="1"/>
  <c r="AH324" i="1"/>
  <c r="M325" i="1"/>
  <c r="T325" i="1"/>
  <c r="AA325" i="1"/>
  <c r="AH325" i="1"/>
  <c r="Q328" i="1"/>
  <c r="R328" i="1"/>
  <c r="X328" i="1"/>
  <c r="X329" i="1" s="1"/>
  <c r="Y328" i="1"/>
  <c r="AE328" i="1"/>
  <c r="AF328" i="1"/>
  <c r="AL328" i="1"/>
  <c r="AL329" i="1" s="1"/>
  <c r="AM328" i="1"/>
  <c r="B331" i="1"/>
  <c r="J332" i="1"/>
  <c r="B337" i="1" s="1"/>
  <c r="K332" i="1"/>
  <c r="M332" i="1"/>
  <c r="T332" i="1"/>
  <c r="AA332" i="1"/>
  <c r="AH332" i="1"/>
  <c r="F333" i="1"/>
  <c r="O333" i="1" s="1"/>
  <c r="M333" i="1"/>
  <c r="T333" i="1"/>
  <c r="V333" i="1"/>
  <c r="AA333" i="1"/>
  <c r="AH333" i="1"/>
  <c r="AJ333" i="1"/>
  <c r="M336" i="1"/>
  <c r="T336" i="1"/>
  <c r="AA336" i="1"/>
  <c r="AH336" i="1"/>
  <c r="M337" i="1"/>
  <c r="T337" i="1"/>
  <c r="AA337" i="1"/>
  <c r="AH337" i="1"/>
  <c r="M338" i="1"/>
  <c r="T338" i="1"/>
  <c r="AA338" i="1"/>
  <c r="AH338" i="1"/>
  <c r="M339" i="1"/>
  <c r="T339" i="1"/>
  <c r="AA339" i="1"/>
  <c r="AH339" i="1"/>
  <c r="Q342" i="1"/>
  <c r="R342" i="1"/>
  <c r="X342" i="1"/>
  <c r="Y342" i="1"/>
  <c r="X343" i="1"/>
  <c r="AE342" i="1"/>
  <c r="AF342" i="1"/>
  <c r="AF340" i="1" s="1"/>
  <c r="AL342" i="1"/>
  <c r="AM342" i="1"/>
  <c r="AL343" i="1" s="1"/>
  <c r="B345" i="1"/>
  <c r="J346" i="1"/>
  <c r="K346" i="1"/>
  <c r="AF353" i="1" s="1"/>
  <c r="M346" i="1"/>
  <c r="T346" i="1"/>
  <c r="AA346" i="1"/>
  <c r="AH346" i="1"/>
  <c r="F347" i="1"/>
  <c r="M347" i="1"/>
  <c r="O347" i="1"/>
  <c r="T347" i="1"/>
  <c r="V347" i="1"/>
  <c r="AA347" i="1"/>
  <c r="AC347" i="1"/>
  <c r="AH347" i="1"/>
  <c r="AJ347" i="1"/>
  <c r="M350" i="1"/>
  <c r="T350" i="1"/>
  <c r="AA350" i="1"/>
  <c r="AH350" i="1"/>
  <c r="M351" i="1"/>
  <c r="T351" i="1"/>
  <c r="AA351" i="1"/>
  <c r="AH351" i="1"/>
  <c r="M352" i="1"/>
  <c r="T352" i="1"/>
  <c r="X352" i="1"/>
  <c r="AA352" i="1"/>
  <c r="AH352" i="1"/>
  <c r="M353" i="1"/>
  <c r="T353" i="1"/>
  <c r="AA353" i="1"/>
  <c r="AH353" i="1"/>
  <c r="Q356" i="1"/>
  <c r="Q354" i="1"/>
  <c r="R356" i="1"/>
  <c r="X356" i="1"/>
  <c r="Y356" i="1"/>
  <c r="AE356" i="1"/>
  <c r="AE357" i="1" s="1"/>
  <c r="AF356" i="1"/>
  <c r="AL356" i="1"/>
  <c r="AM356" i="1"/>
  <c r="B359" i="1"/>
  <c r="J360" i="1"/>
  <c r="B365" i="1"/>
  <c r="K360" i="1"/>
  <c r="M360" i="1"/>
  <c r="T360" i="1"/>
  <c r="AA360" i="1"/>
  <c r="AH360" i="1"/>
  <c r="F361" i="1"/>
  <c r="M361" i="1"/>
  <c r="O361" i="1"/>
  <c r="T361" i="1"/>
  <c r="V361" i="1"/>
  <c r="AA361" i="1"/>
  <c r="AC361" i="1"/>
  <c r="AH361" i="1"/>
  <c r="AJ361" i="1"/>
  <c r="M364" i="1"/>
  <c r="T364" i="1"/>
  <c r="AA364" i="1"/>
  <c r="AH364" i="1"/>
  <c r="M365" i="1"/>
  <c r="T365" i="1"/>
  <c r="AA365" i="1"/>
  <c r="AH365" i="1"/>
  <c r="C366" i="1"/>
  <c r="M366" i="1"/>
  <c r="T366" i="1"/>
  <c r="AA366" i="1"/>
  <c r="AH366" i="1"/>
  <c r="M367" i="1"/>
  <c r="T367" i="1"/>
  <c r="AA367" i="1"/>
  <c r="AH367" i="1"/>
  <c r="Q370" i="1"/>
  <c r="R370" i="1"/>
  <c r="R368" i="1" s="1"/>
  <c r="X370" i="1"/>
  <c r="Y370" i="1"/>
  <c r="AE370" i="1"/>
  <c r="AF370" i="1"/>
  <c r="AE371" i="1"/>
  <c r="AL370" i="1"/>
  <c r="AM370" i="1"/>
  <c r="B373" i="1"/>
  <c r="J374" i="1"/>
  <c r="B379" i="1" s="1"/>
  <c r="K374" i="1"/>
  <c r="M374" i="1"/>
  <c r="T374" i="1"/>
  <c r="AA374" i="1"/>
  <c r="AH374" i="1"/>
  <c r="F375" i="1"/>
  <c r="M375" i="1"/>
  <c r="T375" i="1"/>
  <c r="V375" i="1"/>
  <c r="AA375" i="1"/>
  <c r="AH375" i="1"/>
  <c r="AJ375" i="1"/>
  <c r="M378" i="1"/>
  <c r="T378" i="1"/>
  <c r="AA378" i="1"/>
  <c r="AH378" i="1"/>
  <c r="M379" i="1"/>
  <c r="T379" i="1"/>
  <c r="AA379" i="1"/>
  <c r="AH379" i="1"/>
  <c r="M380" i="1"/>
  <c r="T380" i="1"/>
  <c r="AA380" i="1"/>
  <c r="AH380" i="1"/>
  <c r="M381" i="1"/>
  <c r="T381" i="1"/>
  <c r="AA381" i="1"/>
  <c r="AH381" i="1"/>
  <c r="Q384" i="1"/>
  <c r="R384" i="1"/>
  <c r="X384" i="1"/>
  <c r="Y384" i="1"/>
  <c r="X385" i="1" s="1"/>
  <c r="AE384" i="1"/>
  <c r="AF384" i="1"/>
  <c r="AF382" i="1" s="1"/>
  <c r="AL384" i="1"/>
  <c r="AM384" i="1"/>
  <c r="AL385" i="1"/>
  <c r="B387" i="1"/>
  <c r="J388" i="1"/>
  <c r="K388" i="1"/>
  <c r="M388" i="1"/>
  <c r="T388" i="1"/>
  <c r="AA388" i="1"/>
  <c r="AH388" i="1"/>
  <c r="F389" i="1"/>
  <c r="M389" i="1"/>
  <c r="O389" i="1"/>
  <c r="T389" i="1"/>
  <c r="V389" i="1"/>
  <c r="AA389" i="1"/>
  <c r="AC389" i="1"/>
  <c r="AH389" i="1"/>
  <c r="AJ389" i="1"/>
  <c r="M392" i="1"/>
  <c r="T392" i="1"/>
  <c r="AA392" i="1"/>
  <c r="AH392" i="1"/>
  <c r="M393" i="1"/>
  <c r="T393" i="1"/>
  <c r="AA393" i="1"/>
  <c r="AH393" i="1"/>
  <c r="M394" i="1"/>
  <c r="T394" i="1"/>
  <c r="AA394" i="1"/>
  <c r="AH394" i="1"/>
  <c r="M395" i="1"/>
  <c r="T395" i="1"/>
  <c r="AA395" i="1"/>
  <c r="AH395" i="1"/>
  <c r="Q398" i="1"/>
  <c r="R398" i="1"/>
  <c r="X398" i="1"/>
  <c r="Y398" i="1"/>
  <c r="X399" i="1" s="1"/>
  <c r="AE398" i="1"/>
  <c r="AF398" i="1"/>
  <c r="AL398" i="1"/>
  <c r="AM398" i="1"/>
  <c r="Q399" i="1"/>
  <c r="B401" i="1"/>
  <c r="J402" i="1"/>
  <c r="B407" i="1"/>
  <c r="K402" i="1"/>
  <c r="R410" i="1" s="1"/>
  <c r="M402" i="1"/>
  <c r="T402" i="1"/>
  <c r="AA402" i="1"/>
  <c r="AH402" i="1"/>
  <c r="F403" i="1"/>
  <c r="AJ403" i="1" s="1"/>
  <c r="M403" i="1"/>
  <c r="T403" i="1"/>
  <c r="V403" i="1"/>
  <c r="AA403" i="1"/>
  <c r="AH403" i="1"/>
  <c r="M406" i="1"/>
  <c r="T406" i="1"/>
  <c r="AA406" i="1"/>
  <c r="AH406" i="1"/>
  <c r="C407" i="1"/>
  <c r="M407" i="1"/>
  <c r="T407" i="1"/>
  <c r="AA407" i="1"/>
  <c r="AH407" i="1"/>
  <c r="C408" i="1"/>
  <c r="M408" i="1"/>
  <c r="T408" i="1"/>
  <c r="AA408" i="1"/>
  <c r="AH408" i="1"/>
  <c r="M409" i="1"/>
  <c r="T409" i="1"/>
  <c r="AA409" i="1"/>
  <c r="AH409" i="1"/>
  <c r="Q412" i="1"/>
  <c r="Q410" i="1"/>
  <c r="R412" i="1"/>
  <c r="X412" i="1"/>
  <c r="Y412" i="1"/>
  <c r="Y409" i="1" s="1"/>
  <c r="AE412" i="1"/>
  <c r="AE410" i="1" s="1"/>
  <c r="AF412" i="1"/>
  <c r="AL412" i="1"/>
  <c r="AM412" i="1"/>
  <c r="B415" i="1"/>
  <c r="J416" i="1"/>
  <c r="B421" i="1"/>
  <c r="K416" i="1"/>
  <c r="AM424" i="1" s="1"/>
  <c r="M416" i="1"/>
  <c r="T416" i="1"/>
  <c r="AA416" i="1"/>
  <c r="AH416" i="1"/>
  <c r="F417" i="1"/>
  <c r="M417" i="1"/>
  <c r="O417" i="1"/>
  <c r="T417" i="1"/>
  <c r="V417" i="1"/>
  <c r="AA417" i="1"/>
  <c r="AC417" i="1"/>
  <c r="AH417" i="1"/>
  <c r="AJ417" i="1"/>
  <c r="M420" i="1"/>
  <c r="T420" i="1"/>
  <c r="AA420" i="1"/>
  <c r="AH420" i="1"/>
  <c r="M421" i="1"/>
  <c r="T421" i="1"/>
  <c r="AA421" i="1"/>
  <c r="AH421" i="1"/>
  <c r="C422" i="1"/>
  <c r="M422" i="1"/>
  <c r="T422" i="1"/>
  <c r="AA422" i="1"/>
  <c r="AH422" i="1"/>
  <c r="M423" i="1"/>
  <c r="T423" i="1"/>
  <c r="AA423" i="1"/>
  <c r="AH423" i="1"/>
  <c r="Q426" i="1"/>
  <c r="R426" i="1"/>
  <c r="R424" i="1" s="1"/>
  <c r="X426" i="1"/>
  <c r="Y426" i="1"/>
  <c r="AE426" i="1"/>
  <c r="AF426" i="1"/>
  <c r="AE427" i="1"/>
  <c r="AL426" i="1"/>
  <c r="AL424" i="1" s="1"/>
  <c r="AM426" i="1"/>
  <c r="AL427" i="1"/>
  <c r="B429" i="1"/>
  <c r="J430" i="1"/>
  <c r="C436" i="1"/>
  <c r="K430" i="1"/>
  <c r="AF437" i="1" s="1"/>
  <c r="M430" i="1"/>
  <c r="T430" i="1"/>
  <c r="AA430" i="1"/>
  <c r="AH430" i="1"/>
  <c r="M431" i="1"/>
  <c r="O431" i="1"/>
  <c r="T431" i="1"/>
  <c r="V431" i="1"/>
  <c r="AA431" i="1"/>
  <c r="AC431" i="1"/>
  <c r="AH431" i="1"/>
  <c r="AJ431" i="1"/>
  <c r="M434" i="1"/>
  <c r="T434" i="1"/>
  <c r="AA434" i="1"/>
  <c r="AH434" i="1"/>
  <c r="M435" i="1"/>
  <c r="O435" i="1" s="1"/>
  <c r="T435" i="1"/>
  <c r="V435" i="1" s="1"/>
  <c r="AA435" i="1"/>
  <c r="AC435" i="1" s="1"/>
  <c r="AH435" i="1"/>
  <c r="AJ435" i="1" s="1"/>
  <c r="M436" i="1"/>
  <c r="T436" i="1"/>
  <c r="AA436" i="1"/>
  <c r="AH436" i="1"/>
  <c r="M437" i="1"/>
  <c r="T437" i="1"/>
  <c r="AA437" i="1"/>
  <c r="AH437" i="1"/>
  <c r="Q440" i="1"/>
  <c r="R440" i="1"/>
  <c r="X440" i="1"/>
  <c r="Y440" i="1"/>
  <c r="AE440" i="1"/>
  <c r="AF440" i="1"/>
  <c r="AL440" i="1"/>
  <c r="AM440" i="1"/>
  <c r="B443" i="1"/>
  <c r="J444" i="1"/>
  <c r="C450" i="1" s="1"/>
  <c r="K444" i="1"/>
  <c r="R451" i="1" s="1"/>
  <c r="M444" i="1"/>
  <c r="T444" i="1"/>
  <c r="AA444" i="1"/>
  <c r="AH444" i="1"/>
  <c r="M445" i="1"/>
  <c r="O445" i="1"/>
  <c r="T445" i="1"/>
  <c r="V445" i="1"/>
  <c r="AA445" i="1"/>
  <c r="AC445" i="1"/>
  <c r="AH445" i="1"/>
  <c r="AJ445" i="1"/>
  <c r="M448" i="1"/>
  <c r="Q449" i="1" s="1"/>
  <c r="T448" i="1"/>
  <c r="AA448" i="1"/>
  <c r="AH448" i="1"/>
  <c r="M449" i="1"/>
  <c r="T449" i="1"/>
  <c r="AA449" i="1"/>
  <c r="AH449" i="1"/>
  <c r="M450" i="1"/>
  <c r="T450" i="1"/>
  <c r="AA450" i="1"/>
  <c r="AH450" i="1"/>
  <c r="M451" i="1"/>
  <c r="T451" i="1"/>
  <c r="AA451" i="1"/>
  <c r="AH451" i="1"/>
  <c r="Q454" i="1"/>
  <c r="R454" i="1"/>
  <c r="X454" i="1"/>
  <c r="Y454" i="1"/>
  <c r="Y451" i="1" s="1"/>
  <c r="AE454" i="1"/>
  <c r="AF454" i="1"/>
  <c r="AL454" i="1"/>
  <c r="AM454" i="1"/>
  <c r="B457" i="1"/>
  <c r="J458" i="1"/>
  <c r="C464" i="1" s="1"/>
  <c r="K458" i="1"/>
  <c r="M458" i="1"/>
  <c r="T458" i="1"/>
  <c r="AA458" i="1"/>
  <c r="AH458" i="1"/>
  <c r="M459" i="1"/>
  <c r="O459" i="1"/>
  <c r="T459" i="1"/>
  <c r="V459" i="1"/>
  <c r="AA459" i="1"/>
  <c r="AC459" i="1"/>
  <c r="AH459" i="1"/>
  <c r="AJ459" i="1"/>
  <c r="M462" i="1"/>
  <c r="R466" i="1" s="1"/>
  <c r="T462" i="1"/>
  <c r="Y466" i="1" s="1"/>
  <c r="AA462" i="1"/>
  <c r="AF466" i="1"/>
  <c r="AH462" i="1"/>
  <c r="AL463" i="1" s="1"/>
  <c r="AJ463" i="1" s="1"/>
  <c r="M463" i="1"/>
  <c r="T463" i="1"/>
  <c r="AA463" i="1"/>
  <c r="AH463" i="1"/>
  <c r="M464" i="1"/>
  <c r="T464" i="1"/>
  <c r="AA464" i="1"/>
  <c r="AH464" i="1"/>
  <c r="M465" i="1"/>
  <c r="T465" i="1"/>
  <c r="AA465" i="1"/>
  <c r="AH465" i="1"/>
  <c r="Q468" i="1"/>
  <c r="R468" i="1"/>
  <c r="X468" i="1"/>
  <c r="Y468" i="1"/>
  <c r="AE468" i="1"/>
  <c r="AF468" i="1"/>
  <c r="AL468" i="1"/>
  <c r="AM468" i="1"/>
  <c r="B471" i="1"/>
  <c r="J472" i="1"/>
  <c r="K472" i="1"/>
  <c r="R480" i="1" s="1"/>
  <c r="M472" i="1"/>
  <c r="T472" i="1"/>
  <c r="AA472" i="1"/>
  <c r="AH472" i="1"/>
  <c r="M473" i="1"/>
  <c r="T473" i="1"/>
  <c r="AA473" i="1"/>
  <c r="AH473" i="1"/>
  <c r="M476" i="1"/>
  <c r="T476" i="1"/>
  <c r="AA476" i="1"/>
  <c r="AH476" i="1"/>
  <c r="M477" i="1"/>
  <c r="T477" i="1"/>
  <c r="AA477" i="1"/>
  <c r="AH477" i="1"/>
  <c r="M478" i="1"/>
  <c r="T478" i="1"/>
  <c r="AA478" i="1"/>
  <c r="AH478" i="1"/>
  <c r="M479" i="1"/>
  <c r="T479" i="1"/>
  <c r="AA479" i="1"/>
  <c r="AH479" i="1"/>
  <c r="Q482" i="1"/>
  <c r="R482" i="1"/>
  <c r="X482" i="1"/>
  <c r="Y482" i="1"/>
  <c r="AE482" i="1"/>
  <c r="AE480" i="1" s="1"/>
  <c r="AF482" i="1"/>
  <c r="AL482" i="1"/>
  <c r="AM482" i="1"/>
  <c r="Q483" i="1"/>
  <c r="X483" i="1"/>
  <c r="AE483" i="1"/>
  <c r="AL483" i="1"/>
  <c r="B485" i="1"/>
  <c r="J486" i="1"/>
  <c r="K486" i="1"/>
  <c r="M486" i="1"/>
  <c r="T486" i="1"/>
  <c r="AA486" i="1"/>
  <c r="AH486" i="1"/>
  <c r="M487" i="1"/>
  <c r="O487" i="1"/>
  <c r="T487" i="1"/>
  <c r="V487" i="1"/>
  <c r="AA487" i="1"/>
  <c r="AC487" i="1"/>
  <c r="AH487" i="1"/>
  <c r="AJ487" i="1"/>
  <c r="M490" i="1"/>
  <c r="T490" i="1"/>
  <c r="AA490" i="1"/>
  <c r="AH490" i="1"/>
  <c r="M491" i="1"/>
  <c r="T491" i="1"/>
  <c r="AA491" i="1"/>
  <c r="AH491" i="1"/>
  <c r="M492" i="1"/>
  <c r="T492" i="1"/>
  <c r="AA492" i="1"/>
  <c r="AH492" i="1"/>
  <c r="M493" i="1"/>
  <c r="O493" i="1" s="1"/>
  <c r="T493" i="1"/>
  <c r="AA493" i="1"/>
  <c r="AH493" i="1"/>
  <c r="Q496" i="1"/>
  <c r="R496" i="1"/>
  <c r="R494" i="1"/>
  <c r="X496" i="1"/>
  <c r="Y496" i="1"/>
  <c r="AE496" i="1"/>
  <c r="AF496" i="1"/>
  <c r="AF494" i="1" s="1"/>
  <c r="AL496" i="1"/>
  <c r="AM496" i="1"/>
  <c r="Q497" i="1"/>
  <c r="X497" i="1"/>
  <c r="AE497" i="1"/>
  <c r="AL497" i="1"/>
  <c r="B499" i="1"/>
  <c r="J500" i="1"/>
  <c r="K500" i="1"/>
  <c r="M500" i="1"/>
  <c r="T500" i="1"/>
  <c r="AA500" i="1"/>
  <c r="AH500" i="1"/>
  <c r="M501" i="1"/>
  <c r="O501" i="1"/>
  <c r="T501" i="1"/>
  <c r="V501" i="1"/>
  <c r="AA501" i="1"/>
  <c r="AC501" i="1"/>
  <c r="AH501" i="1"/>
  <c r="AJ501" i="1"/>
  <c r="M504" i="1"/>
  <c r="T504" i="1"/>
  <c r="AA504" i="1"/>
  <c r="AH504" i="1"/>
  <c r="M505" i="1"/>
  <c r="T505" i="1"/>
  <c r="AA505" i="1"/>
  <c r="AH505" i="1"/>
  <c r="M506" i="1"/>
  <c r="T506" i="1"/>
  <c r="AA506" i="1"/>
  <c r="AH506" i="1"/>
  <c r="M507" i="1"/>
  <c r="T507" i="1"/>
  <c r="AA507" i="1"/>
  <c r="AH507" i="1"/>
  <c r="Q510" i="1"/>
  <c r="R510" i="1"/>
  <c r="X510" i="1"/>
  <c r="Y510" i="1"/>
  <c r="AE510" i="1"/>
  <c r="AF510" i="1"/>
  <c r="AL510" i="1"/>
  <c r="AL508" i="1"/>
  <c r="AM510" i="1"/>
  <c r="Q511" i="1"/>
  <c r="X511" i="1"/>
  <c r="AE511" i="1"/>
  <c r="AL511" i="1"/>
  <c r="B513" i="1"/>
  <c r="J514" i="1"/>
  <c r="B520" i="1" s="1"/>
  <c r="C519" i="1"/>
  <c r="K514" i="1"/>
  <c r="M514" i="1"/>
  <c r="T514" i="1"/>
  <c r="AA514" i="1"/>
  <c r="AH514" i="1"/>
  <c r="F515" i="1"/>
  <c r="M515" i="1"/>
  <c r="O515" i="1"/>
  <c r="T515" i="1"/>
  <c r="AA515" i="1"/>
  <c r="AH515" i="1"/>
  <c r="M518" i="1"/>
  <c r="T518" i="1"/>
  <c r="AA518" i="1"/>
  <c r="AH518" i="1"/>
  <c r="M519" i="1"/>
  <c r="Q523" i="1" s="1"/>
  <c r="Q522" i="1" s="1"/>
  <c r="T519" i="1"/>
  <c r="AA519" i="1"/>
  <c r="AE523" i="1" s="1"/>
  <c r="AH519" i="1"/>
  <c r="AL523" i="1" s="1"/>
  <c r="M520" i="1"/>
  <c r="T520" i="1"/>
  <c r="AA520" i="1"/>
  <c r="AH520" i="1"/>
  <c r="M521" i="1"/>
  <c r="T521" i="1"/>
  <c r="AA521" i="1"/>
  <c r="AH521" i="1"/>
  <c r="Q524" i="1"/>
  <c r="R524" i="1"/>
  <c r="R521" i="1" s="1"/>
  <c r="X524" i="1"/>
  <c r="Y524" i="1"/>
  <c r="AE524" i="1"/>
  <c r="AF524" i="1"/>
  <c r="AL524" i="1"/>
  <c r="AM524" i="1"/>
  <c r="B527" i="1"/>
  <c r="J528" i="1"/>
  <c r="C533" i="1" s="1"/>
  <c r="K528" i="1"/>
  <c r="M528" i="1"/>
  <c r="T528" i="1"/>
  <c r="AA528" i="1"/>
  <c r="AH528" i="1"/>
  <c r="F529" i="1"/>
  <c r="M529" i="1"/>
  <c r="O529" i="1"/>
  <c r="T529" i="1"/>
  <c r="AA529" i="1"/>
  <c r="AH529" i="1"/>
  <c r="M532" i="1"/>
  <c r="T532" i="1"/>
  <c r="AA532" i="1"/>
  <c r="AH532" i="1"/>
  <c r="M533" i="1"/>
  <c r="T533" i="1"/>
  <c r="AA533" i="1"/>
  <c r="AH533" i="1"/>
  <c r="M534" i="1"/>
  <c r="T534" i="1"/>
  <c r="AA534" i="1"/>
  <c r="AH534" i="1"/>
  <c r="M535" i="1"/>
  <c r="T535" i="1"/>
  <c r="AA535" i="1"/>
  <c r="AH535" i="1"/>
  <c r="Q538" i="1"/>
  <c r="R538" i="1"/>
  <c r="X538" i="1"/>
  <c r="Y538" i="1"/>
  <c r="AE538" i="1"/>
  <c r="AF538" i="1"/>
  <c r="AL538" i="1"/>
  <c r="AM538" i="1"/>
  <c r="B541" i="1"/>
  <c r="J542" i="1"/>
  <c r="C547" i="1"/>
  <c r="K542" i="1"/>
  <c r="M542" i="1"/>
  <c r="T542" i="1"/>
  <c r="AA542" i="1"/>
  <c r="AH542" i="1"/>
  <c r="F543" i="1"/>
  <c r="M543" i="1"/>
  <c r="O543" i="1"/>
  <c r="T543" i="1"/>
  <c r="V543" i="1"/>
  <c r="AA543" i="1"/>
  <c r="AC543" i="1"/>
  <c r="AH543" i="1"/>
  <c r="AJ543" i="1"/>
  <c r="M546" i="1"/>
  <c r="T546" i="1"/>
  <c r="AA546" i="1"/>
  <c r="AH546" i="1"/>
  <c r="M547" i="1"/>
  <c r="T547" i="1"/>
  <c r="AA547" i="1"/>
  <c r="AE551" i="1" s="1"/>
  <c r="AH547" i="1"/>
  <c r="M548" i="1"/>
  <c r="T548" i="1"/>
  <c r="AA548" i="1"/>
  <c r="AH548" i="1"/>
  <c r="M549" i="1"/>
  <c r="T549" i="1"/>
  <c r="AA549" i="1"/>
  <c r="AH549" i="1"/>
  <c r="Q552" i="1"/>
  <c r="R552" i="1"/>
  <c r="X552" i="1"/>
  <c r="Y552" i="1"/>
  <c r="AE552" i="1"/>
  <c r="AF552" i="1"/>
  <c r="AL552" i="1"/>
  <c r="AM552" i="1"/>
  <c r="B555" i="1"/>
  <c r="J556" i="1"/>
  <c r="B562" i="1" s="1"/>
  <c r="K556" i="1"/>
  <c r="M556" i="1"/>
  <c r="T556" i="1"/>
  <c r="AA556" i="1"/>
  <c r="AH556" i="1"/>
  <c r="F557" i="1"/>
  <c r="M557" i="1"/>
  <c r="T557" i="1"/>
  <c r="V557" i="1"/>
  <c r="AA557" i="1"/>
  <c r="AH557" i="1"/>
  <c r="AJ557" i="1"/>
  <c r="M560" i="1"/>
  <c r="T560" i="1"/>
  <c r="AA560" i="1"/>
  <c r="AH560" i="1"/>
  <c r="M561" i="1"/>
  <c r="T561" i="1"/>
  <c r="AA561" i="1"/>
  <c r="AH561" i="1"/>
  <c r="M562" i="1"/>
  <c r="T562" i="1"/>
  <c r="AA562" i="1"/>
  <c r="AH562" i="1"/>
  <c r="M563" i="1"/>
  <c r="T563" i="1"/>
  <c r="AA563" i="1"/>
  <c r="AH563" i="1"/>
  <c r="Q566" i="1"/>
  <c r="R566" i="1"/>
  <c r="X566" i="1"/>
  <c r="Y566" i="1"/>
  <c r="AE566" i="1"/>
  <c r="AF566" i="1"/>
  <c r="AL566" i="1"/>
  <c r="AM566" i="1"/>
  <c r="B569" i="1"/>
  <c r="J570" i="1"/>
  <c r="B575" i="1"/>
  <c r="K570" i="1"/>
  <c r="M570" i="1"/>
  <c r="T570" i="1"/>
  <c r="AA570" i="1"/>
  <c r="AH570" i="1"/>
  <c r="F571" i="1"/>
  <c r="M571" i="1"/>
  <c r="T571" i="1"/>
  <c r="V571" i="1"/>
  <c r="AA571" i="1"/>
  <c r="AH571" i="1"/>
  <c r="AJ571" i="1"/>
  <c r="M574" i="1"/>
  <c r="T574" i="1"/>
  <c r="AA574" i="1"/>
  <c r="AH574" i="1"/>
  <c r="M575" i="1"/>
  <c r="T575" i="1"/>
  <c r="AA575" i="1"/>
  <c r="AH575" i="1"/>
  <c r="AL579" i="1" s="1"/>
  <c r="AL578" i="1" s="1"/>
  <c r="M576" i="1"/>
  <c r="T576" i="1"/>
  <c r="AA576" i="1"/>
  <c r="AH576" i="1"/>
  <c r="M577" i="1"/>
  <c r="T577" i="1"/>
  <c r="AA577" i="1"/>
  <c r="AH577" i="1"/>
  <c r="Q580" i="1"/>
  <c r="R580" i="1"/>
  <c r="X580" i="1"/>
  <c r="Y580" i="1"/>
  <c r="AE580" i="1"/>
  <c r="AF580" i="1"/>
  <c r="AL580" i="1"/>
  <c r="AM580" i="1"/>
  <c r="B583" i="1"/>
  <c r="J584" i="1"/>
  <c r="C589" i="1"/>
  <c r="K584" i="1"/>
  <c r="M584" i="1"/>
  <c r="T584" i="1"/>
  <c r="AA584" i="1"/>
  <c r="AH584" i="1"/>
  <c r="F585" i="1"/>
  <c r="V585" i="1" s="1"/>
  <c r="M585" i="1"/>
  <c r="T585" i="1"/>
  <c r="AA585" i="1"/>
  <c r="AH585" i="1"/>
  <c r="M588" i="1"/>
  <c r="T588" i="1"/>
  <c r="AA588" i="1"/>
  <c r="AH588" i="1"/>
  <c r="B589" i="1"/>
  <c r="M589" i="1"/>
  <c r="T589" i="1"/>
  <c r="AA589" i="1"/>
  <c r="AH589" i="1"/>
  <c r="B590" i="1"/>
  <c r="M590" i="1"/>
  <c r="T590" i="1"/>
  <c r="AA590" i="1"/>
  <c r="AH590" i="1"/>
  <c r="M591" i="1"/>
  <c r="T591" i="1"/>
  <c r="AA591" i="1"/>
  <c r="AH591" i="1"/>
  <c r="Q593" i="1"/>
  <c r="Q592" i="1" s="1"/>
  <c r="Q594" i="1"/>
  <c r="R594" i="1"/>
  <c r="X594" i="1"/>
  <c r="Y594" i="1"/>
  <c r="Y591" i="1" s="1"/>
  <c r="AE594" i="1"/>
  <c r="AF594" i="1"/>
  <c r="AL594" i="1"/>
  <c r="AM594" i="1"/>
  <c r="B597" i="1"/>
  <c r="J598" i="1"/>
  <c r="B604" i="1"/>
  <c r="K598" i="1"/>
  <c r="M598" i="1"/>
  <c r="T598" i="1"/>
  <c r="AA598" i="1"/>
  <c r="AH598" i="1"/>
  <c r="F599" i="1"/>
  <c r="M599" i="1"/>
  <c r="O599" i="1"/>
  <c r="T599" i="1"/>
  <c r="V599" i="1"/>
  <c r="AA599" i="1"/>
  <c r="AC599" i="1"/>
  <c r="AH599" i="1"/>
  <c r="AJ599" i="1"/>
  <c r="M602" i="1"/>
  <c r="T602" i="1"/>
  <c r="AA602" i="1"/>
  <c r="AH602" i="1"/>
  <c r="M603" i="1"/>
  <c r="Q607" i="1"/>
  <c r="Q606" i="1" s="1"/>
  <c r="T603" i="1"/>
  <c r="X607" i="1" s="1"/>
  <c r="X606" i="1" s="1"/>
  <c r="AA603" i="1"/>
  <c r="AE607" i="1" s="1"/>
  <c r="AH603" i="1"/>
  <c r="AL607" i="1" s="1"/>
  <c r="M604" i="1"/>
  <c r="T604" i="1"/>
  <c r="AA604" i="1"/>
  <c r="AH604" i="1"/>
  <c r="M605" i="1"/>
  <c r="T605" i="1"/>
  <c r="AA605" i="1"/>
  <c r="AH605" i="1"/>
  <c r="Q608" i="1"/>
  <c r="R608" i="1"/>
  <c r="X608" i="1"/>
  <c r="Y608" i="1"/>
  <c r="AE608" i="1"/>
  <c r="AF608" i="1"/>
  <c r="AL608" i="1"/>
  <c r="AM608" i="1"/>
  <c r="B611" i="1"/>
  <c r="J612" i="1"/>
  <c r="C617" i="1"/>
  <c r="K612" i="1"/>
  <c r="M612" i="1"/>
  <c r="T612" i="1"/>
  <c r="AA612" i="1"/>
  <c r="AH612" i="1"/>
  <c r="F613" i="1"/>
  <c r="M613" i="1"/>
  <c r="O613" i="1"/>
  <c r="T613" i="1"/>
  <c r="V613" i="1"/>
  <c r="AA613" i="1"/>
  <c r="AC613" i="1"/>
  <c r="AH613" i="1"/>
  <c r="AJ613" i="1"/>
  <c r="M616" i="1"/>
  <c r="T616" i="1"/>
  <c r="AA616" i="1"/>
  <c r="AH616" i="1"/>
  <c r="M617" i="1"/>
  <c r="T617" i="1"/>
  <c r="X621" i="1" s="1"/>
  <c r="AA617" i="1"/>
  <c r="AH617" i="1"/>
  <c r="AL621" i="1" s="1"/>
  <c r="M618" i="1"/>
  <c r="T618" i="1"/>
  <c r="AA618" i="1"/>
  <c r="AH618" i="1"/>
  <c r="M619" i="1"/>
  <c r="T619" i="1"/>
  <c r="AA619" i="1"/>
  <c r="AH619" i="1"/>
  <c r="Q622" i="1"/>
  <c r="R622" i="1"/>
  <c r="X622" i="1"/>
  <c r="Y647" i="1" s="1"/>
  <c r="Y622" i="1"/>
  <c r="AE622" i="1"/>
  <c r="AF622" i="1"/>
  <c r="AL622" i="1"/>
  <c r="AM622" i="1"/>
  <c r="B625" i="1"/>
  <c r="J626" i="1"/>
  <c r="C631" i="1" s="1"/>
  <c r="K626" i="1"/>
  <c r="M626" i="1"/>
  <c r="T626" i="1"/>
  <c r="AA626" i="1"/>
  <c r="AH626" i="1"/>
  <c r="F627" i="1"/>
  <c r="M627" i="1"/>
  <c r="T627" i="1"/>
  <c r="V627" i="1"/>
  <c r="AA627" i="1"/>
  <c r="AH627" i="1"/>
  <c r="M630" i="1"/>
  <c r="T630" i="1"/>
  <c r="AA630" i="1"/>
  <c r="AH630" i="1"/>
  <c r="M631" i="1"/>
  <c r="T631" i="1"/>
  <c r="X635" i="1"/>
  <c r="X634" i="1" s="1"/>
  <c r="AA631" i="1"/>
  <c r="AE635" i="1" s="1"/>
  <c r="AH631" i="1"/>
  <c r="B632" i="1"/>
  <c r="M632" i="1"/>
  <c r="T632" i="1"/>
  <c r="AA632" i="1"/>
  <c r="AH632" i="1"/>
  <c r="M633" i="1"/>
  <c r="T633" i="1"/>
  <c r="AA633" i="1"/>
  <c r="AH633" i="1"/>
  <c r="Q636" i="1"/>
  <c r="R636" i="1"/>
  <c r="X636" i="1"/>
  <c r="Y636" i="1"/>
  <c r="AE636" i="1"/>
  <c r="AF636" i="1"/>
  <c r="AL636" i="1"/>
  <c r="AM636" i="1"/>
  <c r="B639" i="1"/>
  <c r="J640" i="1"/>
  <c r="C645" i="1" s="1"/>
  <c r="K640" i="1"/>
  <c r="M640" i="1"/>
  <c r="T640" i="1"/>
  <c r="AA640" i="1"/>
  <c r="AH640" i="1"/>
  <c r="F641" i="1"/>
  <c r="M641" i="1"/>
  <c r="T641" i="1"/>
  <c r="V641" i="1"/>
  <c r="AA641" i="1"/>
  <c r="AH641" i="1"/>
  <c r="M644" i="1"/>
  <c r="T644" i="1"/>
  <c r="AA644" i="1"/>
  <c r="AH644" i="1"/>
  <c r="M645" i="1"/>
  <c r="Q649" i="1" s="1"/>
  <c r="Q648" i="1" s="1"/>
  <c r="T645" i="1"/>
  <c r="X649" i="1"/>
  <c r="X648" i="1" s="1"/>
  <c r="AA645" i="1"/>
  <c r="AE649" i="1" s="1"/>
  <c r="AH645" i="1"/>
  <c r="M646" i="1"/>
  <c r="T646" i="1"/>
  <c r="AA646" i="1"/>
  <c r="AH646" i="1"/>
  <c r="M647" i="1"/>
  <c r="T647" i="1"/>
  <c r="AA647" i="1"/>
  <c r="AH647" i="1"/>
  <c r="Q650" i="1"/>
  <c r="R650" i="1"/>
  <c r="X650" i="1"/>
  <c r="Y650" i="1"/>
  <c r="AE650" i="1"/>
  <c r="AF650" i="1"/>
  <c r="AL650" i="1"/>
  <c r="AM650" i="1"/>
  <c r="BC5" i="83"/>
  <c r="BJ5" i="83"/>
  <c r="T6" i="83"/>
  <c r="BC6" i="83"/>
  <c r="T7" i="83"/>
  <c r="BC7" i="83"/>
  <c r="T8" i="83"/>
  <c r="BC8" i="83"/>
  <c r="T9" i="83"/>
  <c r="BC9" i="83"/>
  <c r="T10" i="83"/>
  <c r="BC10" i="83"/>
  <c r="T11" i="83"/>
  <c r="AF11" i="83"/>
  <c r="BA11" i="83"/>
  <c r="BC11" i="83"/>
  <c r="T12" i="83"/>
  <c r="BC12" i="83"/>
  <c r="T13" i="83"/>
  <c r="BC13" i="83"/>
  <c r="T14" i="83"/>
  <c r="BC14" i="83"/>
  <c r="T15" i="83"/>
  <c r="BC15" i="83"/>
  <c r="T16" i="83"/>
  <c r="BC16" i="83"/>
  <c r="T17" i="83"/>
  <c r="BC17" i="83"/>
  <c r="T18" i="83"/>
  <c r="BC18" i="83"/>
  <c r="T19" i="83"/>
  <c r="BC19" i="83"/>
  <c r="T20" i="83"/>
  <c r="BC20" i="83"/>
  <c r="T21" i="83"/>
  <c r="BC21" i="83"/>
  <c r="T22" i="83"/>
  <c r="BC22" i="83"/>
  <c r="T23" i="83"/>
  <c r="AE23" i="83"/>
  <c r="AG23" i="83"/>
  <c r="E18" i="3" s="1"/>
  <c r="AI23" i="83"/>
  <c r="AN23" i="83"/>
  <c r="BC23" i="83"/>
  <c r="L24" i="83"/>
  <c r="T24" i="83"/>
  <c r="AI24" i="83"/>
  <c r="AN24" i="83"/>
  <c r="BC24" i="83"/>
  <c r="T25" i="83"/>
  <c r="AI25" i="83"/>
  <c r="AN25" i="83"/>
  <c r="BC25" i="83"/>
  <c r="L26" i="83"/>
  <c r="P26" i="83"/>
  <c r="T26" i="83"/>
  <c r="AN26" i="83"/>
  <c r="BC26" i="83"/>
  <c r="T27" i="83"/>
  <c r="AN27" i="83"/>
  <c r="AX27" i="83"/>
  <c r="AV27" i="83"/>
  <c r="BC27" i="83"/>
  <c r="T28" i="83"/>
  <c r="AN28" i="83"/>
  <c r="AX28" i="83"/>
  <c r="AV28" i="83" s="1"/>
  <c r="BC28" i="83"/>
  <c r="BQ28" i="83"/>
  <c r="BU35" i="83" s="1"/>
  <c r="T29" i="83"/>
  <c r="AN29" i="83"/>
  <c r="AX29" i="83"/>
  <c r="AV29" i="83" s="1"/>
  <c r="BC29" i="83"/>
  <c r="BQ29" i="83"/>
  <c r="BU36" i="83" s="1"/>
  <c r="L30" i="83"/>
  <c r="P30" i="83"/>
  <c r="T30" i="83"/>
  <c r="AX30" i="83"/>
  <c r="AV30" i="83" s="1"/>
  <c r="BC30" i="83"/>
  <c r="BQ30" i="83"/>
  <c r="BU37" i="83"/>
  <c r="T31" i="83"/>
  <c r="BC31" i="83"/>
  <c r="BQ31" i="83"/>
  <c r="BU38" i="83"/>
  <c r="T32" i="83"/>
  <c r="BC32" i="83"/>
  <c r="T33" i="83"/>
  <c r="G43" i="83"/>
  <c r="J29" i="2"/>
  <c r="T34" i="83"/>
  <c r="BZ34" i="83"/>
  <c r="CA34" i="83"/>
  <c r="CB34" i="83"/>
  <c r="CC34" i="83"/>
  <c r="O35" i="83"/>
  <c r="L25" i="83" s="1"/>
  <c r="T35" i="83"/>
  <c r="CD35" i="83"/>
  <c r="CE35" i="83"/>
  <c r="CF35" i="83"/>
  <c r="CG35" i="83"/>
  <c r="T36" i="83"/>
  <c r="CD36" i="83"/>
  <c r="CE36" i="83"/>
  <c r="CF36" i="83"/>
  <c r="CG36" i="83"/>
  <c r="T37" i="83"/>
  <c r="BD37" i="83"/>
  <c r="BE37" i="83"/>
  <c r="CD37" i="83"/>
  <c r="CE37" i="83"/>
  <c r="CF37" i="83"/>
  <c r="CG37" i="83"/>
  <c r="T38" i="83"/>
  <c r="BD38" i="83"/>
  <c r="BE38" i="83" s="1"/>
  <c r="CD38" i="83"/>
  <c r="CE38" i="83"/>
  <c r="CF38" i="83"/>
  <c r="CG38" i="83"/>
  <c r="T39" i="83"/>
  <c r="BD39" i="83"/>
  <c r="CD39" i="83"/>
  <c r="CE39" i="83"/>
  <c r="CF39" i="83"/>
  <c r="CG39" i="83"/>
  <c r="T40" i="83"/>
  <c r="BD40" i="83"/>
  <c r="T41" i="83"/>
  <c r="BD41" i="83"/>
  <c r="L42" i="83"/>
  <c r="T42" i="83"/>
  <c r="BD42" i="83"/>
  <c r="L43" i="83"/>
  <c r="Q43" i="83"/>
  <c r="S43" i="83" s="1"/>
  <c r="T43" i="83"/>
  <c r="BD43" i="83"/>
  <c r="L44" i="83"/>
  <c r="R44" i="83"/>
  <c r="Q44" i="83" s="1"/>
  <c r="T44" i="83"/>
  <c r="BD44" i="83"/>
  <c r="L45" i="83"/>
  <c r="T45" i="83"/>
  <c r="L46" i="83"/>
  <c r="T46" i="83"/>
  <c r="T47" i="83"/>
  <c r="BD47" i="83"/>
  <c r="T48" i="83"/>
  <c r="T49" i="83"/>
  <c r="T50" i="83"/>
  <c r="C51" i="83"/>
  <c r="T51" i="83"/>
  <c r="V55" i="83"/>
  <c r="AB55" i="83"/>
  <c r="V56" i="83"/>
  <c r="X56" i="83" s="1"/>
  <c r="V57" i="83"/>
  <c r="X57" i="83" s="1"/>
  <c r="AB57" i="83"/>
  <c r="V58" i="83"/>
  <c r="M60" i="83"/>
  <c r="M61" i="83"/>
  <c r="M62" i="83"/>
  <c r="M63" i="83"/>
  <c r="M72" i="83"/>
  <c r="BN72" i="83"/>
  <c r="BN73" i="83" s="1"/>
  <c r="M73" i="83"/>
  <c r="M74" i="83"/>
  <c r="M75" i="83"/>
  <c r="R85" i="83"/>
  <c r="U85" i="83"/>
  <c r="V85" i="83"/>
  <c r="W85" i="83"/>
  <c r="X85" i="83"/>
  <c r="R86" i="83"/>
  <c r="U86" i="83"/>
  <c r="V86" i="83"/>
  <c r="W86" i="83"/>
  <c r="X86" i="83"/>
  <c r="R87" i="83"/>
  <c r="U87" i="83"/>
  <c r="V87" i="83"/>
  <c r="W87" i="83"/>
  <c r="X87" i="83"/>
  <c r="R88" i="83"/>
  <c r="R89" i="83"/>
  <c r="R90" i="83"/>
  <c r="R91" i="83"/>
  <c r="R92" i="83"/>
  <c r="R93" i="83"/>
  <c r="R94" i="83"/>
  <c r="R95" i="83"/>
  <c r="S97" i="83"/>
  <c r="K114" i="83"/>
  <c r="L114" i="83"/>
  <c r="M114" i="83" s="1"/>
  <c r="K115" i="83"/>
  <c r="L115" i="83" s="1"/>
  <c r="M115" i="83" s="1"/>
  <c r="K116" i="83"/>
  <c r="L116" i="83" s="1"/>
  <c r="M116" i="83" s="1"/>
  <c r="K117" i="83"/>
  <c r="L117" i="83" s="1"/>
  <c r="M117" i="83" s="1"/>
  <c r="D126" i="83"/>
  <c r="G131" i="83" s="1"/>
  <c r="B11" i="83" s="1"/>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E15" i="1027"/>
  <c r="B25" i="1027"/>
  <c r="D26" i="1027"/>
  <c r="B27" i="1027"/>
  <c r="D27" i="1027"/>
  <c r="B29" i="1027"/>
  <c r="D29" i="1027" s="1"/>
  <c r="G29" i="1027"/>
  <c r="H29" i="1027"/>
  <c r="D50" i="2960"/>
  <c r="C51" i="2960"/>
  <c r="D52" i="2960"/>
  <c r="C52" i="2960"/>
  <c r="C53" i="2960"/>
  <c r="D54" i="2960"/>
  <c r="O55" i="2960"/>
  <c r="D56" i="2960"/>
  <c r="E57" i="2960"/>
  <c r="K58" i="2960"/>
  <c r="E28" i="1027" s="1"/>
  <c r="C59" i="2960"/>
  <c r="L59" i="2960"/>
  <c r="K61" i="2960"/>
  <c r="E50" i="2960"/>
  <c r="O52" i="2960"/>
  <c r="E54" i="2960"/>
  <c r="O54" i="2960"/>
  <c r="C56" i="2960"/>
  <c r="F57" i="2960"/>
  <c r="C58" i="2960"/>
  <c r="L58" i="2960"/>
  <c r="C60" i="2960"/>
  <c r="E60" i="2960"/>
  <c r="AB58" i="83"/>
  <c r="B28" i="1027"/>
  <c r="D28" i="1027"/>
  <c r="D37" i="83"/>
  <c r="E32" i="83"/>
  <c r="P25" i="83"/>
  <c r="P29" i="83"/>
  <c r="E16" i="83"/>
  <c r="C19" i="83"/>
  <c r="G21" i="83"/>
  <c r="E24" i="83"/>
  <c r="B27" i="83"/>
  <c r="G29" i="83"/>
  <c r="D32" i="83"/>
  <c r="G34" i="83"/>
  <c r="E37" i="83"/>
  <c r="B40" i="83"/>
  <c r="G42" i="83"/>
  <c r="D45" i="83"/>
  <c r="B96" i="83"/>
  <c r="E126" i="83"/>
  <c r="G132" i="83"/>
  <c r="B12" i="83" s="1"/>
  <c r="B15" i="83"/>
  <c r="F17" i="83"/>
  <c r="E20" i="83"/>
  <c r="C23" i="83"/>
  <c r="F25" i="83"/>
  <c r="C33" i="83"/>
  <c r="L29" i="83"/>
  <c r="X9" i="33252"/>
  <c r="P5" i="33252" s="1"/>
  <c r="J103" i="83"/>
  <c r="J98" i="83"/>
  <c r="O35" i="2960"/>
  <c r="D36" i="2960"/>
  <c r="C37" i="2960"/>
  <c r="E37" i="2960"/>
  <c r="G37" i="2960"/>
  <c r="D38" i="2960"/>
  <c r="F38" i="2960"/>
  <c r="O38" i="2960"/>
  <c r="D39" i="2960"/>
  <c r="F39" i="2960"/>
  <c r="C40" i="2960"/>
  <c r="E40" i="2960"/>
  <c r="O40" i="2960"/>
  <c r="D41" i="2960"/>
  <c r="F41" i="2960"/>
  <c r="C42" i="2960"/>
  <c r="E42" i="2960"/>
  <c r="O42" i="2960"/>
  <c r="D43" i="2960"/>
  <c r="F43" i="2960"/>
  <c r="C44" i="2960"/>
  <c r="E44" i="2960"/>
  <c r="I44" i="2960"/>
  <c r="G27" i="1027" s="1"/>
  <c r="L44" i="2960"/>
  <c r="D45" i="2960"/>
  <c r="F45" i="2960"/>
  <c r="K45" i="2960"/>
  <c r="C46" i="2960"/>
  <c r="E46" i="2960"/>
  <c r="I46" i="2960"/>
  <c r="C36" i="2960"/>
  <c r="E36" i="2960"/>
  <c r="D37" i="2960"/>
  <c r="F37" i="2960"/>
  <c r="C38" i="2960"/>
  <c r="E38" i="2960"/>
  <c r="C39" i="2960"/>
  <c r="E39" i="2960"/>
  <c r="O39" i="2960"/>
  <c r="D40" i="2960"/>
  <c r="F40" i="2960"/>
  <c r="C41" i="2960"/>
  <c r="E41" i="2960"/>
  <c r="O41" i="2960"/>
  <c r="D42" i="2960"/>
  <c r="F42" i="2960"/>
  <c r="C43" i="2960"/>
  <c r="E43" i="2960"/>
  <c r="L43" i="2960"/>
  <c r="D44" i="2960"/>
  <c r="F44" i="2960"/>
  <c r="K44" i="2960"/>
  <c r="C45" i="2960"/>
  <c r="E45" i="2960"/>
  <c r="I45" i="2960"/>
  <c r="J27" i="1027" s="1"/>
  <c r="D46" i="2960"/>
  <c r="N46" i="2960"/>
  <c r="L45" i="2960"/>
  <c r="F46" i="2960"/>
  <c r="K47" i="2960"/>
  <c r="O21" i="2960"/>
  <c r="D22" i="2960"/>
  <c r="C23" i="2960"/>
  <c r="D24" i="2960"/>
  <c r="F24" i="2960"/>
  <c r="D25" i="2960"/>
  <c r="C26" i="2960"/>
  <c r="O26" i="2960"/>
  <c r="D27" i="2960"/>
  <c r="E28" i="2960"/>
  <c r="O28" i="2960"/>
  <c r="D29" i="2960"/>
  <c r="E30" i="2960"/>
  <c r="I30" i="2960"/>
  <c r="G26" i="1027" s="1"/>
  <c r="L30" i="2960"/>
  <c r="F31" i="2960"/>
  <c r="K31" i="2960"/>
  <c r="C32" i="2960"/>
  <c r="E32" i="2960"/>
  <c r="I32" i="2960"/>
  <c r="H26" i="1027" s="1"/>
  <c r="C22" i="2960"/>
  <c r="E22" i="2960"/>
  <c r="D23" i="2960"/>
  <c r="F23" i="2960"/>
  <c r="C24" i="2960"/>
  <c r="E24" i="2960"/>
  <c r="C25" i="2960"/>
  <c r="E25" i="2960"/>
  <c r="O25" i="2960"/>
  <c r="D26" i="2960"/>
  <c r="F26" i="2960"/>
  <c r="C27" i="2960"/>
  <c r="E27" i="2960"/>
  <c r="O27" i="2960"/>
  <c r="D28" i="2960"/>
  <c r="F28" i="2960"/>
  <c r="C29" i="2960"/>
  <c r="E29" i="2960"/>
  <c r="L29" i="2960"/>
  <c r="D30" i="2960"/>
  <c r="F30" i="2960"/>
  <c r="K30" i="2960"/>
  <c r="E26" i="1027" s="1"/>
  <c r="C31" i="2960"/>
  <c r="E31" i="2960"/>
  <c r="I31" i="2960"/>
  <c r="J26" i="1027" s="1"/>
  <c r="L31" i="2960"/>
  <c r="D32" i="2960"/>
  <c r="F32" i="2960"/>
  <c r="N32" i="2960"/>
  <c r="K33" i="2960"/>
  <c r="BU55" i="83"/>
  <c r="BQ55" i="83"/>
  <c r="O7" i="2960"/>
  <c r="D8" i="2960"/>
  <c r="C9" i="2960"/>
  <c r="E9" i="2960"/>
  <c r="G9" i="2960"/>
  <c r="D10" i="2960"/>
  <c r="F10" i="2960"/>
  <c r="O10" i="2960"/>
  <c r="D11" i="2960"/>
  <c r="F11" i="2960"/>
  <c r="C12" i="2960"/>
  <c r="E12" i="2960"/>
  <c r="O12" i="2960"/>
  <c r="D13" i="2960"/>
  <c r="F13" i="2960"/>
  <c r="C14" i="2960"/>
  <c r="E14" i="2960"/>
  <c r="O14" i="2960"/>
  <c r="D15" i="2960"/>
  <c r="F15" i="2960"/>
  <c r="C16" i="2960"/>
  <c r="E16" i="2960"/>
  <c r="I16" i="2960"/>
  <c r="G25" i="1027" s="1"/>
  <c r="L16" i="2960"/>
  <c r="D17" i="2960"/>
  <c r="F17" i="2960"/>
  <c r="K17" i="2960"/>
  <c r="C18" i="2960"/>
  <c r="E18" i="2960"/>
  <c r="I18" i="2960"/>
  <c r="B6" i="2960"/>
  <c r="L6" i="2960"/>
  <c r="C8" i="2960"/>
  <c r="E8" i="2960"/>
  <c r="D9" i="2960"/>
  <c r="F9" i="2960"/>
  <c r="C10" i="2960"/>
  <c r="E10" i="2960"/>
  <c r="C11" i="2960"/>
  <c r="E11" i="2960"/>
  <c r="O11" i="2960"/>
  <c r="D12" i="2960"/>
  <c r="F12" i="2960"/>
  <c r="C13" i="2960"/>
  <c r="E13" i="2960"/>
  <c r="O13" i="2960"/>
  <c r="D14" i="2960"/>
  <c r="F14" i="2960"/>
  <c r="C15" i="2960"/>
  <c r="E15" i="2960"/>
  <c r="L15" i="2960"/>
  <c r="D16" i="2960"/>
  <c r="F16" i="2960"/>
  <c r="K16" i="2960"/>
  <c r="E25" i="1027" s="1"/>
  <c r="C17" i="2960"/>
  <c r="E17" i="2960"/>
  <c r="I17" i="2960"/>
  <c r="J25" i="1027" s="1"/>
  <c r="L17" i="2960"/>
  <c r="D18" i="2960"/>
  <c r="F18" i="2960"/>
  <c r="N18" i="2960"/>
  <c r="K19" i="2960"/>
  <c r="F11" i="1"/>
  <c r="F24" i="1"/>
  <c r="F52" i="1"/>
  <c r="F80" i="1"/>
  <c r="F108" i="1"/>
  <c r="F136" i="1"/>
  <c r="F164" i="1"/>
  <c r="F192" i="1"/>
  <c r="F220" i="1"/>
  <c r="F248" i="1"/>
  <c r="F276" i="1"/>
  <c r="F304" i="1"/>
  <c r="F374" i="1"/>
  <c r="F402" i="1"/>
  <c r="F430" i="1"/>
  <c r="F444" i="1"/>
  <c r="F458" i="1"/>
  <c r="F472" i="1"/>
  <c r="F500" i="1"/>
  <c r="F514" i="1"/>
  <c r="F528" i="1"/>
  <c r="F542" i="1"/>
  <c r="F556" i="1"/>
  <c r="F570" i="1"/>
  <c r="F10" i="1"/>
  <c r="F38" i="1"/>
  <c r="F66" i="1"/>
  <c r="F94" i="1"/>
  <c r="F122" i="1"/>
  <c r="F150" i="1"/>
  <c r="F178" i="1"/>
  <c r="F206" i="1"/>
  <c r="F234" i="1"/>
  <c r="F262" i="1"/>
  <c r="F290" i="1"/>
  <c r="F318" i="1"/>
  <c r="F346" i="1"/>
  <c r="F360" i="1"/>
  <c r="F388" i="1"/>
  <c r="F416" i="1"/>
  <c r="F486" i="1"/>
  <c r="AG36" i="83"/>
  <c r="J30" i="2"/>
  <c r="N23" i="83"/>
  <c r="F598" i="1"/>
  <c r="AF591" i="1"/>
  <c r="R591" i="1"/>
  <c r="F584" i="1"/>
  <c r="Y577" i="1"/>
  <c r="C561" i="1"/>
  <c r="C562" i="1"/>
  <c r="C646" i="1"/>
  <c r="F640" i="1"/>
  <c r="C632" i="1"/>
  <c r="F626" i="1"/>
  <c r="C618" i="1"/>
  <c r="F612" i="1"/>
  <c r="C575" i="1"/>
  <c r="C576" i="1"/>
  <c r="AM563" i="1"/>
  <c r="AF563" i="1"/>
  <c r="Y563" i="1"/>
  <c r="R563" i="1"/>
  <c r="AL565" i="1"/>
  <c r="AL564" i="1" s="1"/>
  <c r="B561" i="1"/>
  <c r="E544" i="1"/>
  <c r="AF508" i="1"/>
  <c r="R508" i="1"/>
  <c r="AM480" i="1"/>
  <c r="AM410" i="1"/>
  <c r="Y410" i="1"/>
  <c r="AF409" i="1"/>
  <c r="R409" i="1"/>
  <c r="AM382" i="1"/>
  <c r="Y382" i="1"/>
  <c r="AF381" i="1"/>
  <c r="R381" i="1"/>
  <c r="AM354" i="1"/>
  <c r="Y354" i="1"/>
  <c r="AM340" i="1"/>
  <c r="Y340" i="1"/>
  <c r="AF339" i="1"/>
  <c r="R339" i="1"/>
  <c r="AM326" i="1"/>
  <c r="Y326" i="1"/>
  <c r="AM312" i="1"/>
  <c r="Y312" i="1"/>
  <c r="AF311" i="1"/>
  <c r="R311" i="1"/>
  <c r="AL298" i="1"/>
  <c r="X298" i="1"/>
  <c r="AM284" i="1"/>
  <c r="Y284" i="1"/>
  <c r="AF283" i="1"/>
  <c r="R283" i="1"/>
  <c r="AL270" i="1"/>
  <c r="AF270" i="1"/>
  <c r="X270" i="1"/>
  <c r="R270" i="1"/>
  <c r="AM256" i="1"/>
  <c r="Y256" i="1"/>
  <c r="AF255" i="1"/>
  <c r="R255" i="1"/>
  <c r="AF242" i="1"/>
  <c r="R242" i="1"/>
  <c r="AM200" i="1"/>
  <c r="Y200" i="1"/>
  <c r="AF199" i="1"/>
  <c r="R199" i="1"/>
  <c r="AF186" i="1"/>
  <c r="R186" i="1"/>
  <c r="AM172" i="1"/>
  <c r="Y172" i="1"/>
  <c r="AF171" i="1"/>
  <c r="R171" i="1"/>
  <c r="AM144" i="1"/>
  <c r="AF144" i="1"/>
  <c r="Y144" i="1"/>
  <c r="R144" i="1"/>
  <c r="AM116" i="1"/>
  <c r="AF116" i="1"/>
  <c r="Y116" i="1"/>
  <c r="R116" i="1"/>
  <c r="AM88" i="1"/>
  <c r="AF88" i="1"/>
  <c r="Y88" i="1"/>
  <c r="R88" i="1"/>
  <c r="AM60" i="1"/>
  <c r="AF60" i="1"/>
  <c r="Y60" i="1"/>
  <c r="R60" i="1"/>
  <c r="AM32" i="1"/>
  <c r="Y32" i="1"/>
  <c r="R32" i="1"/>
  <c r="H14" i="3"/>
  <c r="C548" i="1"/>
  <c r="C534" i="1"/>
  <c r="C520" i="1"/>
  <c r="AM508" i="1"/>
  <c r="AE508" i="1"/>
  <c r="Y508" i="1"/>
  <c r="AM494" i="1"/>
  <c r="Y494" i="1"/>
  <c r="AM493" i="1"/>
  <c r="AF493" i="1"/>
  <c r="Y493" i="1"/>
  <c r="AL480" i="1"/>
  <c r="X480" i="1"/>
  <c r="AM438" i="1"/>
  <c r="AF438" i="1"/>
  <c r="Y438" i="1"/>
  <c r="R438" i="1"/>
  <c r="AM423" i="1"/>
  <c r="AF423" i="1"/>
  <c r="Y423" i="1"/>
  <c r="R423" i="1"/>
  <c r="AE413" i="1"/>
  <c r="Q413" i="1"/>
  <c r="AL410" i="1"/>
  <c r="X410" i="1"/>
  <c r="B408" i="1"/>
  <c r="AM395" i="1"/>
  <c r="AF395" i="1"/>
  <c r="Y395" i="1"/>
  <c r="R395" i="1"/>
  <c r="AE385" i="1"/>
  <c r="Q385" i="1"/>
  <c r="AL382" i="1"/>
  <c r="X382" i="1"/>
  <c r="B380" i="1"/>
  <c r="AM367" i="1"/>
  <c r="AF367" i="1"/>
  <c r="Y367" i="1"/>
  <c r="R367" i="1"/>
  <c r="AF354" i="1"/>
  <c r="R354" i="1"/>
  <c r="AE343" i="1"/>
  <c r="Q343" i="1"/>
  <c r="AL340" i="1"/>
  <c r="X340" i="1"/>
  <c r="B338" i="1"/>
  <c r="AF326" i="1"/>
  <c r="R326" i="1"/>
  <c r="AE315" i="1"/>
  <c r="Q315" i="1"/>
  <c r="AL312" i="1"/>
  <c r="X312" i="1"/>
  <c r="B310" i="1"/>
  <c r="AM297" i="1"/>
  <c r="AF297" i="1"/>
  <c r="Y297" i="1"/>
  <c r="R297" i="1"/>
  <c r="AE287" i="1"/>
  <c r="Q287" i="1"/>
  <c r="B282" i="1"/>
  <c r="AM270" i="1"/>
  <c r="Y270" i="1"/>
  <c r="AE259" i="1"/>
  <c r="Q259" i="1"/>
  <c r="AM242" i="1"/>
  <c r="Y242" i="1"/>
  <c r="AM186" i="1"/>
  <c r="Y186" i="1"/>
  <c r="AM158" i="1"/>
  <c r="AF158" i="1"/>
  <c r="Y158" i="1"/>
  <c r="R158" i="1"/>
  <c r="AM102" i="1"/>
  <c r="AF102" i="1"/>
  <c r="Y102" i="1"/>
  <c r="R102" i="1"/>
  <c r="AM74" i="1"/>
  <c r="AF74" i="1"/>
  <c r="Y74" i="1"/>
  <c r="R74" i="1"/>
  <c r="AM46" i="1"/>
  <c r="AF46" i="1"/>
  <c r="Y46" i="1"/>
  <c r="R46" i="1"/>
  <c r="X67" i="33252"/>
  <c r="G8" i="83"/>
  <c r="C8" i="83"/>
  <c r="Z9" i="33252"/>
  <c r="R269" i="1"/>
  <c r="C128" i="1"/>
  <c r="E29" i="1027"/>
  <c r="F37" i="83"/>
  <c r="B36" i="83"/>
  <c r="E35" i="83"/>
  <c r="D34" i="83"/>
  <c r="R633" i="1"/>
  <c r="AM619" i="1"/>
  <c r="C590" i="1"/>
  <c r="AL593" i="1"/>
  <c r="AL592" i="1" s="1"/>
  <c r="X593" i="1"/>
  <c r="X592" i="1" s="1"/>
  <c r="AM591" i="1"/>
  <c r="AF549" i="1"/>
  <c r="Y549" i="1"/>
  <c r="B548" i="1"/>
  <c r="X551" i="1"/>
  <c r="X550" i="1" s="1"/>
  <c r="B547" i="1"/>
  <c r="Q463" i="1"/>
  <c r="O463" i="1" s="1"/>
  <c r="AF452" i="1"/>
  <c r="X413" i="1"/>
  <c r="R382" i="1"/>
  <c r="X508" i="1"/>
  <c r="AM647" i="1"/>
  <c r="AF647" i="1"/>
  <c r="AM633" i="1"/>
  <c r="AF633" i="1"/>
  <c r="Y633" i="1"/>
  <c r="B618" i="1"/>
  <c r="AE621" i="1"/>
  <c r="AE620" i="1" s="1"/>
  <c r="Q621" i="1"/>
  <c r="Q620" i="1" s="1"/>
  <c r="AM577" i="1"/>
  <c r="AF577" i="1"/>
  <c r="R577" i="1"/>
  <c r="B576" i="1"/>
  <c r="AE579" i="1"/>
  <c r="AE578" i="1" s="1"/>
  <c r="Q579" i="1"/>
  <c r="Q578" i="1" s="1"/>
  <c r="AE565" i="1"/>
  <c r="AE564" i="1" s="1"/>
  <c r="Q565" i="1"/>
  <c r="Q564" i="1" s="1"/>
  <c r="AM535" i="1"/>
  <c r="AF535" i="1"/>
  <c r="Y535" i="1"/>
  <c r="R535" i="1"/>
  <c r="X537" i="1"/>
  <c r="X536" i="1" s="1"/>
  <c r="AL537" i="1"/>
  <c r="AL536" i="1" s="1"/>
  <c r="Y507" i="1"/>
  <c r="Q494" i="1"/>
  <c r="R325" i="1"/>
  <c r="AM507" i="1"/>
  <c r="AF507" i="1"/>
  <c r="B450" i="1"/>
  <c r="AE449" i="1"/>
  <c r="AC449" i="1" s="1"/>
  <c r="Y437" i="1"/>
  <c r="X427" i="1"/>
  <c r="Q424" i="1"/>
  <c r="C421" i="1"/>
  <c r="AM409" i="1"/>
  <c r="AM396" i="1"/>
  <c r="AF396" i="1"/>
  <c r="Y396" i="1"/>
  <c r="C379" i="1"/>
  <c r="Y381" i="1"/>
  <c r="X371" i="1"/>
  <c r="Q368" i="1"/>
  <c r="C365" i="1"/>
  <c r="X357" i="1"/>
  <c r="C351" i="1"/>
  <c r="Q340" i="1"/>
  <c r="C295" i="1"/>
  <c r="Q284" i="1"/>
  <c r="Y283" i="1"/>
  <c r="AL256" i="1"/>
  <c r="AE256" i="1"/>
  <c r="X256" i="1"/>
  <c r="Q256" i="1"/>
  <c r="Y255" i="1"/>
  <c r="AE245" i="1"/>
  <c r="Q245" i="1"/>
  <c r="C240" i="1"/>
  <c r="AM213" i="1"/>
  <c r="AF213" i="1"/>
  <c r="R200" i="1"/>
  <c r="AL186" i="1"/>
  <c r="AE186" i="1"/>
  <c r="X186" i="1"/>
  <c r="Q186" i="1"/>
  <c r="C184" i="1"/>
  <c r="AM157" i="1"/>
  <c r="AF157" i="1"/>
  <c r="Y157" i="1"/>
  <c r="R157" i="1"/>
  <c r="AM101" i="1"/>
  <c r="AF101" i="1"/>
  <c r="Y101" i="1"/>
  <c r="R101" i="1"/>
  <c r="AL74" i="1"/>
  <c r="AE74" i="1"/>
  <c r="X74" i="1"/>
  <c r="Q74" i="1"/>
  <c r="C72" i="1"/>
  <c r="V65" i="83"/>
  <c r="V64" i="83"/>
  <c r="AF57" i="83"/>
  <c r="AG57" i="83" s="1"/>
  <c r="BP74" i="83" s="1"/>
  <c r="AF56" i="83"/>
  <c r="AG56" i="83" s="1"/>
  <c r="BO74" i="83" s="1"/>
  <c r="AL635" i="1"/>
  <c r="AL634" i="1" s="1"/>
  <c r="Q635" i="1"/>
  <c r="Q634" i="1" s="1"/>
  <c r="E614" i="1"/>
  <c r="R549" i="1"/>
  <c r="AL551" i="1"/>
  <c r="AL550" i="1" s="1"/>
  <c r="Q551" i="1"/>
  <c r="Q550" i="1" s="1"/>
  <c r="AE537" i="1"/>
  <c r="AE536" i="1" s="1"/>
  <c r="B533" i="1"/>
  <c r="B519" i="1"/>
  <c r="Y480" i="1"/>
  <c r="AE463" i="1"/>
  <c r="AC463" i="1" s="1"/>
  <c r="R507" i="1"/>
  <c r="AL494" i="1"/>
  <c r="AE494" i="1"/>
  <c r="C478" i="1"/>
  <c r="B478" i="1"/>
  <c r="X449" i="1"/>
  <c r="V449" i="1" s="1"/>
  <c r="Y452" i="1"/>
  <c r="AF451" i="1"/>
  <c r="AF480" i="1"/>
  <c r="Q480" i="1"/>
  <c r="AM466" i="1"/>
  <c r="AM451" i="1"/>
  <c r="AL452" i="1"/>
  <c r="AE452" i="1"/>
  <c r="X452" i="1"/>
  <c r="Q452" i="1"/>
  <c r="R452" i="1"/>
  <c r="R437" i="1"/>
  <c r="Q427" i="1"/>
  <c r="AL413" i="1"/>
  <c r="AE399" i="1"/>
  <c r="R396" i="1"/>
  <c r="Q371" i="1"/>
  <c r="Q357" i="1"/>
  <c r="B352" i="1"/>
  <c r="R353" i="1"/>
  <c r="C337" i="1"/>
  <c r="Y339" i="1"/>
  <c r="AE329" i="1"/>
  <c r="AM325" i="1"/>
  <c r="AF325" i="1"/>
  <c r="Y325" i="1"/>
  <c r="Q298" i="1"/>
  <c r="B296" i="1"/>
  <c r="AF284" i="1"/>
  <c r="AE273" i="1"/>
  <c r="AM269" i="1"/>
  <c r="AF269" i="1"/>
  <c r="Y269" i="1"/>
  <c r="AM255" i="1"/>
  <c r="AM241" i="1"/>
  <c r="R213" i="1"/>
  <c r="C212" i="1"/>
  <c r="AF172" i="1"/>
  <c r="B156" i="1"/>
  <c r="C156" i="1"/>
  <c r="Q158" i="1"/>
  <c r="X158" i="1"/>
  <c r="AE158" i="1"/>
  <c r="AL158" i="1"/>
  <c r="B100" i="1"/>
  <c r="C100" i="1"/>
  <c r="Q102" i="1"/>
  <c r="X102" i="1"/>
  <c r="AE102" i="1"/>
  <c r="AL102" i="1"/>
  <c r="AL46" i="1"/>
  <c r="AE46" i="1"/>
  <c r="X46" i="1"/>
  <c r="Q46" i="1"/>
  <c r="C44" i="1"/>
  <c r="D8" i="83"/>
  <c r="E17" i="3"/>
  <c r="B645" i="1"/>
  <c r="B631" i="1"/>
  <c r="B617" i="1"/>
  <c r="AM549" i="1"/>
  <c r="V529" i="1"/>
  <c r="AC529" i="1"/>
  <c r="AJ529" i="1"/>
  <c r="E530" i="1" s="1"/>
  <c r="V515" i="1"/>
  <c r="AC515" i="1"/>
  <c r="AJ515" i="1"/>
  <c r="R493" i="1"/>
  <c r="AF424" i="1"/>
  <c r="AF368" i="1"/>
  <c r="AE354" i="1"/>
  <c r="V305" i="1"/>
  <c r="V313" i="1" s="1"/>
  <c r="AC305" i="1"/>
  <c r="AC313" i="1" s="1"/>
  <c r="AF298" i="1"/>
  <c r="AM298" i="1"/>
  <c r="AM283" i="1"/>
  <c r="X494" i="1"/>
  <c r="B464" i="1"/>
  <c r="AM437" i="1"/>
  <c r="B436" i="1"/>
  <c r="AE424" i="1"/>
  <c r="X424" i="1"/>
  <c r="B422" i="1"/>
  <c r="AL399" i="1"/>
  <c r="AM381" i="1"/>
  <c r="AE382" i="1"/>
  <c r="C380" i="1"/>
  <c r="AE368" i="1"/>
  <c r="X368" i="1"/>
  <c r="B366" i="1"/>
  <c r="Y353" i="1"/>
  <c r="AM339" i="1"/>
  <c r="AE340" i="1"/>
  <c r="C338" i="1"/>
  <c r="Q329" i="1"/>
  <c r="B323" i="1"/>
  <c r="B324" i="1"/>
  <c r="AM311" i="1"/>
  <c r="AJ305" i="1"/>
  <c r="AJ313" i="1"/>
  <c r="B281" i="1"/>
  <c r="C282" i="1"/>
  <c r="AE284" i="1"/>
  <c r="AL284" i="1"/>
  <c r="B267" i="1"/>
  <c r="B268" i="1"/>
  <c r="B253" i="1"/>
  <c r="B254" i="1"/>
  <c r="B239" i="1"/>
  <c r="B240" i="1"/>
  <c r="AM227" i="1"/>
  <c r="R227" i="1"/>
  <c r="C226" i="1"/>
  <c r="AM199" i="1"/>
  <c r="AL200" i="1"/>
  <c r="AE200" i="1"/>
  <c r="Y199" i="1"/>
  <c r="X200" i="1"/>
  <c r="Q200" i="1"/>
  <c r="C198" i="1"/>
  <c r="AM171" i="1"/>
  <c r="AL172" i="1"/>
  <c r="AE172" i="1"/>
  <c r="Y171" i="1"/>
  <c r="X172" i="1"/>
  <c r="Q172" i="1"/>
  <c r="C170" i="1"/>
  <c r="AM143" i="1"/>
  <c r="AL144" i="1"/>
  <c r="AF143" i="1"/>
  <c r="AE144" i="1"/>
  <c r="Y143" i="1"/>
  <c r="X144" i="1"/>
  <c r="R143" i="1"/>
  <c r="Q144" i="1"/>
  <c r="C142" i="1"/>
  <c r="AM115" i="1"/>
  <c r="AL116" i="1"/>
  <c r="AF115" i="1"/>
  <c r="AE116" i="1"/>
  <c r="Y115" i="1"/>
  <c r="X116" i="1"/>
  <c r="R115" i="1"/>
  <c r="Q116" i="1"/>
  <c r="C114" i="1"/>
  <c r="AM87" i="1"/>
  <c r="AL88" i="1"/>
  <c r="AF87" i="1"/>
  <c r="AE88" i="1"/>
  <c r="Y87" i="1"/>
  <c r="X88" i="1"/>
  <c r="R87" i="1"/>
  <c r="Q88" i="1"/>
  <c r="C86" i="1"/>
  <c r="AM59" i="1"/>
  <c r="AL60" i="1"/>
  <c r="AF59" i="1"/>
  <c r="AE60" i="1"/>
  <c r="Y59" i="1"/>
  <c r="X60" i="1"/>
  <c r="R59" i="1"/>
  <c r="Q60" i="1"/>
  <c r="C58" i="1"/>
  <c r="E516" i="1"/>
  <c r="B46" i="33252"/>
  <c r="B4" i="105"/>
  <c r="B87" i="33252"/>
  <c r="C96" i="83"/>
  <c r="E9" i="83" s="1"/>
  <c r="E47" i="83"/>
  <c r="E46" i="83"/>
  <c r="C45" i="83"/>
  <c r="F39" i="83"/>
  <c r="F36" i="83"/>
  <c r="D28" i="83"/>
  <c r="C32" i="83"/>
  <c r="G27" i="83"/>
  <c r="E26" i="83"/>
  <c r="B25" i="83"/>
  <c r="G23" i="83"/>
  <c r="E22" i="83"/>
  <c r="B21" i="83"/>
  <c r="F19" i="83"/>
  <c r="D18" i="83"/>
  <c r="B17" i="83"/>
  <c r="F15" i="83"/>
  <c r="E14" i="83"/>
  <c r="G9" i="83"/>
  <c r="A126" i="83"/>
  <c r="G128" i="83" s="1"/>
  <c r="B8" i="83" s="1"/>
  <c r="D96" i="83"/>
  <c r="D47" i="83"/>
  <c r="B46" i="83"/>
  <c r="F44" i="83"/>
  <c r="D43" i="83"/>
  <c r="C42" i="83"/>
  <c r="F40" i="83"/>
  <c r="E39" i="83"/>
  <c r="C38" i="83"/>
  <c r="G36" i="83"/>
  <c r="D35" i="83"/>
  <c r="C34" i="83"/>
  <c r="B33" i="83"/>
  <c r="F31" i="83"/>
  <c r="E30" i="83"/>
  <c r="C29" i="83"/>
  <c r="F27" i="83"/>
  <c r="D26" i="83"/>
  <c r="C25" i="83"/>
  <c r="F23" i="83"/>
  <c r="D22" i="83"/>
  <c r="C21" i="83"/>
  <c r="G19" i="83"/>
  <c r="E18" i="83"/>
  <c r="C17" i="83"/>
  <c r="G15" i="83"/>
  <c r="D14" i="83"/>
  <c r="F28" i="83"/>
  <c r="F30" i="83"/>
  <c r="BD33" i="83"/>
  <c r="G35" i="83"/>
  <c r="F38" i="83"/>
  <c r="F126" i="83"/>
  <c r="G133" i="83" s="1"/>
  <c r="B13" i="83" s="1"/>
  <c r="G96" i="83"/>
  <c r="E13" i="83" s="1"/>
  <c r="B28" i="83"/>
  <c r="B37" i="83"/>
  <c r="D38" i="83"/>
  <c r="B39" i="83"/>
  <c r="E40" i="83"/>
  <c r="E41" i="83"/>
  <c r="B42" i="83"/>
  <c r="F42" i="83"/>
  <c r="E43" i="83"/>
  <c r="C44" i="83"/>
  <c r="G44" i="83"/>
  <c r="E45" i="83"/>
  <c r="C41" i="83"/>
  <c r="D42" i="83"/>
  <c r="C43" i="83"/>
  <c r="E44" i="83"/>
  <c r="G45" i="83"/>
  <c r="C46" i="83"/>
  <c r="G46" i="83"/>
  <c r="C47" i="83"/>
  <c r="G47" i="83"/>
  <c r="E96" i="83"/>
  <c r="E11" i="83"/>
  <c r="B126" i="83"/>
  <c r="G129" i="83" s="1"/>
  <c r="B9" i="83" s="1"/>
  <c r="G40" i="83"/>
  <c r="D39" i="83"/>
  <c r="B38" i="83"/>
  <c r="D36" i="83"/>
  <c r="C35" i="83"/>
  <c r="B34" i="83"/>
  <c r="E33" i="83"/>
  <c r="E31" i="83"/>
  <c r="B30" i="83"/>
  <c r="B29" i="83"/>
  <c r="D9" i="83"/>
  <c r="B14" i="83"/>
  <c r="F14" i="83"/>
  <c r="E15" i="83"/>
  <c r="C16" i="83"/>
  <c r="G16" i="83"/>
  <c r="E17" i="83"/>
  <c r="C18" i="83"/>
  <c r="G18" i="83"/>
  <c r="E19" i="83"/>
  <c r="B20" i="83"/>
  <c r="F20" i="83"/>
  <c r="E21" i="83"/>
  <c r="B22" i="83"/>
  <c r="F22" i="83"/>
  <c r="D23" i="83"/>
  <c r="C24" i="83"/>
  <c r="G24" i="83"/>
  <c r="E25" i="83"/>
  <c r="B26" i="83"/>
  <c r="F26" i="83"/>
  <c r="D27" i="83"/>
  <c r="C28" i="83"/>
  <c r="G28" i="83"/>
  <c r="E29" i="83"/>
  <c r="C30" i="83"/>
  <c r="G30" i="83"/>
  <c r="D31" i="83"/>
  <c r="B32" i="83"/>
  <c r="F32" i="83"/>
  <c r="D33" i="83"/>
  <c r="BC33" i="83"/>
  <c r="E34" i="83"/>
  <c r="B35" i="83"/>
  <c r="F35" i="83"/>
  <c r="E36" i="83"/>
  <c r="C37" i="83"/>
  <c r="G37" i="83"/>
  <c r="E38" i="83"/>
  <c r="C39" i="83"/>
  <c r="G39" i="83"/>
  <c r="D40" i="83"/>
  <c r="B41" i="83"/>
  <c r="F41" i="83"/>
  <c r="E42" i="83"/>
  <c r="B43" i="83"/>
  <c r="F43" i="83"/>
  <c r="D44" i="83"/>
  <c r="B45" i="83"/>
  <c r="F45" i="83"/>
  <c r="D46" i="83"/>
  <c r="B47" i="83"/>
  <c r="F47" i="83"/>
  <c r="E8" i="83"/>
  <c r="E10" i="83"/>
  <c r="C126" i="83"/>
  <c r="G130" i="83" s="1"/>
  <c r="B10" i="83" s="1"/>
  <c r="F8" i="83"/>
  <c r="F10" i="83"/>
  <c r="D13" i="83"/>
  <c r="C14" i="83"/>
  <c r="G14" i="83"/>
  <c r="D15" i="83"/>
  <c r="B16" i="83"/>
  <c r="F16" i="83"/>
  <c r="D17" i="83"/>
  <c r="B18" i="83"/>
  <c r="F18" i="83"/>
  <c r="D19" i="83"/>
  <c r="C20" i="83"/>
  <c r="G20" i="83"/>
  <c r="D21" i="83"/>
  <c r="C22" i="83"/>
  <c r="G22" i="83"/>
  <c r="E23" i="83"/>
  <c r="B24" i="83"/>
  <c r="F24" i="83"/>
  <c r="D25" i="83"/>
  <c r="C26" i="83"/>
  <c r="G26" i="83"/>
  <c r="E27" i="83"/>
  <c r="G33" i="83"/>
  <c r="G32" i="83"/>
  <c r="G31" i="83"/>
  <c r="D30" i="83"/>
  <c r="D29" i="83"/>
  <c r="BL32" i="83"/>
  <c r="B5" i="2" s="1"/>
  <c r="G13" i="83"/>
  <c r="F13" i="83"/>
  <c r="C13" i="83"/>
  <c r="G10" i="83"/>
  <c r="C10" i="83"/>
  <c r="D10" i="83"/>
  <c r="F11" i="83"/>
  <c r="K4" i="2"/>
  <c r="M1" i="105"/>
  <c r="J2" i="1027"/>
  <c r="J2" i="33252"/>
  <c r="Z1" i="83"/>
  <c r="L2" i="2960"/>
  <c r="J14" i="2"/>
  <c r="BQ6" i="83"/>
  <c r="C31" i="83"/>
  <c r="C27" i="83"/>
  <c r="D24" i="83"/>
  <c r="F21" i="83"/>
  <c r="B19" i="83"/>
  <c r="D16" i="83"/>
  <c r="F96" i="83"/>
  <c r="C12" i="83" s="1"/>
  <c r="F46" i="83"/>
  <c r="B44" i="83"/>
  <c r="D41" i="83"/>
  <c r="G38" i="83"/>
  <c r="C36" i="83"/>
  <c r="F33" i="83"/>
  <c r="B31" i="83"/>
  <c r="E28" i="83"/>
  <c r="G25" i="83"/>
  <c r="B23" i="83"/>
  <c r="D20" i="83"/>
  <c r="G17" i="83"/>
  <c r="C15" i="83"/>
  <c r="F29" i="83"/>
  <c r="F34" i="83"/>
  <c r="C40" i="83"/>
  <c r="G41" i="83"/>
  <c r="D12" i="83"/>
  <c r="F12" i="83"/>
  <c r="G12" i="83"/>
  <c r="D11" i="83"/>
  <c r="C11" i="83"/>
  <c r="U63" i="83"/>
  <c r="AF55" i="83"/>
  <c r="AG55" i="83" s="1"/>
  <c r="AL649" i="1"/>
  <c r="AL648" i="1" s="1"/>
  <c r="C604" i="1"/>
  <c r="AJ585" i="1"/>
  <c r="AC585" i="1"/>
  <c r="X579" i="1"/>
  <c r="X578" i="1" s="1"/>
  <c r="AF521" i="1"/>
  <c r="X523" i="1"/>
  <c r="X522" i="1" s="1"/>
  <c r="AM479" i="1"/>
  <c r="Q382" i="1"/>
  <c r="AL368" i="1"/>
  <c r="AM353" i="1"/>
  <c r="X315" i="1"/>
  <c r="AE298" i="1"/>
  <c r="AE301" i="1"/>
  <c r="C254" i="1"/>
  <c r="Y298" i="1"/>
  <c r="X242" i="1"/>
  <c r="X245" i="1"/>
  <c r="R241" i="1"/>
  <c r="Y241" i="1"/>
  <c r="AF241" i="1"/>
  <c r="AM185" i="1"/>
  <c r="AL32" i="1"/>
  <c r="AF31" i="1"/>
  <c r="G11" i="83"/>
  <c r="BH24" i="83" l="1"/>
  <c r="E14" i="3"/>
  <c r="B20" i="2"/>
  <c r="U25" i="105"/>
  <c r="T25" i="105"/>
  <c r="N26" i="105"/>
  <c r="BM28" i="83"/>
  <c r="L137" i="33252" s="1"/>
  <c r="G59" i="3"/>
  <c r="BK28" i="83"/>
  <c r="AL620" i="1"/>
  <c r="O97" i="1"/>
  <c r="F9" i="83"/>
  <c r="C9" i="83"/>
  <c r="N26" i="83"/>
  <c r="BT55" i="83"/>
  <c r="BP55" i="83"/>
  <c r="AF15" i="83"/>
  <c r="U89" i="83"/>
  <c r="O571" i="1"/>
  <c r="E572" i="1" s="1"/>
  <c r="AC571" i="1"/>
  <c r="AE550" i="1"/>
  <c r="B534" i="1"/>
  <c r="Q537" i="1"/>
  <c r="Q536" i="1" s="1"/>
  <c r="Y424" i="1"/>
  <c r="Q396" i="1"/>
  <c r="C393" i="1"/>
  <c r="AE396" i="1"/>
  <c r="C323" i="1"/>
  <c r="X326" i="1"/>
  <c r="O291" i="1"/>
  <c r="AC291" i="1"/>
  <c r="O179" i="1"/>
  <c r="AC179" i="1"/>
  <c r="O49" i="2960"/>
  <c r="G51" i="2960"/>
  <c r="D51" i="2960"/>
  <c r="O53" i="2960"/>
  <c r="E55" i="2960"/>
  <c r="C57" i="2960"/>
  <c r="F58" i="2960"/>
  <c r="I59" i="2960"/>
  <c r="J28" i="1027" s="1"/>
  <c r="N60" i="2960"/>
  <c r="E52" i="2960"/>
  <c r="AJ419" i="1" s="1"/>
  <c r="AJ424" i="1" s="1"/>
  <c r="C54" i="2960"/>
  <c r="F55" i="2960"/>
  <c r="D57" i="2960"/>
  <c r="I58" i="2960"/>
  <c r="G28" i="1027" s="1"/>
  <c r="K59" i="2960"/>
  <c r="X58" i="83"/>
  <c r="U66" i="83"/>
  <c r="V66" i="83"/>
  <c r="E51" i="2960"/>
  <c r="C50" i="2960"/>
  <c r="E53" i="2960"/>
  <c r="C55" i="2960"/>
  <c r="F56" i="2960"/>
  <c r="D58" i="2960"/>
  <c r="E59" i="2960"/>
  <c r="F60" i="2960"/>
  <c r="F51" i="2960"/>
  <c r="F53" i="2960"/>
  <c r="D55" i="2960"/>
  <c r="O56" i="2960"/>
  <c r="E58" i="2960"/>
  <c r="F59" i="2960"/>
  <c r="I60" i="2960"/>
  <c r="H28" i="1027" s="1"/>
  <c r="U64" i="83"/>
  <c r="B26" i="1027"/>
  <c r="AB56" i="83"/>
  <c r="E23" i="2960"/>
  <c r="O24" i="2960"/>
  <c r="E26" i="2960"/>
  <c r="C28" i="2960"/>
  <c r="F29" i="2960"/>
  <c r="O641" i="1"/>
  <c r="AC641" i="1"/>
  <c r="O627" i="1"/>
  <c r="AC627" i="1"/>
  <c r="Y619" i="1"/>
  <c r="Y521" i="1"/>
  <c r="O449" i="1"/>
  <c r="C394" i="1"/>
  <c r="O375" i="1"/>
  <c r="AC375" i="1"/>
  <c r="AM368" i="1"/>
  <c r="V291" i="1"/>
  <c r="O235" i="1"/>
  <c r="AC235" i="1"/>
  <c r="V179" i="1"/>
  <c r="O81" i="1"/>
  <c r="AC81" i="1"/>
  <c r="R619" i="1"/>
  <c r="AF619" i="1"/>
  <c r="B212" i="1"/>
  <c r="Y213" i="1"/>
  <c r="E12" i="83"/>
  <c r="Y9" i="33252"/>
  <c r="AO10" i="33252" s="1" a="1"/>
  <c r="AR11" i="33252" s="1"/>
  <c r="E11" i="33252" s="1"/>
  <c r="D31" i="2960"/>
  <c r="C30" i="2960"/>
  <c r="F27" i="2960"/>
  <c r="F25" i="2960"/>
  <c r="G23" i="2960"/>
  <c r="V475" i="1" s="1"/>
  <c r="V480" i="1" s="1"/>
  <c r="AF58" i="83"/>
  <c r="AG58" i="83" s="1"/>
  <c r="BQ74" i="83" s="1"/>
  <c r="D59" i="2960"/>
  <c r="E56" i="2960"/>
  <c r="D53" i="2960"/>
  <c r="D60" i="2960"/>
  <c r="L57" i="2960"/>
  <c r="F54" i="2960"/>
  <c r="F52" i="2960"/>
  <c r="X55" i="83"/>
  <c r="X59" i="83" s="1"/>
  <c r="D25" i="1027"/>
  <c r="H25" i="1027" s="1"/>
  <c r="D33" i="1027"/>
  <c r="AJ641" i="1"/>
  <c r="AE634" i="1"/>
  <c r="AJ627" i="1"/>
  <c r="X620" i="1"/>
  <c r="O557" i="1"/>
  <c r="E558" i="1" s="1"/>
  <c r="AC557" i="1"/>
  <c r="AL522" i="1"/>
  <c r="O403" i="1"/>
  <c r="AC403" i="1"/>
  <c r="AL245" i="1"/>
  <c r="AL242" i="1"/>
  <c r="AJ235" i="1"/>
  <c r="O95" i="1"/>
  <c r="AC95" i="1"/>
  <c r="AJ81" i="1"/>
  <c r="Y45" i="1"/>
  <c r="AM45" i="1"/>
  <c r="AE606" i="1"/>
  <c r="AE593" i="1"/>
  <c r="AE592" i="1" s="1"/>
  <c r="X565" i="1"/>
  <c r="X564" i="1" s="1"/>
  <c r="AM521" i="1"/>
  <c r="R340" i="1"/>
  <c r="AC333" i="1"/>
  <c r="AE326" i="1"/>
  <c r="Y311" i="1"/>
  <c r="Q273" i="1"/>
  <c r="AC249" i="1"/>
  <c r="AC221" i="1"/>
  <c r="AC165" i="1"/>
  <c r="AC151" i="1"/>
  <c r="AC137" i="1"/>
  <c r="AF73" i="1"/>
  <c r="R45" i="1"/>
  <c r="AC39" i="1"/>
  <c r="AC25" i="1"/>
  <c r="Y368" i="1"/>
  <c r="R647" i="1"/>
  <c r="AL606" i="1"/>
  <c r="Q508" i="1"/>
  <c r="AF410" i="1"/>
  <c r="X354" i="1"/>
  <c r="AF256" i="1"/>
  <c r="Q130" i="1"/>
  <c r="AF45" i="1"/>
  <c r="AM31" i="1"/>
  <c r="O7" i="33252"/>
  <c r="O6" i="33252"/>
  <c r="O16" i="33252"/>
  <c r="O9" i="33252"/>
  <c r="O12" i="33252"/>
  <c r="O14" i="33252"/>
  <c r="X10" i="33252"/>
  <c r="O10" i="33252"/>
  <c r="O13" i="33252"/>
  <c r="O8" i="33252"/>
  <c r="O11" i="33252"/>
  <c r="L12" i="33252"/>
  <c r="L11" i="33252" s="1"/>
  <c r="AG37" i="83"/>
  <c r="BO55" i="83"/>
  <c r="V139" i="1"/>
  <c r="V146" i="1" s="1"/>
  <c r="AC391" i="1"/>
  <c r="AC396" i="1" s="1"/>
  <c r="U88" i="83"/>
  <c r="J100" i="83"/>
  <c r="F12" i="2"/>
  <c r="BM55" i="83"/>
  <c r="K4" i="83"/>
  <c r="AG35" i="83"/>
  <c r="O391" i="1"/>
  <c r="O396" i="1" s="1"/>
  <c r="BS55" i="83"/>
  <c r="U90" i="83"/>
  <c r="E16" i="1027"/>
  <c r="J99" i="83"/>
  <c r="J102" i="83" s="1"/>
  <c r="E13" i="3" s="1"/>
  <c r="BR55" i="83"/>
  <c r="BR11" i="83"/>
  <c r="U24" i="105"/>
  <c r="N24" i="105"/>
  <c r="V24" i="105"/>
  <c r="T26" i="105"/>
  <c r="BV20" i="83"/>
  <c r="T24" i="105"/>
  <c r="T30" i="105" s="1"/>
  <c r="B19" i="1027"/>
  <c r="BH7" i="83"/>
  <c r="I11" i="83"/>
  <c r="AI5" i="83" s="1"/>
  <c r="AC405" i="1"/>
  <c r="AC410" i="1" s="1"/>
  <c r="J41" i="83"/>
  <c r="C157" i="33252"/>
  <c r="BU14" i="83"/>
  <c r="W88" i="83"/>
  <c r="S46" i="83"/>
  <c r="R100" i="83" s="1"/>
  <c r="BV18" i="83"/>
  <c r="G25" i="2"/>
  <c r="S25" i="105"/>
  <c r="D4" i="83"/>
  <c r="M24" i="83"/>
  <c r="F62" i="3"/>
  <c r="BU16" i="83"/>
  <c r="AK37" i="83"/>
  <c r="B47" i="33252"/>
  <c r="BU31" i="83"/>
  <c r="BH6" i="83"/>
  <c r="BP17" i="83"/>
  <c r="BQ13" i="83"/>
  <c r="BP22" i="83"/>
  <c r="S24" i="105"/>
  <c r="B26" i="105"/>
  <c r="AM464" i="1"/>
  <c r="O12" i="105"/>
  <c r="P26" i="105"/>
  <c r="Q25" i="105"/>
  <c r="BS16" i="83"/>
  <c r="BP19" i="83"/>
  <c r="BF24" i="83"/>
  <c r="O13" i="1"/>
  <c r="I11" i="2960" s="1"/>
  <c r="C25" i="1027" s="1"/>
  <c r="S26" i="105"/>
  <c r="I12" i="2"/>
  <c r="N30" i="83"/>
  <c r="AE130" i="1"/>
  <c r="BU11" i="83"/>
  <c r="I18" i="83"/>
  <c r="AV13" i="83"/>
  <c r="AC473" i="1"/>
  <c r="I10" i="83"/>
  <c r="I85" i="83" s="1"/>
  <c r="BV21" i="83"/>
  <c r="BS15" i="83"/>
  <c r="C34" i="33252"/>
  <c r="I15" i="83"/>
  <c r="AM5" i="83" s="1"/>
  <c r="B6" i="105"/>
  <c r="E64" i="3"/>
  <c r="BS13" i="83"/>
  <c r="BR22" i="83"/>
  <c r="BS18" i="83"/>
  <c r="Q26" i="105"/>
  <c r="O25" i="105"/>
  <c r="BF26" i="83"/>
  <c r="F14" i="3"/>
  <c r="B24" i="105"/>
  <c r="B21" i="2"/>
  <c r="B10" i="105"/>
  <c r="BP20" i="83"/>
  <c r="BQ11" i="83"/>
  <c r="BU13" i="83"/>
  <c r="G49" i="1027"/>
  <c r="G52" i="1027"/>
  <c r="P25" i="105"/>
  <c r="W89" i="83"/>
  <c r="B57" i="1027"/>
  <c r="BN8" i="83"/>
  <c r="BS21" i="83"/>
  <c r="BU19" i="83"/>
  <c r="G57" i="1027"/>
  <c r="BQ21" i="83"/>
  <c r="BR19" i="83"/>
  <c r="B22" i="2"/>
  <c r="AH5" i="83"/>
  <c r="G51" i="1027"/>
  <c r="B23" i="2"/>
  <c r="BR21" i="83"/>
  <c r="BN7" i="83"/>
  <c r="BS12" i="83"/>
  <c r="BR20" i="83"/>
  <c r="BQ22" i="83"/>
  <c r="BS11" i="83"/>
  <c r="G54" i="1027"/>
  <c r="I14" i="83"/>
  <c r="BK57" i="33252" s="1"/>
  <c r="BQ17" i="83"/>
  <c r="B5" i="33252"/>
  <c r="B3" i="1027"/>
  <c r="R6" i="83"/>
  <c r="AP5" i="83"/>
  <c r="C5" i="2960"/>
  <c r="C112" i="33252"/>
  <c r="BQ16" i="83"/>
  <c r="BR14" i="83"/>
  <c r="BV15" i="83"/>
  <c r="BP14" i="83"/>
  <c r="G53" i="1027"/>
  <c r="AF464" i="1"/>
  <c r="BP16" i="83"/>
  <c r="BV17" i="83"/>
  <c r="BP15" i="83"/>
  <c r="BV16" i="83"/>
  <c r="E23" i="2"/>
  <c r="O461" i="1"/>
  <c r="AK36" i="83"/>
  <c r="O531" i="1"/>
  <c r="O536" i="1" s="1"/>
  <c r="C3" i="2960"/>
  <c r="B130" i="33252"/>
  <c r="B89" i="33252"/>
  <c r="B48" i="33252"/>
  <c r="B7" i="33252"/>
  <c r="B6" i="33252"/>
  <c r="B4" i="1027"/>
  <c r="O111" i="1"/>
  <c r="O118" i="1" s="1"/>
  <c r="O321" i="1"/>
  <c r="O326" i="1" s="1"/>
  <c r="O489" i="1"/>
  <c r="O475" i="1"/>
  <c r="O480" i="1" s="1"/>
  <c r="AC69" i="1"/>
  <c r="O195" i="1"/>
  <c r="O200" i="1" s="1"/>
  <c r="O125" i="1"/>
  <c r="O573" i="1"/>
  <c r="O578" i="1" s="1"/>
  <c r="O237" i="1"/>
  <c r="O242" i="1" s="1"/>
  <c r="O601" i="1"/>
  <c r="AC461" i="1"/>
  <c r="AC55" i="1"/>
  <c r="V391" i="1"/>
  <c r="V396" i="1" s="1"/>
  <c r="O265" i="1"/>
  <c r="O270" i="1" s="1"/>
  <c r="O615" i="1"/>
  <c r="O620" i="1" s="1"/>
  <c r="O349" i="1"/>
  <c r="O354" i="1" s="1"/>
  <c r="O587" i="1"/>
  <c r="O592" i="1" s="1"/>
  <c r="O27" i="1"/>
  <c r="H27" i="1027"/>
  <c r="K98" i="83"/>
  <c r="F16" i="1027"/>
  <c r="AF16" i="83"/>
  <c r="K103" i="83"/>
  <c r="BR56" i="83"/>
  <c r="R23" i="83"/>
  <c r="BP56" i="83"/>
  <c r="AI37" i="83"/>
  <c r="V89" i="83"/>
  <c r="F15" i="1027"/>
  <c r="BM56" i="83"/>
  <c r="H12" i="2"/>
  <c r="BT56" i="83"/>
  <c r="S98" i="83"/>
  <c r="M4" i="83"/>
  <c r="K99" i="83"/>
  <c r="K102" i="83" s="1"/>
  <c r="F13" i="3" s="1"/>
  <c r="V88" i="83"/>
  <c r="BQ56" i="83"/>
  <c r="AI35" i="83"/>
  <c r="AI50" i="83" s="1"/>
  <c r="BS56" i="83"/>
  <c r="BU56" i="83"/>
  <c r="BO56" i="83"/>
  <c r="J36" i="83"/>
  <c r="R26" i="83"/>
  <c r="V90" i="83"/>
  <c r="X50" i="33252"/>
  <c r="AI36" i="83"/>
  <c r="K100" i="83"/>
  <c r="BR6" i="83"/>
  <c r="S45" i="83"/>
  <c r="G17" i="3"/>
  <c r="J57" i="83"/>
  <c r="BR57" i="83"/>
  <c r="BM57" i="83"/>
  <c r="BS6" i="83"/>
  <c r="L103" i="83"/>
  <c r="BQ57" i="83"/>
  <c r="N27" i="83"/>
  <c r="G16" i="1027"/>
  <c r="O4" i="83"/>
  <c r="G15" i="1027"/>
  <c r="L98" i="83"/>
  <c r="AK35" i="83"/>
  <c r="AK50" i="83" s="1"/>
  <c r="V473" i="1"/>
  <c r="AJ473" i="1"/>
  <c r="BW28" i="83"/>
  <c r="C21" i="3" s="1"/>
  <c r="F18" i="3"/>
  <c r="J19" i="3"/>
  <c r="E51" i="83"/>
  <c r="J48" i="83"/>
  <c r="G51" i="83"/>
  <c r="J42" i="83"/>
  <c r="J47" i="83"/>
  <c r="J35" i="83"/>
  <c r="G4" i="83"/>
  <c r="J43" i="83"/>
  <c r="J49" i="83"/>
  <c r="J54" i="83"/>
  <c r="E4" i="83"/>
  <c r="C4" i="2960"/>
  <c r="B5" i="105"/>
  <c r="R464" i="1"/>
  <c r="J56" i="83"/>
  <c r="J18" i="3"/>
  <c r="AJ27" i="1"/>
  <c r="AJ139" i="1"/>
  <c r="AJ146" i="1" s="1"/>
  <c r="J55" i="83"/>
  <c r="B129" i="33252"/>
  <c r="D51" i="83"/>
  <c r="BF23" i="83"/>
  <c r="Q24" i="105"/>
  <c r="I20" i="83"/>
  <c r="B36" i="1027"/>
  <c r="B39" i="3"/>
  <c r="I19" i="83"/>
  <c r="AQ5" i="83" s="1"/>
  <c r="BV12" i="83"/>
  <c r="BQ18" i="83"/>
  <c r="BP11" i="83"/>
  <c r="BR16" i="83"/>
  <c r="BU21" i="83"/>
  <c r="I12" i="83"/>
  <c r="BV13" i="83"/>
  <c r="BQ19" i="83"/>
  <c r="BP12" i="83"/>
  <c r="BR17" i="83"/>
  <c r="BU22" i="83"/>
  <c r="V26" i="105"/>
  <c r="C116" i="33252"/>
  <c r="U26" i="105"/>
  <c r="O13" i="105"/>
  <c r="B49" i="1027"/>
  <c r="B25" i="105"/>
  <c r="BF25" i="83"/>
  <c r="V25" i="105"/>
  <c r="BU15" i="83"/>
  <c r="G23" i="2"/>
  <c r="B32" i="2"/>
  <c r="I13" i="83"/>
  <c r="BQ14" i="83"/>
  <c r="BS19" i="83"/>
  <c r="BR12" i="83"/>
  <c r="BU17" i="83"/>
  <c r="O24" i="105"/>
  <c r="I21" i="83"/>
  <c r="I96" i="83" s="1"/>
  <c r="BQ15" i="83"/>
  <c r="BS20" i="83"/>
  <c r="BR13" i="83"/>
  <c r="BU18" i="83"/>
  <c r="N25" i="105"/>
  <c r="BH8" i="83"/>
  <c r="P24" i="105"/>
  <c r="O26" i="105"/>
  <c r="BU57" i="83"/>
  <c r="BT57" i="83"/>
  <c r="BH26" i="83"/>
  <c r="B24" i="2" s="1"/>
  <c r="AJ503" i="1"/>
  <c r="E27" i="1027"/>
  <c r="E32" i="1027" s="1"/>
  <c r="K68" i="2960"/>
  <c r="AC167" i="1"/>
  <c r="AC172" i="1" s="1"/>
  <c r="AC181" i="1"/>
  <c r="AC186" i="1" s="1"/>
  <c r="AC531" i="1"/>
  <c r="AC536" i="1" s="1"/>
  <c r="AC279" i="1"/>
  <c r="AC284" i="1" s="1"/>
  <c r="AC265" i="1"/>
  <c r="AC270" i="1" s="1"/>
  <c r="AC601" i="1"/>
  <c r="AC587" i="1"/>
  <c r="AC592" i="1" s="1"/>
  <c r="O69" i="1"/>
  <c r="AC111" i="1"/>
  <c r="AC118" i="1" s="1"/>
  <c r="AJ349" i="1"/>
  <c r="AJ354" i="1" s="1"/>
  <c r="BK53" i="33252"/>
  <c r="BZ39" i="83"/>
  <c r="BO38" i="33252"/>
  <c r="H64" i="3"/>
  <c r="O44" i="83"/>
  <c r="C8" i="1027"/>
  <c r="D25" i="2"/>
  <c r="L14" i="33252"/>
  <c r="BR28" i="83"/>
  <c r="E66" i="3"/>
  <c r="E60" i="3" s="1"/>
  <c r="C30" i="33252"/>
  <c r="P9" i="33252"/>
  <c r="J70" i="83"/>
  <c r="BZ37" i="83"/>
  <c r="O83" i="1"/>
  <c r="O139" i="1"/>
  <c r="O146" i="1" s="1"/>
  <c r="O251" i="1"/>
  <c r="O256" i="1" s="1"/>
  <c r="O279" i="1"/>
  <c r="O284" i="1" s="1"/>
  <c r="O307" i="1"/>
  <c r="O312" i="1" s="1"/>
  <c r="O335" i="1"/>
  <c r="O340" i="1" s="1"/>
  <c r="O377" i="1"/>
  <c r="O382" i="1" s="1"/>
  <c r="O405" i="1"/>
  <c r="O410" i="1" s="1"/>
  <c r="O41" i="1"/>
  <c r="O153" i="1"/>
  <c r="O160" i="1" s="1"/>
  <c r="O293" i="1"/>
  <c r="O298" i="1" s="1"/>
  <c r="O447" i="1"/>
  <c r="O503" i="1"/>
  <c r="O545" i="1"/>
  <c r="O550" i="1" s="1"/>
  <c r="O629" i="1"/>
  <c r="O634" i="1" s="1"/>
  <c r="AJ489" i="1"/>
  <c r="AJ559" i="1"/>
  <c r="AJ564" i="1" s="1"/>
  <c r="AC629" i="1"/>
  <c r="AC634" i="1" s="1"/>
  <c r="AC573" i="1"/>
  <c r="AC578" i="1" s="1"/>
  <c r="AC503" i="1"/>
  <c r="AC433" i="1"/>
  <c r="AC349" i="1"/>
  <c r="AC354" i="1" s="1"/>
  <c r="AC209" i="1"/>
  <c r="AC125" i="1"/>
  <c r="AC13" i="1"/>
  <c r="I39" i="2960" s="1"/>
  <c r="C27" i="1027" s="1"/>
  <c r="AC335" i="1"/>
  <c r="AC340" i="1" s="1"/>
  <c r="AC223" i="1"/>
  <c r="O643" i="1"/>
  <c r="O648" i="1" s="1"/>
  <c r="O55" i="1"/>
  <c r="O167" i="1"/>
  <c r="O172" i="1" s="1"/>
  <c r="O223" i="1"/>
  <c r="O209" i="1"/>
  <c r="O433" i="1"/>
  <c r="V335" i="1"/>
  <c r="V340" i="1" s="1"/>
  <c r="AC27" i="1"/>
  <c r="AC83" i="1"/>
  <c r="AC139" i="1"/>
  <c r="AC146" i="1" s="1"/>
  <c r="AC195" i="1"/>
  <c r="AC200" i="1" s="1"/>
  <c r="AC251" i="1"/>
  <c r="AC256" i="1" s="1"/>
  <c r="AC307" i="1"/>
  <c r="AC312" i="1" s="1"/>
  <c r="AC377" i="1"/>
  <c r="AC382" i="1" s="1"/>
  <c r="AC489" i="1"/>
  <c r="AC41" i="1"/>
  <c r="AC97" i="1"/>
  <c r="AC153" i="1"/>
  <c r="AC160" i="1" s="1"/>
  <c r="AC237" i="1"/>
  <c r="AC242" i="1" s="1"/>
  <c r="AC321" i="1"/>
  <c r="AC326" i="1" s="1"/>
  <c r="AC363" i="1"/>
  <c r="AC368" i="1" s="1"/>
  <c r="AC419" i="1"/>
  <c r="AC424" i="1" s="1"/>
  <c r="AC447" i="1"/>
  <c r="AC475" i="1"/>
  <c r="AC480" i="1" s="1"/>
  <c r="AC517" i="1"/>
  <c r="AC522" i="1" s="1"/>
  <c r="AC545" i="1"/>
  <c r="AC550" i="1" s="1"/>
  <c r="AC559" i="1"/>
  <c r="AC564" i="1" s="1"/>
  <c r="AC615" i="1"/>
  <c r="AC620" i="1" s="1"/>
  <c r="AC643" i="1"/>
  <c r="AC648" i="1" s="1"/>
  <c r="AJ265" i="1"/>
  <c r="AJ270" i="1" s="1"/>
  <c r="AJ209" i="1"/>
  <c r="AJ111" i="1"/>
  <c r="AJ118" i="1" s="1"/>
  <c r="AJ335" i="1"/>
  <c r="AJ340" i="1" s="1"/>
  <c r="J7" i="3"/>
  <c r="P28" i="83"/>
  <c r="BK58" i="33252"/>
  <c r="I90" i="83"/>
  <c r="C75" i="33252"/>
  <c r="J23" i="2"/>
  <c r="BU20" i="83"/>
  <c r="BS22" i="83"/>
  <c r="BV11" i="83"/>
  <c r="BP21" i="83"/>
  <c r="BV22" i="83"/>
  <c r="BQ12" i="83"/>
  <c r="BZ38" i="83"/>
  <c r="BU28" i="83"/>
  <c r="L97" i="33252"/>
  <c r="L98" i="33252" s="1"/>
  <c r="BN37" i="83" s="1"/>
  <c r="BO37" i="83" s="1"/>
  <c r="AI39" i="83"/>
  <c r="F26" i="3" s="1"/>
  <c r="AW13" i="83"/>
  <c r="BT31" i="83"/>
  <c r="BR29" i="83"/>
  <c r="AX13" i="83"/>
  <c r="BR30" i="83"/>
  <c r="BS17" i="83"/>
  <c r="BR15" i="83"/>
  <c r="O559" i="1"/>
  <c r="O564" i="1" s="1"/>
  <c r="O517" i="1"/>
  <c r="O522" i="1" s="1"/>
  <c r="O419" i="1"/>
  <c r="O424" i="1" s="1"/>
  <c r="O363" i="1"/>
  <c r="O368" i="1" s="1"/>
  <c r="O181" i="1"/>
  <c r="O186" i="1" s="1"/>
  <c r="AE648" i="1"/>
  <c r="AE522" i="1"/>
  <c r="AG59" i="83"/>
  <c r="BN74" i="83"/>
  <c r="E9" i="1027"/>
  <c r="R97" i="83"/>
  <c r="S44" i="83"/>
  <c r="F17" i="3"/>
  <c r="BS29" i="83"/>
  <c r="F64" i="3"/>
  <c r="P99" i="83"/>
  <c r="I17" i="83"/>
  <c r="BV14" i="83"/>
  <c r="BQ20" i="83"/>
  <c r="BP13" i="83"/>
  <c r="BR18" i="83"/>
  <c r="I16" i="83"/>
  <c r="BS14" i="83"/>
  <c r="BV19" i="83"/>
  <c r="BU12" i="83"/>
  <c r="BP18" i="83"/>
  <c r="P51" i="83"/>
  <c r="P50" i="83" s="1"/>
  <c r="S99" i="83"/>
  <c r="BP57" i="83"/>
  <c r="BS57" i="83"/>
  <c r="AF17" i="83"/>
  <c r="L99" i="83"/>
  <c r="L102" i="83" s="1"/>
  <c r="G13" i="3" s="1"/>
  <c r="J37" i="83"/>
  <c r="X91" i="33252"/>
  <c r="BO57" i="83"/>
  <c r="L100" i="83"/>
  <c r="Y185" i="1"/>
  <c r="R185" i="1"/>
  <c r="O15" i="33252"/>
  <c r="O5" i="33252"/>
  <c r="E27" i="3" s="1"/>
  <c r="U65" i="83"/>
  <c r="V63" i="83"/>
  <c r="B646" i="1"/>
  <c r="O585" i="1"/>
  <c r="E586" i="1" s="1"/>
  <c r="X463" i="1"/>
  <c r="AM452" i="1"/>
  <c r="B393" i="1"/>
  <c r="B394" i="1"/>
  <c r="X396" i="1"/>
  <c r="AL396" i="1"/>
  <c r="AL371" i="1"/>
  <c r="AL354" i="1"/>
  <c r="AL357" i="1"/>
  <c r="B351" i="1"/>
  <c r="C352" i="1"/>
  <c r="AL326" i="1"/>
  <c r="Q326" i="1"/>
  <c r="C324" i="1"/>
  <c r="X284" i="1"/>
  <c r="Y227" i="1"/>
  <c r="AF227" i="1"/>
  <c r="AQ11" i="33252"/>
  <c r="AO13" i="33252"/>
  <c r="AO12" i="33252"/>
  <c r="BK88" i="33252" l="1"/>
  <c r="C20" i="1027"/>
  <c r="AW10" i="83"/>
  <c r="AW12" i="83"/>
  <c r="B26" i="3"/>
  <c r="AJ643" i="1"/>
  <c r="AJ648" i="1" s="1"/>
  <c r="AJ55" i="1"/>
  <c r="AJ153" i="1"/>
  <c r="AJ160" i="1" s="1"/>
  <c r="AJ447" i="1"/>
  <c r="AJ293" i="1"/>
  <c r="AJ298" i="1" s="1"/>
  <c r="AJ83" i="1"/>
  <c r="BT29" i="83"/>
  <c r="BM88" i="33252"/>
  <c r="B56" i="1027"/>
  <c r="AX11" i="83"/>
  <c r="AV7" i="83"/>
  <c r="AJ125" i="1"/>
  <c r="AJ13" i="1"/>
  <c r="I53" i="2960" s="1"/>
  <c r="C28" i="1027" s="1"/>
  <c r="BT28" i="83"/>
  <c r="G66" i="3"/>
  <c r="G60" i="3" s="1"/>
  <c r="J67" i="83"/>
  <c r="O42" i="83"/>
  <c r="CA37" i="83"/>
  <c r="BI88" i="33252"/>
  <c r="BT30" i="83"/>
  <c r="BR74" i="83"/>
  <c r="G64" i="3"/>
  <c r="AX6" i="83"/>
  <c r="AV12" i="83"/>
  <c r="L138" i="33252"/>
  <c r="L139" i="33252" s="1"/>
  <c r="BN38" i="83" s="1"/>
  <c r="BO38" i="83" s="1"/>
  <c r="AV6" i="83"/>
  <c r="B14" i="1027"/>
  <c r="AX10" i="83"/>
  <c r="BS28" i="83"/>
  <c r="B53" i="1027"/>
  <c r="AY8" i="83"/>
  <c r="AJ405" i="1"/>
  <c r="AJ410" i="1" s="1"/>
  <c r="AJ167" i="1"/>
  <c r="AJ172" i="1" s="1"/>
  <c r="AJ545" i="1"/>
  <c r="AJ550" i="1" s="1"/>
  <c r="AJ41" i="1"/>
  <c r="V41" i="1"/>
  <c r="AJ517" i="1"/>
  <c r="AJ522" i="1" s="1"/>
  <c r="AJ307" i="1"/>
  <c r="AJ312" i="1" s="1"/>
  <c r="AW9" i="83"/>
  <c r="P98" i="83"/>
  <c r="B18" i="1027"/>
  <c r="D62" i="3"/>
  <c r="BN88" i="33252"/>
  <c r="AW7" i="83"/>
  <c r="AM39" i="83"/>
  <c r="H26" i="3" s="1"/>
  <c r="AW11" i="83"/>
  <c r="F65" i="3"/>
  <c r="J69" i="83"/>
  <c r="G20" i="1027" s="1"/>
  <c r="B20" i="1027"/>
  <c r="AJ461" i="1"/>
  <c r="AJ475" i="1"/>
  <c r="AJ480" i="1" s="1"/>
  <c r="AJ629" i="1"/>
  <c r="AJ634" i="1" s="1"/>
  <c r="CC39" i="83"/>
  <c r="BU29" i="83"/>
  <c r="BR31" i="83"/>
  <c r="BU30" i="83"/>
  <c r="F66" i="3"/>
  <c r="F60" i="3" s="1"/>
  <c r="B31" i="1027"/>
  <c r="C153" i="33252"/>
  <c r="G65" i="3"/>
  <c r="O97" i="83"/>
  <c r="Q97" i="83" s="1"/>
  <c r="AV9" i="83"/>
  <c r="O46" i="83"/>
  <c r="C71" i="33252"/>
  <c r="AJ321" i="1"/>
  <c r="AJ326" i="1" s="1"/>
  <c r="CC37" i="83"/>
  <c r="O99" i="83"/>
  <c r="L56" i="33252"/>
  <c r="L57" i="33252" s="1"/>
  <c r="BN36" i="83" s="1"/>
  <c r="BO36" i="83" s="1"/>
  <c r="CB37" i="83"/>
  <c r="AX9" i="83"/>
  <c r="L55" i="33252"/>
  <c r="AJ279" i="1"/>
  <c r="AJ284" i="1" s="1"/>
  <c r="AJ69" i="1"/>
  <c r="AJ587" i="1"/>
  <c r="AJ592" i="1" s="1"/>
  <c r="B55" i="1027"/>
  <c r="BJ88" i="33252"/>
  <c r="CB38" i="83"/>
  <c r="O43" i="83"/>
  <c r="H65" i="3"/>
  <c r="J68" i="83"/>
  <c r="AV8" i="83"/>
  <c r="AZ8" i="83" s="1"/>
  <c r="AJ531" i="1"/>
  <c r="AJ536" i="1" s="1"/>
  <c r="P48" i="33252"/>
  <c r="G58" i="33252" s="1"/>
  <c r="BL88" i="33252"/>
  <c r="G62" i="3"/>
  <c r="BS30" i="83"/>
  <c r="AJ433" i="1"/>
  <c r="B11" i="1027"/>
  <c r="P7" i="33252"/>
  <c r="G10" i="33252" s="1"/>
  <c r="L96" i="33252"/>
  <c r="O45" i="83"/>
  <c r="AX8" i="83"/>
  <c r="AW6" i="83"/>
  <c r="CB39" i="83"/>
  <c r="AV11" i="83"/>
  <c r="AG39" i="83"/>
  <c r="AX7" i="83"/>
  <c r="L15" i="33252"/>
  <c r="L16" i="33252" s="1"/>
  <c r="BN35" i="83" s="1"/>
  <c r="BO35" i="83" s="1"/>
  <c r="B54" i="1027"/>
  <c r="AJ615" i="1"/>
  <c r="AJ620" i="1" s="1"/>
  <c r="AJ223" i="1"/>
  <c r="AL228" i="1" s="1"/>
  <c r="AJ573" i="1"/>
  <c r="AJ578" i="1" s="1"/>
  <c r="AJ97" i="1"/>
  <c r="AJ601" i="1"/>
  <c r="V111" i="1"/>
  <c r="V118" i="1" s="1"/>
  <c r="AJ181" i="1"/>
  <c r="AJ186" i="1" s="1"/>
  <c r="AJ195" i="1"/>
  <c r="AJ200" i="1" s="1"/>
  <c r="V643" i="1"/>
  <c r="V648" i="1" s="1"/>
  <c r="AX12" i="83"/>
  <c r="BL63" i="83"/>
  <c r="CA38" i="83"/>
  <c r="B59" i="3"/>
  <c r="E65" i="3"/>
  <c r="AW8" i="83"/>
  <c r="AV10" i="83"/>
  <c r="O98" i="83"/>
  <c r="Q98" i="83" s="1"/>
  <c r="BJ26" i="83"/>
  <c r="B51" i="1027"/>
  <c r="AK39" i="83"/>
  <c r="G26" i="3" s="1"/>
  <c r="AJ391" i="1"/>
  <c r="AJ396" i="1" s="1"/>
  <c r="V433" i="1"/>
  <c r="CA39" i="83"/>
  <c r="P97" i="83"/>
  <c r="H66" i="3"/>
  <c r="H60" i="3" s="1"/>
  <c r="E62" i="3"/>
  <c r="H62" i="3"/>
  <c r="BX39" i="33252"/>
  <c r="BS31" i="83"/>
  <c r="CC38" i="83"/>
  <c r="G55" i="1027"/>
  <c r="G18" i="2"/>
  <c r="J17" i="2"/>
  <c r="B62" i="3"/>
  <c r="B52" i="1027"/>
  <c r="V517" i="1"/>
  <c r="V522" i="1" s="1"/>
  <c r="V237" i="1"/>
  <c r="V242" i="1" s="1"/>
  <c r="V13" i="1"/>
  <c r="I25" i="2960" s="1"/>
  <c r="C26" i="1027" s="1"/>
  <c r="V251" i="1"/>
  <c r="V256" i="1" s="1"/>
  <c r="D21" i="3"/>
  <c r="V447" i="1"/>
  <c r="AU11" i="33252"/>
  <c r="H11" i="33252" s="1"/>
  <c r="AR13" i="33252"/>
  <c r="AP12" i="33252"/>
  <c r="AS10" i="33252"/>
  <c r="AW12" i="33252"/>
  <c r="AR10" i="33252"/>
  <c r="AS12" i="33252"/>
  <c r="AT11" i="33252"/>
  <c r="AQ12" i="33252"/>
  <c r="AW11" i="33252"/>
  <c r="AS11" i="33252"/>
  <c r="AT12" i="33252"/>
  <c r="AW10" i="33252"/>
  <c r="AV13" i="33252"/>
  <c r="AU12" i="33252"/>
  <c r="AV11" i="33252"/>
  <c r="AU13" i="33252"/>
  <c r="AT10" i="33252"/>
  <c r="AV10" i="33252"/>
  <c r="AU10" i="33252"/>
  <c r="AV12" i="33252"/>
  <c r="AS13" i="33252"/>
  <c r="AP10" i="33252"/>
  <c r="AR12" i="33252"/>
  <c r="AP13" i="33252"/>
  <c r="AO11" i="33252"/>
  <c r="AP11" i="33252"/>
  <c r="AQ10" i="33252"/>
  <c r="AT13" i="33252"/>
  <c r="AO10" i="33252"/>
  <c r="H9" i="33252" s="1"/>
  <c r="AQ13" i="33252"/>
  <c r="AW13" i="33252"/>
  <c r="H32" i="1027"/>
  <c r="V321" i="1"/>
  <c r="V326" i="1" s="1"/>
  <c r="E628" i="1"/>
  <c r="V489" i="1"/>
  <c r="V223" i="1"/>
  <c r="Y228" i="1" s="1"/>
  <c r="V601" i="1"/>
  <c r="V419" i="1"/>
  <c r="V424" i="1" s="1"/>
  <c r="V405" i="1"/>
  <c r="V410" i="1" s="1"/>
  <c r="AC293" i="1"/>
  <c r="AC298" i="1" s="1"/>
  <c r="V195" i="1"/>
  <c r="V200" i="1" s="1"/>
  <c r="V573" i="1"/>
  <c r="V578" i="1" s="1"/>
  <c r="V153" i="1"/>
  <c r="V160" i="1" s="1"/>
  <c r="V83" i="1"/>
  <c r="V503" i="1"/>
  <c r="U30" i="105"/>
  <c r="P30" i="105" s="1"/>
  <c r="P52" i="105" s="1"/>
  <c r="K52" i="105" s="1"/>
  <c r="V27" i="1"/>
  <c r="V587" i="1"/>
  <c r="V592" i="1" s="1"/>
  <c r="V461" i="1"/>
  <c r="V307" i="1"/>
  <c r="V312" i="1" s="1"/>
  <c r="V55" i="1"/>
  <c r="V209" i="1"/>
  <c r="V214" i="1" s="1"/>
  <c r="V559" i="1"/>
  <c r="V564" i="1" s="1"/>
  <c r="V293" i="1"/>
  <c r="V298" i="1" s="1"/>
  <c r="V265" i="1"/>
  <c r="V270" i="1" s="1"/>
  <c r="V377" i="1"/>
  <c r="V382" i="1" s="1"/>
  <c r="V279" i="1"/>
  <c r="V284" i="1" s="1"/>
  <c r="V167" i="1"/>
  <c r="V172" i="1" s="1"/>
  <c r="V545" i="1"/>
  <c r="V550" i="1" s="1"/>
  <c r="V97" i="1"/>
  <c r="V125" i="1"/>
  <c r="V615" i="1"/>
  <c r="V620" i="1" s="1"/>
  <c r="V181" i="1"/>
  <c r="V186" i="1" s="1"/>
  <c r="V349" i="1"/>
  <c r="V354" i="1" s="1"/>
  <c r="V363" i="1"/>
  <c r="V368" i="1" s="1"/>
  <c r="V531" i="1"/>
  <c r="V536" i="1" s="1"/>
  <c r="V629" i="1"/>
  <c r="V634" i="1" s="1"/>
  <c r="V69" i="1"/>
  <c r="E642" i="1"/>
  <c r="AJ251" i="1"/>
  <c r="AJ256" i="1" s="1"/>
  <c r="AJ363" i="1"/>
  <c r="AJ368" i="1" s="1"/>
  <c r="AJ237" i="1"/>
  <c r="AJ242" i="1" s="1"/>
  <c r="AJ377" i="1"/>
  <c r="AJ382" i="1" s="1"/>
  <c r="AG50" i="83"/>
  <c r="AG38" i="83"/>
  <c r="E12" i="3"/>
  <c r="E8" i="1027"/>
  <c r="Y10" i="33252"/>
  <c r="AO14" i="33252" s="1" a="1"/>
  <c r="Z10" i="33252"/>
  <c r="L9" i="33252"/>
  <c r="H38" i="1027"/>
  <c r="J60" i="83"/>
  <c r="F38" i="1027"/>
  <c r="I86" i="83"/>
  <c r="I89" i="83"/>
  <c r="BK54" i="33252"/>
  <c r="H9" i="1027"/>
  <c r="S30" i="105"/>
  <c r="N30" i="105" s="1"/>
  <c r="N52" i="105" s="1"/>
  <c r="J62" i="83"/>
  <c r="H20" i="1027"/>
  <c r="V30" i="105"/>
  <c r="Q30" i="105" s="1"/>
  <c r="Q52" i="105" s="1"/>
  <c r="L52" i="105" s="1"/>
  <c r="I93" i="83"/>
  <c r="BK61" i="33252"/>
  <c r="F20" i="1027"/>
  <c r="BK64" i="33252"/>
  <c r="E20" i="1027"/>
  <c r="J61" i="83"/>
  <c r="O30" i="105"/>
  <c r="O52" i="105" s="1"/>
  <c r="J52" i="105" s="1"/>
  <c r="B21" i="3"/>
  <c r="B38" i="1027"/>
  <c r="AS5" i="83"/>
  <c r="AL5" i="83"/>
  <c r="P100" i="83"/>
  <c r="AY11" i="83"/>
  <c r="BP58" i="83"/>
  <c r="BP59" i="83" s="1"/>
  <c r="AY9" i="83"/>
  <c r="AC57" i="83"/>
  <c r="Y58" i="83"/>
  <c r="K52" i="2960"/>
  <c r="AC56" i="83"/>
  <c r="K24" i="2960"/>
  <c r="Y55" i="83"/>
  <c r="K38" i="2960"/>
  <c r="K10" i="2960"/>
  <c r="Y56" i="83"/>
  <c r="AC55" i="83"/>
  <c r="Y57" i="83"/>
  <c r="AC58" i="83"/>
  <c r="BK56" i="33252"/>
  <c r="I88" i="83"/>
  <c r="AK5" i="83"/>
  <c r="O100" i="83"/>
  <c r="Q100" i="83" s="1"/>
  <c r="AJ5" i="83"/>
  <c r="I87" i="83"/>
  <c r="BK55" i="33252"/>
  <c r="M28" i="83"/>
  <c r="G8" i="1027"/>
  <c r="G12" i="3"/>
  <c r="I95" i="83"/>
  <c r="AR5" i="83"/>
  <c r="BK63" i="33252"/>
  <c r="G9" i="1027"/>
  <c r="R99" i="83"/>
  <c r="Y50" i="33252"/>
  <c r="AO51" i="33252" s="1" a="1"/>
  <c r="P46" i="33252"/>
  <c r="P50" i="33252"/>
  <c r="Z50" i="33252"/>
  <c r="L53" i="33252"/>
  <c r="L52" i="33252" s="1"/>
  <c r="F8" i="1027"/>
  <c r="Q24" i="83"/>
  <c r="F12" i="3"/>
  <c r="I94" i="83"/>
  <c r="BK62" i="33252"/>
  <c r="E19" i="3"/>
  <c r="H19" i="3"/>
  <c r="J35" i="3"/>
  <c r="G19" i="3"/>
  <c r="N3" i="83"/>
  <c r="F19" i="3"/>
  <c r="Q1" i="83"/>
  <c r="AI38" i="83"/>
  <c r="AK38" i="83"/>
  <c r="E55" i="3"/>
  <c r="J55" i="3" s="1"/>
  <c r="I42" i="3"/>
  <c r="I20" i="3"/>
  <c r="E63" i="3"/>
  <c r="J63" i="3" s="1"/>
  <c r="E54" i="3"/>
  <c r="J54" i="3" s="1"/>
  <c r="K11" i="2960"/>
  <c r="K25" i="2960" s="1"/>
  <c r="K39" i="2960" s="1"/>
  <c r="K53" i="2960" s="1"/>
  <c r="R39" i="83"/>
  <c r="Q39" i="83" s="1"/>
  <c r="AJ228" i="1"/>
  <c r="AM228" i="1"/>
  <c r="AJ214" i="1"/>
  <c r="AJ216" i="1"/>
  <c r="AM214" i="1"/>
  <c r="AL214" i="1"/>
  <c r="R214" i="1"/>
  <c r="Q214" i="1"/>
  <c r="O216" i="1"/>
  <c r="O214" i="1"/>
  <c r="AC228" i="1"/>
  <c r="AC230" i="1"/>
  <c r="AF228" i="1"/>
  <c r="AE228" i="1"/>
  <c r="AC216" i="1"/>
  <c r="AC214" i="1"/>
  <c r="AE214" i="1"/>
  <c r="AF214" i="1"/>
  <c r="N5" i="33252"/>
  <c r="N7" i="33252"/>
  <c r="N11" i="33252"/>
  <c r="N8" i="33252"/>
  <c r="N10" i="33252"/>
  <c r="N15" i="33252"/>
  <c r="N12" i="33252"/>
  <c r="N9" i="33252"/>
  <c r="N6" i="33252"/>
  <c r="N14" i="33252"/>
  <c r="N13" i="33252"/>
  <c r="N16" i="33252"/>
  <c r="G54" i="33252"/>
  <c r="CA40" i="83"/>
  <c r="G69" i="33252"/>
  <c r="B76" i="33252"/>
  <c r="X132" i="33252"/>
  <c r="BT6" i="83"/>
  <c r="BV6" i="83" s="1"/>
  <c r="BM58" i="83"/>
  <c r="M99" i="83"/>
  <c r="M102" i="83" s="1"/>
  <c r="H13" i="3" s="1"/>
  <c r="AF18" i="83"/>
  <c r="J38" i="83"/>
  <c r="X90" i="83"/>
  <c r="AM37" i="83"/>
  <c r="M103" i="83"/>
  <c r="N103" i="83" s="1"/>
  <c r="R30" i="83"/>
  <c r="H15" i="1027"/>
  <c r="BU58" i="83"/>
  <c r="BS58" i="83"/>
  <c r="Q4" i="83"/>
  <c r="BR58" i="83"/>
  <c r="AM35" i="83"/>
  <c r="AM50" i="83" s="1"/>
  <c r="M100" i="83"/>
  <c r="J12" i="2"/>
  <c r="BT58" i="83"/>
  <c r="H16" i="1027"/>
  <c r="X88" i="83"/>
  <c r="AM36" i="83"/>
  <c r="BO58" i="83"/>
  <c r="D12" i="2" s="1"/>
  <c r="AY10" i="83"/>
  <c r="AY13" i="83"/>
  <c r="AZ13" i="83" s="1"/>
  <c r="S22" i="83"/>
  <c r="S1" i="83"/>
  <c r="S3" i="83"/>
  <c r="S5" i="83"/>
  <c r="S2" i="83"/>
  <c r="S4" i="83"/>
  <c r="Q6" i="83" s="1"/>
  <c r="J44" i="83"/>
  <c r="R27" i="83"/>
  <c r="M98" i="83"/>
  <c r="X89" i="83"/>
  <c r="B28" i="3"/>
  <c r="S100" i="83"/>
  <c r="BQ58" i="83"/>
  <c r="AY7" i="83"/>
  <c r="BT3" i="83"/>
  <c r="AY6" i="83"/>
  <c r="AZ6" i="83" s="1"/>
  <c r="AY12" i="83"/>
  <c r="V230" i="1"/>
  <c r="V228" i="1"/>
  <c r="V216" i="1"/>
  <c r="X214" i="1"/>
  <c r="O228" i="1"/>
  <c r="O230" i="1"/>
  <c r="Q228" i="1"/>
  <c r="R228" i="1"/>
  <c r="G63" i="33252"/>
  <c r="V463" i="1"/>
  <c r="Y464" i="1"/>
  <c r="I91" i="83"/>
  <c r="AN5" i="83"/>
  <c r="BK59" i="33252"/>
  <c r="BK60" i="33252"/>
  <c r="I92" i="83"/>
  <c r="AO5" i="83"/>
  <c r="B35" i="33252"/>
  <c r="G28" i="33252"/>
  <c r="BZ40" i="83"/>
  <c r="F9" i="1027"/>
  <c r="R98" i="83"/>
  <c r="Y91" i="33252"/>
  <c r="AO92" i="33252" s="1" a="1"/>
  <c r="L94" i="33252"/>
  <c r="L93" i="33252" s="1"/>
  <c r="P87" i="33252"/>
  <c r="Z91" i="33252"/>
  <c r="P89" i="33252"/>
  <c r="P91" i="33252"/>
  <c r="Q99" i="83"/>
  <c r="B48" i="3" l="1"/>
  <c r="B42" i="1027" s="1"/>
  <c r="C48" i="3"/>
  <c r="AZ10" i="83"/>
  <c r="C50" i="3" s="1"/>
  <c r="AZ11" i="83"/>
  <c r="G17" i="33252"/>
  <c r="G22" i="33252"/>
  <c r="Y214" i="1"/>
  <c r="X228" i="1"/>
  <c r="AZ12" i="83"/>
  <c r="AJ230" i="1"/>
  <c r="AZ9" i="83"/>
  <c r="B49" i="3" s="1"/>
  <c r="B43" i="1027" s="1"/>
  <c r="C43" i="1027" s="1"/>
  <c r="G13" i="33252"/>
  <c r="AZ7" i="83"/>
  <c r="AR31" i="33252"/>
  <c r="AO19" i="33252"/>
  <c r="B19" i="33252" s="1"/>
  <c r="AP24" i="33252"/>
  <c r="AW14" i="33252"/>
  <c r="AR42" i="33252"/>
  <c r="AS40" i="33252"/>
  <c r="AV38" i="33252"/>
  <c r="P29" i="33252" s="1"/>
  <c r="AQ41" i="33252"/>
  <c r="AR33" i="33252"/>
  <c r="AV15" i="33252"/>
  <c r="AQ24" i="33252"/>
  <c r="AO34" i="33252"/>
  <c r="M18" i="33252" s="1"/>
  <c r="M20" i="33252" s="1"/>
  <c r="H17" i="33252" s="1"/>
  <c r="AU43" i="33252"/>
  <c r="O30" i="33252" s="1"/>
  <c r="AS43" i="33252"/>
  <c r="AP19" i="33252"/>
  <c r="AP40" i="33252"/>
  <c r="AP28" i="33252"/>
  <c r="AU20" i="33252"/>
  <c r="AV37" i="33252"/>
  <c r="P28" i="33252" s="1"/>
  <c r="AR43" i="33252"/>
  <c r="AR23" i="33252"/>
  <c r="AR15" i="33252"/>
  <c r="AT35" i="33252"/>
  <c r="AU34" i="33252"/>
  <c r="AR18" i="33252"/>
  <c r="AP34" i="33252"/>
  <c r="M25" i="33252" s="1"/>
  <c r="M26" i="33252" s="1"/>
  <c r="Y22" i="33252" s="1"/>
  <c r="AC22" i="33252" s="1"/>
  <c r="AP21" i="33252"/>
  <c r="AT28" i="33252"/>
  <c r="AO29" i="33252"/>
  <c r="AR35" i="33252"/>
  <c r="AW22" i="33252"/>
  <c r="AU41" i="33252"/>
  <c r="O28" i="33252" s="1"/>
  <c r="E30" i="3" s="1"/>
  <c r="AU21" i="33252"/>
  <c r="AP36" i="33252"/>
  <c r="AQ17" i="33252"/>
  <c r="AU35" i="33252"/>
  <c r="AR29" i="33252"/>
  <c r="AR37" i="33252"/>
  <c r="N31" i="33252" s="1"/>
  <c r="AS36" i="33252"/>
  <c r="AO21" i="33252"/>
  <c r="B21" i="33252" s="1"/>
  <c r="AW25" i="33252"/>
  <c r="AO33" i="33252"/>
  <c r="AO40" i="33252"/>
  <c r="N20" i="33252" s="1"/>
  <c r="AQ29" i="33252"/>
  <c r="AV41" i="33252"/>
  <c r="AV17" i="33252"/>
  <c r="AP27" i="33252"/>
  <c r="AW16" i="33252"/>
  <c r="AW40" i="33252"/>
  <c r="AT20" i="33252"/>
  <c r="AP22" i="33252"/>
  <c r="AU14" i="33252"/>
  <c r="AR32" i="33252"/>
  <c r="AV30" i="33252"/>
  <c r="AT18" i="33252"/>
  <c r="AQ14" i="33252"/>
  <c r="AR16" i="33252"/>
  <c r="AO16" i="33252"/>
  <c r="B16" i="33252" s="1"/>
  <c r="AR39" i="33252"/>
  <c r="AT23" i="33252"/>
  <c r="AW29" i="33252"/>
  <c r="AT31" i="33252"/>
  <c r="AR24" i="33252"/>
  <c r="AV19" i="33252"/>
  <c r="AT42" i="33252"/>
  <c r="AQ16" i="33252"/>
  <c r="AV34" i="33252"/>
  <c r="AS21" i="33252"/>
  <c r="AU15" i="33252"/>
  <c r="AW33" i="33252"/>
  <c r="AU19" i="33252"/>
  <c r="AU25" i="33252"/>
  <c r="AR14" i="33252"/>
  <c r="AR25" i="33252"/>
  <c r="AS25" i="33252"/>
  <c r="AS34" i="33252"/>
  <c r="M35" i="33252" s="1"/>
  <c r="M36" i="33252" s="1"/>
  <c r="H28" i="33252" s="1"/>
  <c r="AT36" i="33252"/>
  <c r="AO30" i="33252"/>
  <c r="AQ36" i="33252"/>
  <c r="AW35" i="33252"/>
  <c r="AU40" i="33252"/>
  <c r="AU26" i="33252"/>
  <c r="AU32" i="33252"/>
  <c r="AQ43" i="33252"/>
  <c r="AW26" i="33252"/>
  <c r="AR26" i="33252"/>
  <c r="AP15" i="33252"/>
  <c r="AS29" i="33252"/>
  <c r="AR34" i="33252"/>
  <c r="M32" i="33252" s="1"/>
  <c r="M33" i="33252" s="1"/>
  <c r="AU28" i="33252"/>
  <c r="AT34" i="33252"/>
  <c r="AS19" i="33252"/>
  <c r="AU22" i="33252"/>
  <c r="AT43" i="33252"/>
  <c r="AO22" i="33252"/>
  <c r="AV23" i="33252"/>
  <c r="AV14" i="33252"/>
  <c r="AS26" i="33252"/>
  <c r="AW41" i="33252"/>
  <c r="AW17" i="33252"/>
  <c r="AP37" i="33252"/>
  <c r="N24" i="33252" s="1"/>
  <c r="AV20" i="33252"/>
  <c r="AS28" i="33252"/>
  <c r="AS16" i="33252"/>
  <c r="AU23" i="33252"/>
  <c r="AT41" i="33252"/>
  <c r="AQ31" i="33252"/>
  <c r="AO26" i="33252"/>
  <c r="AP38" i="33252"/>
  <c r="N25" i="33252" s="1"/>
  <c r="AQ34" i="33252"/>
  <c r="M29" i="33252" s="1"/>
  <c r="M30" i="33252" s="1"/>
  <c r="AT15" i="33252"/>
  <c r="AT22" i="33252"/>
  <c r="AT30" i="33252"/>
  <c r="G30" i="33252" s="1"/>
  <c r="AT19" i="33252"/>
  <c r="AO31" i="33252"/>
  <c r="AS39" i="33252"/>
  <c r="AU18" i="33252"/>
  <c r="AT38" i="33252"/>
  <c r="AW21" i="33252"/>
  <c r="AP35" i="33252"/>
  <c r="AW43" i="33252"/>
  <c r="AT26" i="33252"/>
  <c r="AO27" i="33252"/>
  <c r="AS30" i="33252"/>
  <c r="AV21" i="33252"/>
  <c r="AO37" i="33252"/>
  <c r="N17" i="33252" s="1"/>
  <c r="AT33" i="33252"/>
  <c r="AU33" i="33252"/>
  <c r="AU24" i="33252"/>
  <c r="AV40" i="33252"/>
  <c r="AR19" i="33252"/>
  <c r="AV39" i="33252"/>
  <c r="P30" i="33252" s="1"/>
  <c r="AQ30" i="33252"/>
  <c r="AW37" i="33252"/>
  <c r="AP32" i="33252"/>
  <c r="AV26" i="33252"/>
  <c r="AP14" i="33252"/>
  <c r="AP26" i="33252"/>
  <c r="AT37" i="33252"/>
  <c r="M27" i="33252" s="1"/>
  <c r="AU30" i="33252"/>
  <c r="AQ37" i="33252"/>
  <c r="N28" i="33252" s="1"/>
  <c r="AO38" i="33252"/>
  <c r="N18" i="33252" s="1"/>
  <c r="AU31" i="33252"/>
  <c r="AU42" i="33252"/>
  <c r="O29" i="33252" s="1"/>
  <c r="AQ25" i="33252"/>
  <c r="AV36" i="33252"/>
  <c r="AU16" i="33252"/>
  <c r="AQ15" i="33252"/>
  <c r="AW19" i="33252"/>
  <c r="AP42" i="33252"/>
  <c r="AQ39" i="33252"/>
  <c r="N30" i="33252" s="1"/>
  <c r="AW15" i="33252"/>
  <c r="AS17" i="33252"/>
  <c r="AV27" i="33252"/>
  <c r="AV35" i="33252"/>
  <c r="AS22" i="33252"/>
  <c r="AV16" i="33252"/>
  <c r="AP20" i="33252"/>
  <c r="AS20" i="33252"/>
  <c r="AQ27" i="33252"/>
  <c r="AV32" i="33252"/>
  <c r="AW34" i="33252"/>
  <c r="AS18" i="33252"/>
  <c r="AV29" i="33252"/>
  <c r="I29" i="33252" s="1"/>
  <c r="AS41" i="33252"/>
  <c r="AW38" i="33252"/>
  <c r="AO15" i="33252"/>
  <c r="B15" i="33252" s="1"/>
  <c r="AP23" i="33252"/>
  <c r="AP30" i="33252"/>
  <c r="AV31" i="33252"/>
  <c r="AQ40" i="33252"/>
  <c r="AQ32" i="33252"/>
  <c r="AQ19" i="33252"/>
  <c r="AV18" i="33252"/>
  <c r="AS15" i="33252"/>
  <c r="AQ18" i="33252"/>
  <c r="AU39" i="33252"/>
  <c r="AT40" i="33252"/>
  <c r="AW30" i="33252"/>
  <c r="AU29" i="33252"/>
  <c r="H29" i="33252" s="1"/>
  <c r="AT25" i="33252"/>
  <c r="AV28" i="33252"/>
  <c r="AO28" i="33252"/>
  <c r="AO42" i="33252"/>
  <c r="N22" i="33252" s="1"/>
  <c r="AQ28" i="33252"/>
  <c r="AR30" i="33252"/>
  <c r="AO35" i="33252"/>
  <c r="AS42" i="33252"/>
  <c r="AT14" i="33252"/>
  <c r="AP29" i="33252"/>
  <c r="C29" i="33252" s="1"/>
  <c r="AT16" i="33252"/>
  <c r="AU27" i="33252"/>
  <c r="AO32" i="33252"/>
  <c r="AQ33" i="33252"/>
  <c r="AU17" i="33252"/>
  <c r="AO18" i="33252"/>
  <c r="B18" i="33252" s="1"/>
  <c r="AW39" i="33252"/>
  <c r="AW18" i="33252"/>
  <c r="AO14" i="33252"/>
  <c r="H10" i="33252" s="1"/>
  <c r="AS31" i="33252"/>
  <c r="AP39" i="33252"/>
  <c r="AP16" i="33252"/>
  <c r="AT39" i="33252"/>
  <c r="AU38" i="33252"/>
  <c r="AU37" i="33252"/>
  <c r="AS37" i="33252"/>
  <c r="N34" i="33252" s="1"/>
  <c r="AW42" i="33252"/>
  <c r="AW31" i="33252"/>
  <c r="AV43" i="33252"/>
  <c r="AW27" i="33252"/>
  <c r="AR38" i="33252"/>
  <c r="N32" i="33252" s="1"/>
  <c r="AR17" i="33252"/>
  <c r="AS33" i="33252"/>
  <c r="AR21" i="33252"/>
  <c r="AQ23" i="33252"/>
  <c r="AO17" i="33252"/>
  <c r="B17" i="33252" s="1"/>
  <c r="AP31" i="33252"/>
  <c r="AS27" i="33252"/>
  <c r="AU36" i="33252"/>
  <c r="AV22" i="33252"/>
  <c r="AQ38" i="33252"/>
  <c r="N29" i="33252" s="1"/>
  <c r="AR36" i="33252"/>
  <c r="AW24" i="33252"/>
  <c r="AV24" i="33252"/>
  <c r="AW28" i="33252"/>
  <c r="AP18" i="33252"/>
  <c r="AO23" i="33252"/>
  <c r="AO36" i="33252"/>
  <c r="AR22" i="33252"/>
  <c r="AO41" i="33252"/>
  <c r="N21" i="33252" s="1"/>
  <c r="AP43" i="33252"/>
  <c r="AP41" i="33252"/>
  <c r="AP25" i="33252"/>
  <c r="AT24" i="33252"/>
  <c r="AT29" i="33252"/>
  <c r="G29" i="33252" s="1"/>
  <c r="AR28" i="33252"/>
  <c r="AO43" i="33252"/>
  <c r="N23" i="33252" s="1"/>
  <c r="AS38" i="33252"/>
  <c r="N35" i="33252" s="1"/>
  <c r="AT21" i="33252"/>
  <c r="AV42" i="33252"/>
  <c r="AP33" i="33252"/>
  <c r="AW20" i="33252"/>
  <c r="AS35" i="33252"/>
  <c r="AT32" i="33252"/>
  <c r="AR40" i="33252"/>
  <c r="O31" i="33252" s="1"/>
  <c r="E31" i="3" s="1"/>
  <c r="AS24" i="33252"/>
  <c r="AW36" i="33252"/>
  <c r="AQ21" i="33252"/>
  <c r="AO24" i="33252"/>
  <c r="AS14" i="33252"/>
  <c r="AO25" i="33252"/>
  <c r="AO20" i="33252"/>
  <c r="B20" i="33252" s="1"/>
  <c r="AO39" i="33252"/>
  <c r="N19" i="33252" s="1"/>
  <c r="AQ22" i="33252"/>
  <c r="AV25" i="33252"/>
  <c r="AQ26" i="33252"/>
  <c r="AT17" i="33252"/>
  <c r="AW32" i="33252"/>
  <c r="AQ35" i="33252"/>
  <c r="AW23" i="33252"/>
  <c r="AQ42" i="33252"/>
  <c r="AS23" i="33252"/>
  <c r="AP17" i="33252"/>
  <c r="AS32" i="33252"/>
  <c r="AR41" i="33252"/>
  <c r="O32" i="33252" s="1"/>
  <c r="AV33" i="33252"/>
  <c r="AR27" i="33252"/>
  <c r="AT27" i="33252"/>
  <c r="AR20" i="33252"/>
  <c r="AQ20" i="33252"/>
  <c r="AG49" i="83"/>
  <c r="E23" i="3" s="1"/>
  <c r="AH11" i="33252"/>
  <c r="AC12" i="33252"/>
  <c r="AG11" i="33252"/>
  <c r="AD13" i="33252"/>
  <c r="AC13" i="33252"/>
  <c r="AE13" i="33252"/>
  <c r="AD11" i="33252"/>
  <c r="J12" i="33252" s="1"/>
  <c r="AD12" i="33252"/>
  <c r="AE11" i="33252"/>
  <c r="AC11" i="33252"/>
  <c r="AE12" i="33252"/>
  <c r="AG40" i="83"/>
  <c r="E26" i="3" s="1"/>
  <c r="AG41" i="83"/>
  <c r="I52" i="105"/>
  <c r="R52" i="105"/>
  <c r="J37" i="1027" s="1"/>
  <c r="C42" i="1027"/>
  <c r="F42" i="1027"/>
  <c r="O101" i="83"/>
  <c r="AM38" i="83"/>
  <c r="AM40" i="83" s="1"/>
  <c r="C12" i="3"/>
  <c r="N53" i="33252"/>
  <c r="N48" i="33252"/>
  <c r="N49" i="33252"/>
  <c r="N50" i="33252"/>
  <c r="N55" i="33252"/>
  <c r="N57" i="33252"/>
  <c r="N47" i="33252"/>
  <c r="N51" i="33252"/>
  <c r="N52" i="33252"/>
  <c r="N46" i="33252"/>
  <c r="N54" i="33252"/>
  <c r="N56" i="33252"/>
  <c r="O48" i="33252"/>
  <c r="O55" i="33252"/>
  <c r="O51" i="33252"/>
  <c r="O53" i="33252"/>
  <c r="O46" i="33252"/>
  <c r="F27" i="3" s="1"/>
  <c r="O57" i="33252"/>
  <c r="X51" i="33252"/>
  <c r="O56" i="33252"/>
  <c r="O47" i="33252"/>
  <c r="O54" i="33252"/>
  <c r="O50" i="33252"/>
  <c r="O52" i="33252"/>
  <c r="O49" i="33252"/>
  <c r="J63" i="83"/>
  <c r="C6" i="2960"/>
  <c r="AR54" i="33252"/>
  <c r="AO54" i="33252"/>
  <c r="AS53" i="33252"/>
  <c r="AW53" i="33252"/>
  <c r="AQ53" i="33252"/>
  <c r="AW51" i="33252"/>
  <c r="AW52" i="33252"/>
  <c r="AS52" i="33252"/>
  <c r="AO53" i="33252"/>
  <c r="AR52" i="33252"/>
  <c r="E52" i="33252" s="1"/>
  <c r="AV52" i="33252"/>
  <c r="AP54" i="33252"/>
  <c r="AO52" i="33252"/>
  <c r="AR53" i="33252"/>
  <c r="AU51" i="33252"/>
  <c r="AV51" i="33252"/>
  <c r="AR51" i="33252"/>
  <c r="AQ54" i="33252"/>
  <c r="AQ51" i="33252"/>
  <c r="AP52" i="33252"/>
  <c r="AO51" i="33252"/>
  <c r="H50" i="33252" s="1"/>
  <c r="AU54" i="33252"/>
  <c r="AU52" i="33252"/>
  <c r="H52" i="33252" s="1"/>
  <c r="AS54" i="33252"/>
  <c r="AQ52" i="33252"/>
  <c r="AT51" i="33252"/>
  <c r="AW54" i="33252"/>
  <c r="AS51" i="33252"/>
  <c r="AU53" i="33252"/>
  <c r="AT54" i="33252"/>
  <c r="AP53" i="33252"/>
  <c r="AP51" i="33252"/>
  <c r="AV53" i="33252"/>
  <c r="AT52" i="33252"/>
  <c r="AV54" i="33252"/>
  <c r="AT53" i="33252"/>
  <c r="C51" i="3"/>
  <c r="B51" i="3"/>
  <c r="B45" i="1027" s="1"/>
  <c r="B50" i="3"/>
  <c r="B44" i="1027" s="1"/>
  <c r="AO50" i="83"/>
  <c r="BA13" i="83"/>
  <c r="C53" i="3" s="1"/>
  <c r="H53" i="3"/>
  <c r="B47" i="3"/>
  <c r="B41" i="1027" s="1"/>
  <c r="F41" i="1027" s="1"/>
  <c r="AE5" i="83"/>
  <c r="C47" i="3"/>
  <c r="B52" i="3"/>
  <c r="B46" i="1027" s="1"/>
  <c r="C52" i="3"/>
  <c r="B53" i="3"/>
  <c r="B47" i="1027" s="1"/>
  <c r="C47" i="1027" s="1"/>
  <c r="K5" i="83"/>
  <c r="S35" i="83" s="1"/>
  <c r="O5" i="83"/>
  <c r="S37" i="83" s="1"/>
  <c r="M5" i="83"/>
  <c r="S36" i="83" s="1"/>
  <c r="M6" i="83"/>
  <c r="O6" i="83"/>
  <c r="J8" i="1027"/>
  <c r="K6" i="83"/>
  <c r="H8" i="1027"/>
  <c r="H12" i="3"/>
  <c r="Q28" i="83"/>
  <c r="BR3" i="83"/>
  <c r="E14" i="2"/>
  <c r="BO4" i="83"/>
  <c r="AK49" i="83"/>
  <c r="G23" i="3" s="1"/>
  <c r="AK40" i="83"/>
  <c r="AK41" i="83"/>
  <c r="Q5" i="83"/>
  <c r="S38" i="83" s="1"/>
  <c r="AF6" i="83"/>
  <c r="B46" i="3" s="1"/>
  <c r="B40" i="1027" s="1"/>
  <c r="C577" i="1"/>
  <c r="B647" i="1"/>
  <c r="C255" i="1"/>
  <c r="C367" i="1"/>
  <c r="B619" i="1"/>
  <c r="C241" i="1"/>
  <c r="C451" i="1"/>
  <c r="B367" i="1"/>
  <c r="C395" i="1"/>
  <c r="C591" i="1"/>
  <c r="C325" i="1"/>
  <c r="B283" i="1"/>
  <c r="C199" i="1"/>
  <c r="C521" i="1"/>
  <c r="C143" i="1"/>
  <c r="C59" i="1"/>
  <c r="C605" i="1"/>
  <c r="C45" i="1"/>
  <c r="B227" i="1"/>
  <c r="C437" i="1"/>
  <c r="C87" i="1"/>
  <c r="B157" i="1"/>
  <c r="B549" i="1"/>
  <c r="B591" i="1"/>
  <c r="C353" i="1"/>
  <c r="B325" i="1"/>
  <c r="B73" i="1"/>
  <c r="C619" i="1"/>
  <c r="B199" i="1"/>
  <c r="B311" i="1"/>
  <c r="C31" i="1"/>
  <c r="B353" i="1"/>
  <c r="O60" i="2960"/>
  <c r="B339" i="1"/>
  <c r="C409" i="1"/>
  <c r="B213" i="1"/>
  <c r="B171" i="1"/>
  <c r="C549" i="1"/>
  <c r="C171" i="1"/>
  <c r="B521" i="1"/>
  <c r="B185" i="1"/>
  <c r="B577" i="1"/>
  <c r="B115" i="1"/>
  <c r="C129" i="1"/>
  <c r="B381" i="1"/>
  <c r="B45" i="1"/>
  <c r="B451" i="1"/>
  <c r="C647" i="1"/>
  <c r="B241" i="1"/>
  <c r="C73" i="1"/>
  <c r="C465" i="1"/>
  <c r="C185" i="1"/>
  <c r="B143" i="1"/>
  <c r="O18" i="2960"/>
  <c r="C381" i="1"/>
  <c r="B535" i="1"/>
  <c r="C339" i="1"/>
  <c r="C563" i="1"/>
  <c r="B479" i="1"/>
  <c r="C535" i="1"/>
  <c r="C297" i="1"/>
  <c r="B605" i="1"/>
  <c r="B395" i="1"/>
  <c r="B31" i="1"/>
  <c r="B269" i="1"/>
  <c r="C115" i="1"/>
  <c r="B101" i="1"/>
  <c r="B563" i="1"/>
  <c r="B59" i="1"/>
  <c r="O46" i="2960"/>
  <c r="C213" i="1"/>
  <c r="B255" i="1"/>
  <c r="C269" i="1"/>
  <c r="B87" i="1"/>
  <c r="C633" i="1"/>
  <c r="B129" i="1"/>
  <c r="B423" i="1"/>
  <c r="C227" i="1"/>
  <c r="C479" i="1"/>
  <c r="C101" i="1"/>
  <c r="B437" i="1"/>
  <c r="O32" i="2960"/>
  <c r="C283" i="1"/>
  <c r="B633" i="1"/>
  <c r="B297" i="1"/>
  <c r="C157" i="1"/>
  <c r="B465" i="1"/>
  <c r="C423" i="1"/>
  <c r="C311" i="1"/>
  <c r="B409" i="1"/>
  <c r="P128" i="33252"/>
  <c r="Y132" i="33252"/>
  <c r="AO133" i="33252" s="1" a="1"/>
  <c r="L135" i="33252"/>
  <c r="L134" i="33252" s="1"/>
  <c r="P130" i="33252"/>
  <c r="Z132" i="33252"/>
  <c r="P132" i="33252"/>
  <c r="AI49" i="83"/>
  <c r="AI40" i="83"/>
  <c r="AI41" i="83"/>
  <c r="C46" i="3"/>
  <c r="G99" i="33252"/>
  <c r="B117" i="33252"/>
  <c r="G110" i="33252"/>
  <c r="G95" i="33252"/>
  <c r="G104" i="33252"/>
  <c r="CB40" i="83"/>
  <c r="O92" i="33252"/>
  <c r="O98" i="33252"/>
  <c r="O89" i="33252"/>
  <c r="O93" i="33252"/>
  <c r="O97" i="33252"/>
  <c r="O88" i="33252"/>
  <c r="O95" i="33252"/>
  <c r="O87" i="33252"/>
  <c r="G27" i="3" s="1"/>
  <c r="O91" i="33252"/>
  <c r="O94" i="33252"/>
  <c r="O90" i="33252"/>
  <c r="X92" i="33252"/>
  <c r="O96" i="33252"/>
  <c r="AR93" i="33252"/>
  <c r="E93" i="33252" s="1"/>
  <c r="AT94" i="33252"/>
  <c r="AT92" i="33252"/>
  <c r="AQ94" i="33252"/>
  <c r="AV92" i="33252"/>
  <c r="AR92" i="33252"/>
  <c r="AS95" i="33252"/>
  <c r="AQ95" i="33252"/>
  <c r="AQ92" i="33252"/>
  <c r="AS93" i="33252"/>
  <c r="AV95" i="33252"/>
  <c r="AQ93" i="33252"/>
  <c r="AP92" i="33252"/>
  <c r="AP95" i="33252"/>
  <c r="AV93" i="33252"/>
  <c r="AO95" i="33252"/>
  <c r="AR94" i="33252"/>
  <c r="AP93" i="33252"/>
  <c r="AS92" i="33252"/>
  <c r="AO93" i="33252"/>
  <c r="AO94" i="33252"/>
  <c r="AU94" i="33252"/>
  <c r="AW95" i="33252"/>
  <c r="AW93" i="33252"/>
  <c r="AU95" i="33252"/>
  <c r="AT93" i="33252"/>
  <c r="AT95" i="33252"/>
  <c r="AV94" i="33252"/>
  <c r="AR95" i="33252"/>
  <c r="AP94" i="33252"/>
  <c r="AO92" i="33252"/>
  <c r="H91" i="33252" s="1"/>
  <c r="AU93" i="33252"/>
  <c r="H93" i="33252" s="1"/>
  <c r="AU92" i="33252"/>
  <c r="AW94" i="33252"/>
  <c r="AS94" i="33252"/>
  <c r="AW92" i="33252"/>
  <c r="N88" i="33252"/>
  <c r="N92" i="33252"/>
  <c r="N93" i="33252"/>
  <c r="N90" i="33252"/>
  <c r="N94" i="33252"/>
  <c r="N89" i="33252"/>
  <c r="N91" i="33252"/>
  <c r="N96" i="33252"/>
  <c r="N98" i="33252"/>
  <c r="N95" i="33252"/>
  <c r="N87" i="33252"/>
  <c r="N97" i="33252"/>
  <c r="F43" i="1027" l="1"/>
  <c r="C49" i="3"/>
  <c r="Y28" i="33252"/>
  <c r="AD29" i="33252" s="1"/>
  <c r="Y16" i="33252"/>
  <c r="AC16" i="33252" s="1"/>
  <c r="Y27" i="33252"/>
  <c r="AC27" i="33252" s="1"/>
  <c r="H27" i="33252"/>
  <c r="BZ36" i="83"/>
  <c r="X12" i="33252"/>
  <c r="Y12" i="33252" s="1"/>
  <c r="H26" i="33252"/>
  <c r="Y26" i="33252"/>
  <c r="AC26" i="33252" s="1"/>
  <c r="P31" i="33252" s="1"/>
  <c r="X29" i="33252" s="1"/>
  <c r="Y29" i="33252" s="1"/>
  <c r="AM49" i="83"/>
  <c r="H23" i="3" s="1"/>
  <c r="F47" i="1027"/>
  <c r="J14" i="3"/>
  <c r="AM41" i="83"/>
  <c r="S39" i="83"/>
  <c r="J27" i="3" s="1"/>
  <c r="C41" i="1027"/>
  <c r="F45" i="1027"/>
  <c r="C45" i="1027"/>
  <c r="L50" i="33252"/>
  <c r="Y51" i="33252"/>
  <c r="AO55" i="33252" s="1" a="1"/>
  <c r="Z51" i="33252"/>
  <c r="G51" i="33252"/>
  <c r="N135" i="33252"/>
  <c r="N129" i="33252"/>
  <c r="N131" i="33252"/>
  <c r="N138" i="33252"/>
  <c r="N132" i="33252"/>
  <c r="N130" i="33252"/>
  <c r="N128" i="33252"/>
  <c r="N134" i="33252"/>
  <c r="N139" i="33252"/>
  <c r="N136" i="33252"/>
  <c r="N133" i="33252"/>
  <c r="N137" i="33252"/>
  <c r="G136" i="33252"/>
  <c r="B158" i="33252"/>
  <c r="G151" i="33252"/>
  <c r="G140" i="33252"/>
  <c r="G145" i="33252"/>
  <c r="CC40" i="83"/>
  <c r="AP135" i="33252"/>
  <c r="AP133" i="33252"/>
  <c r="AR136" i="33252"/>
  <c r="AO133" i="33252"/>
  <c r="H132" i="33252" s="1"/>
  <c r="AV136" i="33252"/>
  <c r="AO135" i="33252"/>
  <c r="AS136" i="33252"/>
  <c r="AT135" i="33252"/>
  <c r="AS135" i="33252"/>
  <c r="AP136" i="33252"/>
  <c r="AU136" i="33252"/>
  <c r="AW135" i="33252"/>
  <c r="AQ136" i="33252"/>
  <c r="AO136" i="33252"/>
  <c r="AW134" i="33252"/>
  <c r="AV135" i="33252"/>
  <c r="AU135" i="33252"/>
  <c r="AW136" i="33252"/>
  <c r="AT134" i="33252"/>
  <c r="AR134" i="33252"/>
  <c r="E134" i="33252" s="1"/>
  <c r="AS133" i="33252"/>
  <c r="AT136" i="33252"/>
  <c r="AO134" i="33252"/>
  <c r="AQ135" i="33252"/>
  <c r="AU134" i="33252"/>
  <c r="H134" i="33252" s="1"/>
  <c r="AV134" i="33252"/>
  <c r="AQ133" i="33252"/>
  <c r="AT133" i="33252"/>
  <c r="AQ134" i="33252"/>
  <c r="AS134" i="33252"/>
  <c r="AR135" i="33252"/>
  <c r="AU133" i="33252"/>
  <c r="AV133" i="33252"/>
  <c r="AP134" i="33252"/>
  <c r="AR133" i="33252"/>
  <c r="AW133" i="33252"/>
  <c r="L104" i="83"/>
  <c r="L107" i="83" s="1"/>
  <c r="G10" i="1027"/>
  <c r="L105" i="83"/>
  <c r="G12" i="1027"/>
  <c r="F23" i="3"/>
  <c r="O130" i="33252"/>
  <c r="O138" i="33252"/>
  <c r="O135" i="33252"/>
  <c r="O136" i="33252"/>
  <c r="O133" i="33252"/>
  <c r="X133" i="33252"/>
  <c r="O129" i="33252"/>
  <c r="O131" i="33252"/>
  <c r="O139" i="33252"/>
  <c r="O128" i="33252"/>
  <c r="H27" i="3" s="1"/>
  <c r="O132" i="33252"/>
  <c r="O134" i="33252"/>
  <c r="O137" i="33252"/>
  <c r="M105" i="83"/>
  <c r="M104" i="83"/>
  <c r="M107" i="83" s="1"/>
  <c r="H10" i="1027"/>
  <c r="H12" i="1027"/>
  <c r="BR5" i="83"/>
  <c r="BS5" i="83"/>
  <c r="BQ5" i="83"/>
  <c r="BT5" i="83"/>
  <c r="K104" i="83"/>
  <c r="F12" i="1027"/>
  <c r="F10" i="1027"/>
  <c r="K105" i="83"/>
  <c r="K107" i="83"/>
  <c r="J104" i="83"/>
  <c r="J107" i="83" s="1"/>
  <c r="E12" i="1027"/>
  <c r="E10" i="1027"/>
  <c r="J15" i="3"/>
  <c r="J105" i="83"/>
  <c r="F46" i="1027"/>
  <c r="C46" i="1027"/>
  <c r="C44" i="1027"/>
  <c r="F44" i="1027"/>
  <c r="C40" i="1027"/>
  <c r="F40" i="1027"/>
  <c r="AE29" i="33252"/>
  <c r="Y92" i="33252"/>
  <c r="AO96" i="33252" s="1" a="1"/>
  <c r="Z92" i="33252"/>
  <c r="L91" i="33252"/>
  <c r="G92" i="33252"/>
  <c r="AC29" i="33252" l="1"/>
  <c r="AO49" i="83"/>
  <c r="B43" i="3" s="1"/>
  <c r="E32" i="3"/>
  <c r="J29" i="33252"/>
  <c r="AD30" i="33252"/>
  <c r="E33" i="3"/>
  <c r="J76" i="83"/>
  <c r="G19" i="1027" s="1"/>
  <c r="G18" i="1027" s="1"/>
  <c r="J75" i="83"/>
  <c r="F19" i="1027" s="1"/>
  <c r="J74" i="83"/>
  <c r="E19" i="1027" s="1"/>
  <c r="E18" i="1027" s="1"/>
  <c r="J77" i="83"/>
  <c r="H19" i="1027" s="1"/>
  <c r="H18" i="1027" s="1"/>
  <c r="J41" i="3"/>
  <c r="J13" i="1027" s="1"/>
  <c r="J21" i="3"/>
  <c r="L106" i="83"/>
  <c r="M106" i="83"/>
  <c r="AE53" i="33252"/>
  <c r="AD52" i="33252"/>
  <c r="J53" i="33252" s="1"/>
  <c r="AH52" i="33252"/>
  <c r="AC54" i="33252"/>
  <c r="AE54" i="33252"/>
  <c r="AC52" i="33252"/>
  <c r="AC53" i="33252"/>
  <c r="AD54" i="33252"/>
  <c r="AE52" i="33252"/>
  <c r="AG52" i="33252"/>
  <c r="AD53" i="33252"/>
  <c r="AR83" i="33252"/>
  <c r="AS78" i="33252"/>
  <c r="N75" i="33252" s="1"/>
  <c r="AV79" i="33252"/>
  <c r="P70" i="33252" s="1"/>
  <c r="AV83" i="33252"/>
  <c r="AO77" i="33252"/>
  <c r="AS71" i="33252"/>
  <c r="AU58" i="33252"/>
  <c r="AU62" i="33252"/>
  <c r="AS75" i="33252"/>
  <c r="M76" i="33252" s="1"/>
  <c r="M77" i="33252" s="1"/>
  <c r="AT58" i="33252"/>
  <c r="AQ75" i="33252"/>
  <c r="M70" i="33252" s="1"/>
  <c r="M71" i="33252" s="1"/>
  <c r="AQ61" i="33252"/>
  <c r="AP57" i="33252"/>
  <c r="AR63" i="33252"/>
  <c r="AR80" i="33252"/>
  <c r="AT73" i="33252"/>
  <c r="AU79" i="33252"/>
  <c r="AS60" i="33252"/>
  <c r="AW78" i="33252"/>
  <c r="AS77" i="33252"/>
  <c r="AP79" i="33252"/>
  <c r="N66" i="33252" s="1"/>
  <c r="AQ81" i="33252"/>
  <c r="AO83" i="33252"/>
  <c r="N63" i="33252" s="1"/>
  <c r="AT80" i="33252"/>
  <c r="AP77" i="33252"/>
  <c r="AV68" i="33252"/>
  <c r="AP56" i="33252"/>
  <c r="AQ76" i="33252"/>
  <c r="AR58" i="33252"/>
  <c r="AQ58" i="33252"/>
  <c r="AW81" i="33252"/>
  <c r="AO76" i="33252"/>
  <c r="AW70" i="33252"/>
  <c r="AV66" i="33252"/>
  <c r="AR59" i="33252"/>
  <c r="AV63" i="33252"/>
  <c r="AQ59" i="33252"/>
  <c r="AU77" i="33252"/>
  <c r="AO79" i="33252"/>
  <c r="N59" i="33252" s="1"/>
  <c r="AS73" i="33252"/>
  <c r="AQ83" i="33252"/>
  <c r="AQ63" i="33252"/>
  <c r="AR55" i="33252"/>
  <c r="AO58" i="33252"/>
  <c r="B58" i="33252" s="1"/>
  <c r="AP66" i="33252"/>
  <c r="AR67" i="33252"/>
  <c r="AU81" i="33252"/>
  <c r="AS65" i="33252"/>
  <c r="AT67" i="33252"/>
  <c r="AP76" i="33252"/>
  <c r="AP84" i="33252"/>
  <c r="AS69" i="33252"/>
  <c r="AT82" i="33252"/>
  <c r="AQ55" i="33252"/>
  <c r="AR57" i="33252"/>
  <c r="AR79" i="33252"/>
  <c r="N73" i="33252" s="1"/>
  <c r="AR78" i="33252"/>
  <c r="N72" i="33252" s="1"/>
  <c r="AU74" i="33252"/>
  <c r="AP74" i="33252"/>
  <c r="AT72" i="33252"/>
  <c r="AQ67" i="33252"/>
  <c r="AS62" i="33252"/>
  <c r="AV69" i="33252"/>
  <c r="AO65" i="33252"/>
  <c r="AT56" i="33252"/>
  <c r="AV59" i="33252"/>
  <c r="AW56" i="33252"/>
  <c r="AS61" i="33252"/>
  <c r="AS81" i="33252"/>
  <c r="AP73" i="33252"/>
  <c r="AP68" i="33252"/>
  <c r="AU60" i="33252"/>
  <c r="AV60" i="33252"/>
  <c r="AO82" i="33252"/>
  <c r="N62" i="33252" s="1"/>
  <c r="AW61" i="33252"/>
  <c r="AW60" i="33252"/>
  <c r="AQ66" i="33252"/>
  <c r="AV71" i="33252"/>
  <c r="AT71" i="33252"/>
  <c r="G71" i="33252" s="1"/>
  <c r="AO63" i="33252"/>
  <c r="AT79" i="33252"/>
  <c r="AV58" i="33252"/>
  <c r="AO60" i="33252"/>
  <c r="B60" i="33252" s="1"/>
  <c r="AR82" i="33252"/>
  <c r="O73" i="33252" s="1"/>
  <c r="AR81" i="33252"/>
  <c r="O72" i="33252" s="1"/>
  <c r="F31" i="3" s="1"/>
  <c r="AU76" i="33252"/>
  <c r="AO75" i="33252"/>
  <c r="M59" i="33252" s="1"/>
  <c r="M61" i="33252" s="1"/>
  <c r="AQ64" i="33252"/>
  <c r="AW82" i="33252"/>
  <c r="AR70" i="33252"/>
  <c r="AP80" i="33252"/>
  <c r="AW64" i="33252"/>
  <c r="AR77" i="33252"/>
  <c r="AW58" i="33252"/>
  <c r="AP65" i="33252"/>
  <c r="AV77" i="33252"/>
  <c r="AU78" i="33252"/>
  <c r="AO78" i="33252"/>
  <c r="N58" i="33252" s="1"/>
  <c r="AU84" i="33252"/>
  <c r="O71" i="33252" s="1"/>
  <c r="AS74" i="33252"/>
  <c r="AO59" i="33252"/>
  <c r="B59" i="33252" s="1"/>
  <c r="AR64" i="33252"/>
  <c r="AO74" i="33252"/>
  <c r="AW67" i="33252"/>
  <c r="AS67" i="33252"/>
  <c r="AW62" i="33252"/>
  <c r="AV82" i="33252"/>
  <c r="AR65" i="33252"/>
  <c r="AT61" i="33252"/>
  <c r="AP55" i="33252"/>
  <c r="AW72" i="33252"/>
  <c r="AW69" i="33252"/>
  <c r="AQ77" i="33252"/>
  <c r="AW65" i="33252"/>
  <c r="AQ68" i="33252"/>
  <c r="AV84" i="33252"/>
  <c r="AT83" i="33252"/>
  <c r="AS79" i="33252"/>
  <c r="N76" i="33252" s="1"/>
  <c r="AR60" i="33252"/>
  <c r="AP83" i="33252"/>
  <c r="AR75" i="33252"/>
  <c r="M73" i="33252" s="1"/>
  <c r="M74" i="33252" s="1"/>
  <c r="AU64" i="33252"/>
  <c r="AS84" i="33252"/>
  <c r="AW74" i="33252"/>
  <c r="AO64" i="33252"/>
  <c r="AO56" i="33252"/>
  <c r="B56" i="33252" s="1"/>
  <c r="AU73" i="33252"/>
  <c r="AW73" i="33252"/>
  <c r="AQ71" i="33252"/>
  <c r="AT57" i="33252"/>
  <c r="AP60" i="33252"/>
  <c r="AT69" i="33252"/>
  <c r="AU82" i="33252"/>
  <c r="O69" i="33252" s="1"/>
  <c r="F30" i="3" s="1"/>
  <c r="AW59" i="33252"/>
  <c r="AS82" i="33252"/>
  <c r="AV72" i="33252"/>
  <c r="AW68" i="33252"/>
  <c r="AS59" i="33252"/>
  <c r="AW71" i="33252"/>
  <c r="AR71" i="33252"/>
  <c r="AW66" i="33252"/>
  <c r="AV73" i="33252"/>
  <c r="AW77" i="33252"/>
  <c r="AU69" i="33252"/>
  <c r="AS68" i="33252"/>
  <c r="AO72" i="33252"/>
  <c r="AT59" i="33252"/>
  <c r="AO62" i="33252"/>
  <c r="B62" i="33252" s="1"/>
  <c r="AR62" i="33252"/>
  <c r="AQ74" i="33252"/>
  <c r="AP71" i="33252"/>
  <c r="AV70" i="33252"/>
  <c r="I70" i="33252" s="1"/>
  <c r="AS58" i="33252"/>
  <c r="AS63" i="33252"/>
  <c r="AQ80" i="33252"/>
  <c r="N71" i="33252" s="1"/>
  <c r="AR84" i="33252"/>
  <c r="AW80" i="33252"/>
  <c r="AO71" i="33252"/>
  <c r="AV67" i="33252"/>
  <c r="AU61" i="33252"/>
  <c r="AU68" i="33252"/>
  <c r="AP72" i="33252"/>
  <c r="AT55" i="33252"/>
  <c r="AU55" i="33252"/>
  <c r="AT62" i="33252"/>
  <c r="AR61" i="33252"/>
  <c r="AW55" i="33252"/>
  <c r="AQ79" i="33252"/>
  <c r="N70" i="33252" s="1"/>
  <c r="AU75" i="33252"/>
  <c r="AW75" i="33252"/>
  <c r="AO73" i="33252"/>
  <c r="AS56" i="33252"/>
  <c r="AW63" i="33252"/>
  <c r="AS80" i="33252"/>
  <c r="AS66" i="33252"/>
  <c r="AP62" i="33252"/>
  <c r="AS70" i="33252"/>
  <c r="AU65" i="33252"/>
  <c r="AQ84" i="33252"/>
  <c r="AV57" i="33252"/>
  <c r="AO69" i="33252"/>
  <c r="AQ57" i="33252"/>
  <c r="AP81" i="33252"/>
  <c r="AT64" i="33252"/>
  <c r="AQ78" i="33252"/>
  <c r="N69" i="33252" s="1"/>
  <c r="AR74" i="33252"/>
  <c r="AQ70" i="33252"/>
  <c r="AS72" i="33252"/>
  <c r="AV76" i="33252"/>
  <c r="AO61" i="33252"/>
  <c r="B61" i="33252" s="1"/>
  <c r="AP78" i="33252"/>
  <c r="N65" i="33252" s="1"/>
  <c r="AR72" i="33252"/>
  <c r="AV56" i="33252"/>
  <c r="AW84" i="33252"/>
  <c r="AV62" i="33252"/>
  <c r="AO67" i="33252"/>
  <c r="AV74" i="33252"/>
  <c r="AU83" i="33252"/>
  <c r="O70" i="33252" s="1"/>
  <c r="AO57" i="33252"/>
  <c r="B57" i="33252" s="1"/>
  <c r="AP61" i="33252"/>
  <c r="AT60" i="33252"/>
  <c r="AV75" i="33252"/>
  <c r="AV61" i="33252"/>
  <c r="AS76" i="33252"/>
  <c r="AR68" i="33252"/>
  <c r="AT63" i="33252"/>
  <c r="AS57" i="33252"/>
  <c r="AP59" i="33252"/>
  <c r="AR69" i="33252"/>
  <c r="AP69" i="33252"/>
  <c r="AT70" i="33252"/>
  <c r="G70" i="33252" s="1"/>
  <c r="AS64" i="33252"/>
  <c r="AQ60" i="33252"/>
  <c r="AR73" i="33252"/>
  <c r="AQ62" i="33252"/>
  <c r="AP75" i="33252"/>
  <c r="M66" i="33252" s="1"/>
  <c r="M67" i="33252" s="1"/>
  <c r="Y63" i="33252" s="1"/>
  <c r="AC63" i="33252" s="1"/>
  <c r="AO70" i="33252"/>
  <c r="AT68" i="33252"/>
  <c r="AQ73" i="33252"/>
  <c r="AV65" i="33252"/>
  <c r="AV80" i="33252"/>
  <c r="P71" i="33252" s="1"/>
  <c r="AT76" i="33252"/>
  <c r="AP70" i="33252"/>
  <c r="C70" i="33252" s="1"/>
  <c r="AQ82" i="33252"/>
  <c r="AR66" i="33252"/>
  <c r="AS83" i="33252"/>
  <c r="AQ69" i="33252"/>
  <c r="AO55" i="33252"/>
  <c r="H51" i="33252" s="1"/>
  <c r="AU71" i="33252"/>
  <c r="AP64" i="33252"/>
  <c r="AV81" i="33252"/>
  <c r="AT66" i="33252"/>
  <c r="AT77" i="33252"/>
  <c r="AP82" i="33252"/>
  <c r="AW79" i="33252"/>
  <c r="AW76" i="33252"/>
  <c r="AU67" i="33252"/>
  <c r="AU80" i="33252"/>
  <c r="AO68" i="33252"/>
  <c r="AQ56" i="33252"/>
  <c r="AT81" i="33252"/>
  <c r="AT84" i="33252"/>
  <c r="AT78" i="33252"/>
  <c r="M68" i="33252" s="1"/>
  <c r="AU66" i="33252"/>
  <c r="AU63" i="33252"/>
  <c r="AU72" i="33252"/>
  <c r="AR56" i="33252"/>
  <c r="AU57" i="33252"/>
  <c r="AQ72" i="33252"/>
  <c r="AR76" i="33252"/>
  <c r="AT74" i="33252"/>
  <c r="AW57" i="33252"/>
  <c r="AT65" i="33252"/>
  <c r="AO66" i="33252"/>
  <c r="AU59" i="33252"/>
  <c r="AO81" i="33252"/>
  <c r="N61" i="33252" s="1"/>
  <c r="AP67" i="33252"/>
  <c r="AU70" i="33252"/>
  <c r="H70" i="33252" s="1"/>
  <c r="AU56" i="33252"/>
  <c r="AT75" i="33252"/>
  <c r="AW83" i="33252"/>
  <c r="AP58" i="33252"/>
  <c r="AQ65" i="33252"/>
  <c r="AS55" i="33252"/>
  <c r="AO84" i="33252"/>
  <c r="N64" i="33252" s="1"/>
  <c r="AO80" i="33252"/>
  <c r="N60" i="33252" s="1"/>
  <c r="AV78" i="33252"/>
  <c r="P69" i="33252" s="1"/>
  <c r="AP63" i="33252"/>
  <c r="AV55" i="33252"/>
  <c r="AV64" i="33252"/>
  <c r="N105" i="83"/>
  <c r="J106" i="83"/>
  <c r="BV5" i="83"/>
  <c r="BL6" i="83"/>
  <c r="L132" i="33252"/>
  <c r="Y133" i="33252"/>
  <c r="AO137" i="33252" s="1" a="1"/>
  <c r="Z133" i="33252"/>
  <c r="N2" i="83"/>
  <c r="J11" i="1027" s="1"/>
  <c r="AF537" i="1"/>
  <c r="AF565" i="1"/>
  <c r="J61" i="3"/>
  <c r="J17" i="1027" s="1"/>
  <c r="J42" i="3"/>
  <c r="BU59" i="83"/>
  <c r="J51" i="83"/>
  <c r="R649" i="1"/>
  <c r="AF621" i="1"/>
  <c r="AF649" i="1"/>
  <c r="BQ59" i="83"/>
  <c r="O509" i="1"/>
  <c r="O510" i="1" s="1"/>
  <c r="O508" i="1"/>
  <c r="AJ496" i="1"/>
  <c r="Y621" i="1"/>
  <c r="AM593" i="1"/>
  <c r="Y523" i="1"/>
  <c r="Y649" i="1"/>
  <c r="AJ494" i="1"/>
  <c r="AJ509" i="1"/>
  <c r="AJ510" i="1" s="1"/>
  <c r="BT59" i="83"/>
  <c r="AM621" i="1"/>
  <c r="J32" i="3"/>
  <c r="R523" i="1"/>
  <c r="J71" i="83"/>
  <c r="O495" i="1"/>
  <c r="O496" i="1" s="1"/>
  <c r="AC494" i="1"/>
  <c r="V509" i="1"/>
  <c r="V510" i="1" s="1"/>
  <c r="AJ495" i="1"/>
  <c r="J10" i="1027"/>
  <c r="J19" i="1027"/>
  <c r="AC509" i="1"/>
  <c r="AC510" i="1" s="1"/>
  <c r="J20" i="1027"/>
  <c r="O494" i="1"/>
  <c r="R551" i="1"/>
  <c r="Q467" i="1"/>
  <c r="Q466" i="1" s="1"/>
  <c r="Y593" i="1"/>
  <c r="AM551" i="1"/>
  <c r="AM649" i="1"/>
  <c r="J16" i="3"/>
  <c r="AE467" i="1"/>
  <c r="AE466" i="1" s="1"/>
  <c r="V494" i="1"/>
  <c r="AC508" i="1"/>
  <c r="X467" i="1"/>
  <c r="X466" i="1" s="1"/>
  <c r="AM523" i="1"/>
  <c r="AM537" i="1"/>
  <c r="Y551" i="1"/>
  <c r="Y579" i="1"/>
  <c r="Y565" i="1"/>
  <c r="AM565" i="1"/>
  <c r="AF635" i="1"/>
  <c r="V508" i="1"/>
  <c r="BS59" i="83"/>
  <c r="AM635" i="1"/>
  <c r="J78" i="83"/>
  <c r="AJ508" i="1"/>
  <c r="D30" i="1027"/>
  <c r="R537" i="1"/>
  <c r="AF523" i="1"/>
  <c r="J59" i="3"/>
  <c r="R593" i="1"/>
  <c r="BI12" i="83"/>
  <c r="BJ12" i="83" s="1"/>
  <c r="F17" i="2" s="1"/>
  <c r="N108" i="83"/>
  <c r="AM579" i="1"/>
  <c r="J62" i="3"/>
  <c r="Y537" i="1"/>
  <c r="J21" i="1027"/>
  <c r="R621" i="1"/>
  <c r="BR59" i="83"/>
  <c r="AF579" i="1"/>
  <c r="AL467" i="1"/>
  <c r="AL466" i="1" s="1"/>
  <c r="R565" i="1"/>
  <c r="R635" i="1"/>
  <c r="R579" i="1"/>
  <c r="Y453" i="1"/>
  <c r="X455" i="1" s="1"/>
  <c r="AF453" i="1"/>
  <c r="AE455" i="1" s="1"/>
  <c r="Y635" i="1"/>
  <c r="AF593" i="1"/>
  <c r="AC495" i="1"/>
  <c r="AC496" i="1" s="1"/>
  <c r="BR72" i="83"/>
  <c r="V495" i="1"/>
  <c r="V496" i="1" s="1"/>
  <c r="AM453" i="1"/>
  <c r="AL455" i="1" s="1"/>
  <c r="R453" i="1"/>
  <c r="Q455" i="1" s="1"/>
  <c r="AF551" i="1"/>
  <c r="J12" i="1027"/>
  <c r="E38" i="1027"/>
  <c r="J64" i="83"/>
  <c r="F18" i="1027"/>
  <c r="K106" i="83"/>
  <c r="G133" i="33252"/>
  <c r="AF29" i="33252"/>
  <c r="AC93" i="33252"/>
  <c r="AE95" i="33252"/>
  <c r="AE93" i="33252"/>
  <c r="AC95" i="33252"/>
  <c r="AE94" i="33252"/>
  <c r="AG93" i="33252"/>
  <c r="AH93" i="33252"/>
  <c r="AC94" i="33252"/>
  <c r="AD94" i="33252"/>
  <c r="AD95" i="33252"/>
  <c r="AD93" i="33252"/>
  <c r="J94" i="33252" s="1"/>
  <c r="AO98" i="33252"/>
  <c r="B98" i="33252" s="1"/>
  <c r="AV106" i="33252"/>
  <c r="AT120" i="33252"/>
  <c r="AW110" i="33252"/>
  <c r="AS103" i="33252"/>
  <c r="AT111" i="33252"/>
  <c r="G111" i="33252" s="1"/>
  <c r="AQ116" i="33252"/>
  <c r="M111" i="33252" s="1"/>
  <c r="M112" i="33252" s="1"/>
  <c r="AV102" i="33252"/>
  <c r="AQ120" i="33252"/>
  <c r="N111" i="33252" s="1"/>
  <c r="AP112" i="33252"/>
  <c r="AS123" i="33252"/>
  <c r="AQ104" i="33252"/>
  <c r="AP108" i="33252"/>
  <c r="AU115" i="33252"/>
  <c r="AT112" i="33252"/>
  <c r="G112" i="33252" s="1"/>
  <c r="AP106" i="33252"/>
  <c r="AU99" i="33252"/>
  <c r="AT101" i="33252"/>
  <c r="AU119" i="33252"/>
  <c r="AR100" i="33252"/>
  <c r="AQ111" i="33252"/>
  <c r="AW100" i="33252"/>
  <c r="AQ122" i="33252"/>
  <c r="AO100" i="33252"/>
  <c r="B100" i="33252" s="1"/>
  <c r="AQ108" i="33252"/>
  <c r="AW103" i="33252"/>
  <c r="AS97" i="33252"/>
  <c r="AT107" i="33252"/>
  <c r="AS104" i="33252"/>
  <c r="AO122" i="33252"/>
  <c r="N102" i="33252" s="1"/>
  <c r="AO111" i="33252"/>
  <c r="AV114" i="33252"/>
  <c r="AS96" i="33252"/>
  <c r="AO113" i="33252"/>
  <c r="AQ119" i="33252"/>
  <c r="N110" i="33252" s="1"/>
  <c r="AP121" i="33252"/>
  <c r="AT102" i="33252"/>
  <c r="AV104" i="33252"/>
  <c r="AR105" i="33252"/>
  <c r="AV100" i="33252"/>
  <c r="AS111" i="33252"/>
  <c r="AR110" i="33252"/>
  <c r="AR111" i="33252"/>
  <c r="AU114" i="33252"/>
  <c r="AO96" i="33252"/>
  <c r="H92" i="33252" s="1"/>
  <c r="AR125" i="33252"/>
  <c r="AP104" i="33252"/>
  <c r="AO117" i="33252"/>
  <c r="AW112" i="33252"/>
  <c r="AT113" i="33252"/>
  <c r="AW113" i="33252"/>
  <c r="AV109" i="33252"/>
  <c r="AW122" i="33252"/>
  <c r="AV123" i="33252"/>
  <c r="AR96" i="33252"/>
  <c r="AS122" i="33252"/>
  <c r="AO121" i="33252"/>
  <c r="N101" i="33252" s="1"/>
  <c r="AT121" i="33252"/>
  <c r="AV115" i="33252"/>
  <c r="AP97" i="33252"/>
  <c r="AW101" i="33252"/>
  <c r="AQ113" i="33252"/>
  <c r="AQ100" i="33252"/>
  <c r="AW107" i="33252"/>
  <c r="AU102" i="33252"/>
  <c r="AR123" i="33252"/>
  <c r="O114" i="33252" s="1"/>
  <c r="AU124" i="33252"/>
  <c r="O111" i="33252" s="1"/>
  <c r="AV97" i="33252"/>
  <c r="AU113" i="33252"/>
  <c r="AR124" i="33252"/>
  <c r="AQ117" i="33252"/>
  <c r="AO125" i="33252"/>
  <c r="N105" i="33252" s="1"/>
  <c r="AT103" i="33252"/>
  <c r="AR103" i="33252"/>
  <c r="AV120" i="33252"/>
  <c r="P111" i="33252" s="1"/>
  <c r="AS109" i="33252"/>
  <c r="AR108" i="33252"/>
  <c r="AT109" i="33252"/>
  <c r="AR114" i="33252"/>
  <c r="AR102" i="33252"/>
  <c r="AQ105" i="33252"/>
  <c r="AR106" i="33252"/>
  <c r="AS114" i="33252"/>
  <c r="AW116" i="33252"/>
  <c r="AQ109" i="33252"/>
  <c r="AW109" i="33252"/>
  <c r="AU121" i="33252"/>
  <c r="AU122" i="33252"/>
  <c r="AO99" i="33252"/>
  <c r="B99" i="33252" s="1"/>
  <c r="AP109" i="33252"/>
  <c r="AW108" i="33252"/>
  <c r="AR99" i="33252"/>
  <c r="AO104" i="33252"/>
  <c r="AR109" i="33252"/>
  <c r="AT118" i="33252"/>
  <c r="AS112" i="33252"/>
  <c r="AU118" i="33252"/>
  <c r="AQ99" i="33252"/>
  <c r="AQ114" i="33252"/>
  <c r="AW98" i="33252"/>
  <c r="AU110" i="33252"/>
  <c r="AU105" i="33252"/>
  <c r="AO120" i="33252"/>
  <c r="N100" i="33252" s="1"/>
  <c r="AO123" i="33252"/>
  <c r="N103" i="33252" s="1"/>
  <c r="AP117" i="33252"/>
  <c r="AR116" i="33252"/>
  <c r="M114" i="33252" s="1"/>
  <c r="M115" i="33252" s="1"/>
  <c r="AS102" i="33252"/>
  <c r="AU120" i="33252"/>
  <c r="AT106" i="33252"/>
  <c r="AS100" i="33252"/>
  <c r="AT124" i="33252"/>
  <c r="AP98" i="33252"/>
  <c r="AT105" i="33252"/>
  <c r="AT115" i="33252"/>
  <c r="AS108" i="33252"/>
  <c r="AU97" i="33252"/>
  <c r="AQ98" i="33252"/>
  <c r="AU103" i="33252"/>
  <c r="AU107" i="33252"/>
  <c r="AW120" i="33252"/>
  <c r="AW104" i="33252"/>
  <c r="AP124" i="33252"/>
  <c r="AR98" i="33252"/>
  <c r="AT110" i="33252"/>
  <c r="AU104" i="33252"/>
  <c r="AS106" i="33252"/>
  <c r="AP122" i="33252"/>
  <c r="AO115" i="33252"/>
  <c r="AT98" i="33252"/>
  <c r="AU101" i="33252"/>
  <c r="AS116" i="33252"/>
  <c r="M117" i="33252" s="1"/>
  <c r="M118" i="33252" s="1"/>
  <c r="AW124" i="33252"/>
  <c r="AQ107" i="33252"/>
  <c r="AW114" i="33252"/>
  <c r="AP125" i="33252"/>
  <c r="AP115" i="33252"/>
  <c r="AO116" i="33252"/>
  <c r="M100" i="33252" s="1"/>
  <c r="M102" i="33252" s="1"/>
  <c r="AV122" i="33252"/>
  <c r="AR101" i="33252"/>
  <c r="AW123" i="33252"/>
  <c r="AR120" i="33252"/>
  <c r="N114" i="33252" s="1"/>
  <c r="AU96" i="33252"/>
  <c r="AW119" i="33252"/>
  <c r="AP120" i="33252"/>
  <c r="N107" i="33252" s="1"/>
  <c r="AR119" i="33252"/>
  <c r="N113" i="33252" s="1"/>
  <c r="AO103" i="33252"/>
  <c r="B103" i="33252" s="1"/>
  <c r="AR113" i="33252"/>
  <c r="AO110" i="33252"/>
  <c r="AW102" i="33252"/>
  <c r="AR112" i="33252"/>
  <c r="AV103" i="33252"/>
  <c r="AP116" i="33252"/>
  <c r="M107" i="33252" s="1"/>
  <c r="M108" i="33252" s="1"/>
  <c r="Y104" i="33252" s="1"/>
  <c r="AC104" i="33252" s="1"/>
  <c r="AP119" i="33252"/>
  <c r="N106" i="33252" s="1"/>
  <c r="AU98" i="33252"/>
  <c r="AS113" i="33252"/>
  <c r="AO106" i="33252"/>
  <c r="AR121" i="33252"/>
  <c r="AQ124" i="33252"/>
  <c r="AP102" i="33252"/>
  <c r="AQ118" i="33252"/>
  <c r="AS107" i="33252"/>
  <c r="AV98" i="33252"/>
  <c r="AP103" i="33252"/>
  <c r="AS119" i="33252"/>
  <c r="N116" i="33252" s="1"/>
  <c r="AP113" i="33252"/>
  <c r="AV116" i="33252"/>
  <c r="AV113" i="33252"/>
  <c r="AO124" i="33252"/>
  <c r="N104" i="33252" s="1"/>
  <c r="AT96" i="33252"/>
  <c r="AS121" i="33252"/>
  <c r="AQ112" i="33252"/>
  <c r="AW117" i="33252"/>
  <c r="AT123" i="33252"/>
  <c r="AT119" i="33252"/>
  <c r="M109" i="33252" s="1"/>
  <c r="AS125" i="33252"/>
  <c r="AS115" i="33252"/>
  <c r="AR97" i="33252"/>
  <c r="AR118" i="33252"/>
  <c r="AT114" i="33252"/>
  <c r="AO97" i="33252"/>
  <c r="B97" i="33252" s="1"/>
  <c r="AQ101" i="33252"/>
  <c r="AW97" i="33252"/>
  <c r="AO101" i="33252"/>
  <c r="B101" i="33252" s="1"/>
  <c r="AV99" i="33252"/>
  <c r="AP101" i="33252"/>
  <c r="AS117" i="33252"/>
  <c r="AV124" i="33252"/>
  <c r="AS110" i="33252"/>
  <c r="AW105" i="33252"/>
  <c r="AO108" i="33252"/>
  <c r="AV111" i="33252"/>
  <c r="I111" i="33252" s="1"/>
  <c r="AV110" i="33252"/>
  <c r="AW118" i="33252"/>
  <c r="AR107" i="33252"/>
  <c r="AV96" i="33252"/>
  <c r="AQ123" i="33252"/>
  <c r="AU100" i="33252"/>
  <c r="AQ125" i="33252"/>
  <c r="AU116" i="33252"/>
  <c r="AW121" i="33252"/>
  <c r="AQ102" i="33252"/>
  <c r="AQ121" i="33252"/>
  <c r="N112" i="33252" s="1"/>
  <c r="AO114" i="33252"/>
  <c r="AU109" i="33252"/>
  <c r="AQ103" i="33252"/>
  <c r="AW125" i="33252"/>
  <c r="AU111" i="33252"/>
  <c r="H111" i="33252" s="1"/>
  <c r="AS118" i="33252"/>
  <c r="AP111" i="33252"/>
  <c r="C111" i="33252" s="1"/>
  <c r="AW96" i="33252"/>
  <c r="AT104" i="33252"/>
  <c r="AP100" i="33252"/>
  <c r="AQ106" i="33252"/>
  <c r="AV118" i="33252"/>
  <c r="AQ96" i="33252"/>
  <c r="AS98" i="33252"/>
  <c r="AR104" i="33252"/>
  <c r="AP118" i="33252"/>
  <c r="AS120" i="33252"/>
  <c r="N117" i="33252" s="1"/>
  <c r="AO118" i="33252"/>
  <c r="AP99" i="33252"/>
  <c r="AU123" i="33252"/>
  <c r="O110" i="33252" s="1"/>
  <c r="G30" i="3" s="1"/>
  <c r="AP105" i="33252"/>
  <c r="AT125" i="33252"/>
  <c r="AU117" i="33252"/>
  <c r="AQ110" i="33252"/>
  <c r="AS105" i="33252"/>
  <c r="AP114" i="33252"/>
  <c r="AP123" i="33252"/>
  <c r="AO105" i="33252"/>
  <c r="AV121" i="33252"/>
  <c r="P112" i="33252" s="1"/>
  <c r="AU108" i="33252"/>
  <c r="AU106" i="33252"/>
  <c r="AS124" i="33252"/>
  <c r="AR117" i="33252"/>
  <c r="AR115" i="33252"/>
  <c r="AV101" i="33252"/>
  <c r="AR122" i="33252"/>
  <c r="O113" i="33252" s="1"/>
  <c r="G31" i="3" s="1"/>
  <c r="AV105" i="33252"/>
  <c r="AT117" i="33252"/>
  <c r="AT100" i="33252"/>
  <c r="AS99" i="33252"/>
  <c r="AT122" i="33252"/>
  <c r="AT116" i="33252"/>
  <c r="AV117" i="33252"/>
  <c r="AW115" i="33252"/>
  <c r="AT108" i="33252"/>
  <c r="AQ97" i="33252"/>
  <c r="AP96" i="33252"/>
  <c r="AV125" i="33252"/>
  <c r="AO107" i="33252"/>
  <c r="AO119" i="33252"/>
  <c r="N99" i="33252" s="1"/>
  <c r="AP107" i="33252"/>
  <c r="AO109" i="33252"/>
  <c r="AW106" i="33252"/>
  <c r="AW99" i="33252"/>
  <c r="AU125" i="33252"/>
  <c r="O112" i="33252" s="1"/>
  <c r="AT97" i="33252"/>
  <c r="AS101" i="33252"/>
  <c r="AO112" i="33252"/>
  <c r="AV107" i="33252"/>
  <c r="AO102" i="33252"/>
  <c r="B102" i="33252" s="1"/>
  <c r="AV108" i="33252"/>
  <c r="AV112" i="33252"/>
  <c r="AW111" i="33252"/>
  <c r="AP110" i="33252"/>
  <c r="AT99" i="33252"/>
  <c r="AV119" i="33252"/>
  <c r="P110" i="33252" s="1"/>
  <c r="AQ115" i="33252"/>
  <c r="AU112" i="33252"/>
  <c r="AE30" i="33252" l="1"/>
  <c r="AC30" i="33252"/>
  <c r="AD31" i="33252"/>
  <c r="N106" i="83"/>
  <c r="G30" i="1027"/>
  <c r="Y57" i="33252"/>
  <c r="AC57" i="33252" s="1"/>
  <c r="H58" i="33252"/>
  <c r="H67" i="33252"/>
  <c r="Y67" i="33252"/>
  <c r="AC67" i="33252" s="1"/>
  <c r="P72" i="33252" s="1"/>
  <c r="X70" i="33252" s="1"/>
  <c r="Y70" i="33252" s="1"/>
  <c r="CA36" i="83"/>
  <c r="X53" i="33252"/>
  <c r="Y53" i="33252" s="1"/>
  <c r="G16" i="2"/>
  <c r="H14" i="2"/>
  <c r="Y68" i="33252"/>
  <c r="AC68" i="33252" s="1"/>
  <c r="H68" i="33252"/>
  <c r="H69" i="33252"/>
  <c r="Y69" i="33252"/>
  <c r="H35" i="1027"/>
  <c r="J35" i="1027"/>
  <c r="E35" i="1027"/>
  <c r="F35" i="1027"/>
  <c r="B35" i="1027"/>
  <c r="G35" i="1027"/>
  <c r="K35" i="1027" s="1"/>
  <c r="R467" i="1"/>
  <c r="L68" i="2960"/>
  <c r="F26" i="1027"/>
  <c r="AF131" i="1"/>
  <c r="AL449" i="1"/>
  <c r="AJ449" i="1" s="1"/>
  <c r="F28" i="1027"/>
  <c r="AF467" i="1"/>
  <c r="AJ62" i="1"/>
  <c r="AJ61" i="1"/>
  <c r="O104" i="1"/>
  <c r="AJ104" i="1"/>
  <c r="AM467" i="1"/>
  <c r="R131" i="1"/>
  <c r="AC103" i="1"/>
  <c r="AC104" i="1"/>
  <c r="Y607" i="1"/>
  <c r="V61" i="1"/>
  <c r="V104" i="1"/>
  <c r="AM607" i="1"/>
  <c r="F27" i="1027"/>
  <c r="O103" i="1"/>
  <c r="I65" i="2960"/>
  <c r="J29" i="1027" s="1"/>
  <c r="J32" i="1027" s="1"/>
  <c r="AM131" i="1"/>
  <c r="V62" i="1"/>
  <c r="AC62" i="1"/>
  <c r="O62" i="1"/>
  <c r="AF607" i="1"/>
  <c r="Y131" i="1"/>
  <c r="AJ103" i="1"/>
  <c r="V103" i="1"/>
  <c r="Y467" i="1"/>
  <c r="AC61" i="1"/>
  <c r="F29" i="1027"/>
  <c r="F25" i="1027"/>
  <c r="O61" i="1"/>
  <c r="R607" i="1"/>
  <c r="Y634" i="1"/>
  <c r="V635" i="1" s="1"/>
  <c r="X637" i="1"/>
  <c r="R634" i="1"/>
  <c r="O635" i="1" s="1"/>
  <c r="Q637" i="1"/>
  <c r="AL469" i="1"/>
  <c r="AM465" i="1"/>
  <c r="AJ467" i="1"/>
  <c r="AJ468" i="1"/>
  <c r="J18" i="1027"/>
  <c r="D31" i="1027"/>
  <c r="G31" i="1027" s="1"/>
  <c r="G32" i="1027" s="1"/>
  <c r="R592" i="1"/>
  <c r="O593" i="1" s="1"/>
  <c r="Q595" i="1"/>
  <c r="AE525" i="1"/>
  <c r="AF522" i="1"/>
  <c r="E36" i="1027"/>
  <c r="AF634" i="1"/>
  <c r="AC635" i="1" s="1"/>
  <c r="AE637" i="1"/>
  <c r="Y564" i="1"/>
  <c r="V565" i="1" s="1"/>
  <c r="X567" i="1"/>
  <c r="Y550" i="1"/>
  <c r="V551" i="1" s="1"/>
  <c r="X553" i="1"/>
  <c r="AM522" i="1"/>
  <c r="AJ523" i="1" s="1"/>
  <c r="AL525" i="1"/>
  <c r="AE469" i="1"/>
  <c r="AC468" i="1"/>
  <c r="AC467" i="1"/>
  <c r="AF465" i="1"/>
  <c r="AM648" i="1"/>
  <c r="AJ649" i="1" s="1"/>
  <c r="AL651" i="1"/>
  <c r="Y592" i="1"/>
  <c r="V593" i="1" s="1"/>
  <c r="X595" i="1"/>
  <c r="Q553" i="1"/>
  <c r="R550" i="1"/>
  <c r="O551" i="1" s="1"/>
  <c r="X651" i="1"/>
  <c r="Y648" i="1"/>
  <c r="V649" i="1" s="1"/>
  <c r="AL595" i="1"/>
  <c r="AM592" i="1"/>
  <c r="AE651" i="1"/>
  <c r="AF648" i="1"/>
  <c r="AC649" i="1" s="1"/>
  <c r="R648" i="1"/>
  <c r="O649" i="1" s="1"/>
  <c r="Q651" i="1"/>
  <c r="AE539" i="1"/>
  <c r="AF536" i="1"/>
  <c r="AC537" i="1" s="1"/>
  <c r="AD135" i="33252"/>
  <c r="AG134" i="33252"/>
  <c r="AD134" i="33252"/>
  <c r="J135" i="33252" s="1"/>
  <c r="J26" i="3" s="1"/>
  <c r="AD136" i="33252"/>
  <c r="AE136" i="33252"/>
  <c r="AH134" i="33252"/>
  <c r="AE134" i="33252"/>
  <c r="AC134" i="33252"/>
  <c r="AC136" i="33252"/>
  <c r="AE135" i="33252"/>
  <c r="AC135" i="33252"/>
  <c r="AF550" i="1"/>
  <c r="AC551" i="1" s="1"/>
  <c r="AE553" i="1"/>
  <c r="BR73" i="83"/>
  <c r="BR76" i="83" s="1"/>
  <c r="AE595" i="1"/>
  <c r="AF592" i="1"/>
  <c r="AC593" i="1" s="1"/>
  <c r="R578" i="1"/>
  <c r="O579" i="1" s="1"/>
  <c r="Q581" i="1"/>
  <c r="Q567" i="1"/>
  <c r="R564" i="1"/>
  <c r="O565" i="1" s="1"/>
  <c r="AF578" i="1"/>
  <c r="AC579" i="1" s="1"/>
  <c r="AE581" i="1"/>
  <c r="Q623" i="1"/>
  <c r="R620" i="1"/>
  <c r="O621" i="1" s="1"/>
  <c r="Y536" i="1"/>
  <c r="V537" i="1" s="1"/>
  <c r="X539" i="1"/>
  <c r="AL581" i="1"/>
  <c r="AM578" i="1"/>
  <c r="AJ579" i="1" s="1"/>
  <c r="R536" i="1"/>
  <c r="O537" i="1" s="1"/>
  <c r="Q539" i="1"/>
  <c r="AM634" i="1"/>
  <c r="AJ635" i="1" s="1"/>
  <c r="AL637" i="1"/>
  <c r="AL567" i="1"/>
  <c r="AM564" i="1"/>
  <c r="AJ565" i="1" s="1"/>
  <c r="Y578" i="1"/>
  <c r="V579" i="1" s="1"/>
  <c r="X581" i="1"/>
  <c r="AM536" i="1"/>
  <c r="AJ537" i="1" s="1"/>
  <c r="AL539" i="1"/>
  <c r="V468" i="1"/>
  <c r="X469" i="1"/>
  <c r="Y465" i="1"/>
  <c r="V467" i="1"/>
  <c r="AL553" i="1"/>
  <c r="AM550" i="1"/>
  <c r="AJ551" i="1" s="1"/>
  <c r="Q469" i="1"/>
  <c r="O467" i="1"/>
  <c r="R465" i="1"/>
  <c r="O468" i="1"/>
  <c r="Q525" i="1"/>
  <c r="R522" i="1"/>
  <c r="O523" i="1" s="1"/>
  <c r="AM620" i="1"/>
  <c r="AJ621" i="1" s="1"/>
  <c r="AL623" i="1"/>
  <c r="Y522" i="1"/>
  <c r="V523" i="1" s="1"/>
  <c r="X525" i="1"/>
  <c r="Y620" i="1"/>
  <c r="V621" i="1" s="1"/>
  <c r="X623" i="1"/>
  <c r="AF620" i="1"/>
  <c r="AC621" i="1" s="1"/>
  <c r="AE623" i="1"/>
  <c r="V89" i="1"/>
  <c r="X439" i="1"/>
  <c r="AL439" i="1"/>
  <c r="AJ89" i="1"/>
  <c r="AJ90" i="1"/>
  <c r="AC90" i="1"/>
  <c r="AE439" i="1"/>
  <c r="J14" i="1027"/>
  <c r="V90" i="1"/>
  <c r="AC48" i="1"/>
  <c r="AC89" i="1"/>
  <c r="V47" i="1"/>
  <c r="Q439" i="1"/>
  <c r="O89" i="1"/>
  <c r="AC47" i="1"/>
  <c r="O90" i="1"/>
  <c r="O47" i="1"/>
  <c r="AJ47" i="1"/>
  <c r="O48" i="1"/>
  <c r="AJ327" i="1"/>
  <c r="AJ397" i="1"/>
  <c r="V48" i="1"/>
  <c r="O327" i="1"/>
  <c r="V383" i="1"/>
  <c r="AC159" i="1"/>
  <c r="V453" i="1"/>
  <c r="AJ117" i="1"/>
  <c r="AC243" i="1"/>
  <c r="O33" i="1"/>
  <c r="AJ341" i="1"/>
  <c r="O454" i="1"/>
  <c r="AJ369" i="1"/>
  <c r="V327" i="1"/>
  <c r="O299" i="1"/>
  <c r="O201" i="1"/>
  <c r="O215" i="1"/>
  <c r="AC355" i="1"/>
  <c r="V243" i="1"/>
  <c r="O397" i="1"/>
  <c r="AC173" i="1"/>
  <c r="V454" i="1"/>
  <c r="O341" i="1"/>
  <c r="O187" i="1"/>
  <c r="AC327" i="1"/>
  <c r="AC33" i="1"/>
  <c r="AC453" i="1"/>
  <c r="AC145" i="1"/>
  <c r="AJ593" i="1"/>
  <c r="AJ33" i="1"/>
  <c r="V229" i="1"/>
  <c r="V299" i="1"/>
  <c r="AC341" i="1"/>
  <c r="O369" i="1"/>
  <c r="V117" i="1"/>
  <c r="AC369" i="1"/>
  <c r="AC257" i="1"/>
  <c r="AC201" i="1"/>
  <c r="AJ187" i="1"/>
  <c r="AC117" i="1"/>
  <c r="V145" i="1"/>
  <c r="V425" i="1"/>
  <c r="O243" i="1"/>
  <c r="AC411" i="1"/>
  <c r="O145" i="1"/>
  <c r="V369" i="1"/>
  <c r="AJ145" i="1"/>
  <c r="AJ454" i="1"/>
  <c r="O285" i="1"/>
  <c r="AJ76" i="1"/>
  <c r="AJ299" i="1"/>
  <c r="O425" i="1"/>
  <c r="V271" i="1"/>
  <c r="O117" i="1"/>
  <c r="AJ243" i="1"/>
  <c r="AC75" i="1"/>
  <c r="AC397" i="1"/>
  <c r="O453" i="1"/>
  <c r="AJ425" i="1"/>
  <c r="AJ411" i="1"/>
  <c r="O75" i="1"/>
  <c r="AJ383" i="1"/>
  <c r="V411" i="1"/>
  <c r="O271" i="1"/>
  <c r="AJ75" i="1"/>
  <c r="AJ229" i="1"/>
  <c r="AJ159" i="1"/>
  <c r="AC299" i="1"/>
  <c r="V33" i="1"/>
  <c r="AJ355" i="1"/>
  <c r="AJ453" i="1"/>
  <c r="V285" i="1"/>
  <c r="V397" i="1"/>
  <c r="AJ48" i="1"/>
  <c r="V341" i="1"/>
  <c r="AJ271" i="1"/>
  <c r="O411" i="1"/>
  <c r="AJ257" i="1"/>
  <c r="AC454" i="1"/>
  <c r="V201" i="1"/>
  <c r="AC425" i="1"/>
  <c r="V76" i="1"/>
  <c r="O76" i="1"/>
  <c r="AC34" i="1"/>
  <c r="V257" i="1"/>
  <c r="O159" i="1"/>
  <c r="V173" i="1"/>
  <c r="AC271" i="1"/>
  <c r="AC76" i="1"/>
  <c r="O257" i="1"/>
  <c r="AC285" i="1"/>
  <c r="V215" i="1"/>
  <c r="AJ34" i="1"/>
  <c r="O355" i="1"/>
  <c r="AJ285" i="1"/>
  <c r="AC187" i="1"/>
  <c r="AJ173" i="1"/>
  <c r="AC523" i="1"/>
  <c r="O383" i="1"/>
  <c r="V34" i="1"/>
  <c r="O229" i="1"/>
  <c r="V75" i="1"/>
  <c r="AC383" i="1"/>
  <c r="V159" i="1"/>
  <c r="AJ215" i="1"/>
  <c r="AJ201" i="1"/>
  <c r="V187" i="1"/>
  <c r="AC215" i="1"/>
  <c r="AC229" i="1"/>
  <c r="O34" i="1"/>
  <c r="V355" i="1"/>
  <c r="O173" i="1"/>
  <c r="G36" i="1027"/>
  <c r="AF564" i="1"/>
  <c r="AC565" i="1" s="1"/>
  <c r="AE567" i="1"/>
  <c r="AS159" i="33252"/>
  <c r="AU152" i="33252"/>
  <c r="H152" i="33252" s="1"/>
  <c r="AT165" i="33252"/>
  <c r="AQ166" i="33252"/>
  <c r="AU138" i="33252"/>
  <c r="AT162" i="33252"/>
  <c r="AP139" i="33252"/>
  <c r="AS160" i="33252"/>
  <c r="N157" i="33252" s="1"/>
  <c r="AP144" i="33252"/>
  <c r="AP141" i="33252"/>
  <c r="AO145" i="33252"/>
  <c r="AR137" i="33252"/>
  <c r="AS150" i="33252"/>
  <c r="AS151" i="33252"/>
  <c r="AU159" i="33252"/>
  <c r="AW150" i="33252"/>
  <c r="AO156" i="33252"/>
  <c r="AP157" i="33252"/>
  <c r="M148" i="33252" s="1"/>
  <c r="M149" i="33252" s="1"/>
  <c r="Y145" i="33252" s="1"/>
  <c r="AC145" i="33252" s="1"/>
  <c r="AR159" i="33252"/>
  <c r="AV155" i="33252"/>
  <c r="AV147" i="33252"/>
  <c r="AR157" i="33252"/>
  <c r="M155" i="33252" s="1"/>
  <c r="M156" i="33252" s="1"/>
  <c r="Y150" i="33252" s="1"/>
  <c r="AC150" i="33252" s="1"/>
  <c r="AV154" i="33252"/>
  <c r="AU160" i="33252"/>
  <c r="AU161" i="33252"/>
  <c r="AV145" i="33252"/>
  <c r="AS152" i="33252"/>
  <c r="AU166" i="33252"/>
  <c r="O153" i="33252" s="1"/>
  <c r="AU144" i="33252"/>
  <c r="AQ162" i="33252"/>
  <c r="N153" i="33252" s="1"/>
  <c r="AU139" i="33252"/>
  <c r="AQ163" i="33252"/>
  <c r="AU154" i="33252"/>
  <c r="AO155" i="33252"/>
  <c r="AR142" i="33252"/>
  <c r="AU156" i="33252"/>
  <c r="AV152" i="33252"/>
  <c r="I152" i="33252" s="1"/>
  <c r="AR152" i="33252"/>
  <c r="AO153" i="33252"/>
  <c r="AQ165" i="33252"/>
  <c r="AO164" i="33252"/>
  <c r="N144" i="33252" s="1"/>
  <c r="AO165" i="33252"/>
  <c r="N145" i="33252" s="1"/>
  <c r="AR140" i="33252"/>
  <c r="AR154" i="33252"/>
  <c r="AR163" i="33252"/>
  <c r="O154" i="33252" s="1"/>
  <c r="H31" i="3" s="1"/>
  <c r="AU141" i="33252"/>
  <c r="AS161" i="33252"/>
  <c r="N158" i="33252" s="1"/>
  <c r="AS166" i="33252"/>
  <c r="AQ157" i="33252"/>
  <c r="M152" i="33252" s="1"/>
  <c r="M153" i="33252" s="1"/>
  <c r="AP151" i="33252"/>
  <c r="AT160" i="33252"/>
  <c r="M150" i="33252" s="1"/>
  <c r="AU149" i="33252"/>
  <c r="AR144" i="33252"/>
  <c r="AT155" i="33252"/>
  <c r="AV144" i="33252"/>
  <c r="AT144" i="33252"/>
  <c r="AQ138" i="33252"/>
  <c r="AW162" i="33252"/>
  <c r="AO150" i="33252"/>
  <c r="AO162" i="33252"/>
  <c r="N142" i="33252" s="1"/>
  <c r="AP156" i="33252"/>
  <c r="AO159" i="33252"/>
  <c r="AO148" i="33252"/>
  <c r="AV158" i="33252"/>
  <c r="AV137" i="33252"/>
  <c r="AV165" i="33252"/>
  <c r="AO144" i="33252"/>
  <c r="B144" i="33252" s="1"/>
  <c r="AO163" i="33252"/>
  <c r="N143" i="33252" s="1"/>
  <c r="AO137" i="33252"/>
  <c r="H133" i="33252" s="1"/>
  <c r="AQ152" i="33252"/>
  <c r="AO154" i="33252"/>
  <c r="AQ143" i="33252"/>
  <c r="AT150" i="33252"/>
  <c r="AT146" i="33252"/>
  <c r="AU153" i="33252"/>
  <c r="AV151" i="33252"/>
  <c r="AR139" i="33252"/>
  <c r="AV164" i="33252"/>
  <c r="AT158" i="33252"/>
  <c r="AP160" i="33252"/>
  <c r="N147" i="33252" s="1"/>
  <c r="AQ159" i="33252"/>
  <c r="AR158" i="33252"/>
  <c r="AS140" i="33252"/>
  <c r="AT147" i="33252"/>
  <c r="AV141" i="33252"/>
  <c r="AP152" i="33252"/>
  <c r="C152" i="33252" s="1"/>
  <c r="AT142" i="33252"/>
  <c r="AP155" i="33252"/>
  <c r="AW157" i="33252"/>
  <c r="AP153" i="33252"/>
  <c r="AW149" i="33252"/>
  <c r="AS162" i="33252"/>
  <c r="AV161" i="33252"/>
  <c r="P152" i="33252" s="1"/>
  <c r="AT152" i="33252"/>
  <c r="G152" i="33252" s="1"/>
  <c r="AW145" i="33252"/>
  <c r="AO161" i="33252"/>
  <c r="N141" i="33252" s="1"/>
  <c r="AT154" i="33252"/>
  <c r="AQ141" i="33252"/>
  <c r="AT148" i="33252"/>
  <c r="AP140" i="33252"/>
  <c r="AP146" i="33252"/>
  <c r="AT157" i="33252"/>
  <c r="AV163" i="33252"/>
  <c r="AO142" i="33252"/>
  <c r="B142" i="33252" s="1"/>
  <c r="AT166" i="33252"/>
  <c r="AV159" i="33252"/>
  <c r="AU143" i="33252"/>
  <c r="AT159" i="33252"/>
  <c r="AS153" i="33252"/>
  <c r="AR162" i="33252"/>
  <c r="AS139" i="33252"/>
  <c r="AU147" i="33252"/>
  <c r="AQ145" i="33252"/>
  <c r="AT137" i="33252"/>
  <c r="AS142" i="33252"/>
  <c r="AO151" i="33252"/>
  <c r="AP164" i="33252"/>
  <c r="AQ149" i="33252"/>
  <c r="AS163" i="33252"/>
  <c r="AW160" i="33252"/>
  <c r="AV157" i="33252"/>
  <c r="AQ156" i="33252"/>
  <c r="AS157" i="33252"/>
  <c r="M158" i="33252" s="1"/>
  <c r="M159" i="33252" s="1"/>
  <c r="AO139" i="33252"/>
  <c r="B139" i="33252" s="1"/>
  <c r="AT156" i="33252"/>
  <c r="AT143" i="33252"/>
  <c r="AP143" i="33252"/>
  <c r="AV140" i="33252"/>
  <c r="AU145" i="33252"/>
  <c r="AQ139" i="33252"/>
  <c r="AQ137" i="33252"/>
  <c r="AS165" i="33252"/>
  <c r="AU146" i="33252"/>
  <c r="AU142" i="33252"/>
  <c r="AW166" i="33252"/>
  <c r="AW153" i="33252"/>
  <c r="AQ148" i="33252"/>
  <c r="AW159" i="33252"/>
  <c r="AW137" i="33252"/>
  <c r="AQ164" i="33252"/>
  <c r="AP159" i="33252"/>
  <c r="AW143" i="33252"/>
  <c r="AT163" i="33252"/>
  <c r="AV162" i="33252"/>
  <c r="P153" i="33252" s="1"/>
  <c r="AS158" i="33252"/>
  <c r="AT161" i="33252"/>
  <c r="AQ140" i="33252"/>
  <c r="AO157" i="33252"/>
  <c r="M141" i="33252" s="1"/>
  <c r="M143" i="33252" s="1"/>
  <c r="AQ155" i="33252"/>
  <c r="AP148" i="33252"/>
  <c r="AW165" i="33252"/>
  <c r="AU163" i="33252"/>
  <c r="AR146" i="33252"/>
  <c r="AP161" i="33252"/>
  <c r="N148" i="33252" s="1"/>
  <c r="AO160" i="33252"/>
  <c r="N140" i="33252" s="1"/>
  <c r="AT164" i="33252"/>
  <c r="AV156" i="33252"/>
  <c r="AO158" i="33252"/>
  <c r="AR138" i="33252"/>
  <c r="AS149" i="33252"/>
  <c r="AT149" i="33252"/>
  <c r="AV166" i="33252"/>
  <c r="AV150" i="33252"/>
  <c r="AT139" i="33252"/>
  <c r="AO141" i="33252"/>
  <c r="B141" i="33252" s="1"/>
  <c r="AS143" i="33252"/>
  <c r="AW154" i="33252"/>
  <c r="AR141" i="33252"/>
  <c r="AQ142" i="33252"/>
  <c r="AR164" i="33252"/>
  <c r="O155" i="33252" s="1"/>
  <c r="AW139" i="33252"/>
  <c r="AU151" i="33252"/>
  <c r="AQ146" i="33252"/>
  <c r="AP145" i="33252"/>
  <c r="AR155" i="33252"/>
  <c r="AO143" i="33252"/>
  <c r="B143" i="33252" s="1"/>
  <c r="AV143" i="33252"/>
  <c r="AO146" i="33252"/>
  <c r="AS141" i="33252"/>
  <c r="AW155" i="33252"/>
  <c r="AU137" i="33252"/>
  <c r="AW148" i="33252"/>
  <c r="AR161" i="33252"/>
  <c r="N155" i="33252" s="1"/>
  <c r="AT151" i="33252"/>
  <c r="AS144" i="33252"/>
  <c r="AV142" i="33252"/>
  <c r="AT140" i="33252"/>
  <c r="AP154" i="33252"/>
  <c r="AP158" i="33252"/>
  <c r="AW140" i="33252"/>
  <c r="AP149" i="33252"/>
  <c r="AQ147" i="33252"/>
  <c r="AU150" i="33252"/>
  <c r="AS138" i="33252"/>
  <c r="AR149" i="33252"/>
  <c r="AQ144" i="33252"/>
  <c r="AU155" i="33252"/>
  <c r="AR143" i="33252"/>
  <c r="AQ153" i="33252"/>
  <c r="AP138" i="33252"/>
  <c r="AV153" i="33252"/>
  <c r="AS164" i="33252"/>
  <c r="AS155" i="33252"/>
  <c r="AV148" i="33252"/>
  <c r="AV138" i="33252"/>
  <c r="AT145" i="33252"/>
  <c r="AW142" i="33252"/>
  <c r="AO149" i="33252"/>
  <c r="AU140" i="33252"/>
  <c r="AP166" i="33252"/>
  <c r="AO140" i="33252"/>
  <c r="B140" i="33252" s="1"/>
  <c r="AP162" i="33252"/>
  <c r="AU148" i="33252"/>
  <c r="AT138" i="33252"/>
  <c r="AR145" i="33252"/>
  <c r="AS137" i="33252"/>
  <c r="AT141" i="33252"/>
  <c r="AS147" i="33252"/>
  <c r="AR166" i="33252"/>
  <c r="AS156" i="33252"/>
  <c r="AR148" i="33252"/>
  <c r="AW147" i="33252"/>
  <c r="AW161" i="33252"/>
  <c r="AR156" i="33252"/>
  <c r="AW158" i="33252"/>
  <c r="AW138" i="33252"/>
  <c r="AP163" i="33252"/>
  <c r="AQ151" i="33252"/>
  <c r="AO138" i="33252"/>
  <c r="B138" i="33252" s="1"/>
  <c r="AU157" i="33252"/>
  <c r="AO152" i="33252"/>
  <c r="AP142" i="33252"/>
  <c r="AV139" i="33252"/>
  <c r="AP165" i="33252"/>
  <c r="AU164" i="33252"/>
  <c r="O151" i="33252" s="1"/>
  <c r="H30" i="3" s="1"/>
  <c r="AQ150" i="33252"/>
  <c r="AS145" i="33252"/>
  <c r="AW146" i="33252"/>
  <c r="AW152" i="33252"/>
  <c r="AW163" i="33252"/>
  <c r="AU165" i="33252"/>
  <c r="O152" i="33252" s="1"/>
  <c r="AQ161" i="33252"/>
  <c r="N152" i="33252" s="1"/>
  <c r="AS146" i="33252"/>
  <c r="AW156" i="33252"/>
  <c r="AU158" i="33252"/>
  <c r="AR147" i="33252"/>
  <c r="AR160" i="33252"/>
  <c r="N154" i="33252" s="1"/>
  <c r="AQ154" i="33252"/>
  <c r="AV146" i="33252"/>
  <c r="AP147" i="33252"/>
  <c r="AT153" i="33252"/>
  <c r="G153" i="33252" s="1"/>
  <c r="AR165" i="33252"/>
  <c r="AQ158" i="33252"/>
  <c r="AR153" i="33252"/>
  <c r="AP137" i="33252"/>
  <c r="AP150" i="33252"/>
  <c r="AO147" i="33252"/>
  <c r="AO166" i="33252"/>
  <c r="N146" i="33252" s="1"/>
  <c r="AU162" i="33252"/>
  <c r="AW144" i="33252"/>
  <c r="AR150" i="33252"/>
  <c r="AW141" i="33252"/>
  <c r="AQ160" i="33252"/>
  <c r="N151" i="33252" s="1"/>
  <c r="AW164" i="33252"/>
  <c r="AV160" i="33252"/>
  <c r="P151" i="33252" s="1"/>
  <c r="AR151" i="33252"/>
  <c r="AS148" i="33252"/>
  <c r="AW151" i="33252"/>
  <c r="AV149" i="33252"/>
  <c r="AS154" i="33252"/>
  <c r="H99" i="33252"/>
  <c r="Y98" i="33252"/>
  <c r="AC98" i="33252" s="1"/>
  <c r="H110" i="33252"/>
  <c r="Y110" i="33252"/>
  <c r="H108" i="33252"/>
  <c r="Y108" i="33252"/>
  <c r="AC108" i="33252" s="1"/>
  <c r="P113" i="33252" s="1"/>
  <c r="X111" i="33252" s="1"/>
  <c r="Y111" i="33252" s="1"/>
  <c r="H109" i="33252"/>
  <c r="Y109" i="33252"/>
  <c r="AC109" i="33252" s="1"/>
  <c r="CB36" i="83"/>
  <c r="X94" i="33252"/>
  <c r="Y94" i="33252" s="1"/>
  <c r="H150" i="33252" l="1"/>
  <c r="AF30" i="33252"/>
  <c r="AF33" i="33252" s="1"/>
  <c r="J33" i="33252" s="1"/>
  <c r="E41" i="3" s="1"/>
  <c r="E13" i="1027" s="1"/>
  <c r="J31" i="33252"/>
  <c r="X31" i="33252" s="1"/>
  <c r="Y31" i="33252" s="1"/>
  <c r="AD32" i="33252" s="1"/>
  <c r="AD34" i="33252" s="1"/>
  <c r="AE31" i="33252"/>
  <c r="AC31" i="33252"/>
  <c r="J36" i="1027"/>
  <c r="F32" i="3"/>
  <c r="J70" i="33252"/>
  <c r="AC70" i="33252"/>
  <c r="AE70" i="33252"/>
  <c r="AD70" i="33252"/>
  <c r="AD71" i="33252"/>
  <c r="F33" i="3"/>
  <c r="Y151" i="33252"/>
  <c r="H151" i="33252"/>
  <c r="Y149" i="33252"/>
  <c r="AC149" i="33252" s="1"/>
  <c r="P154" i="33252" s="1"/>
  <c r="X152" i="33252" s="1"/>
  <c r="Y152" i="33252" s="1"/>
  <c r="H149" i="33252"/>
  <c r="X441" i="1"/>
  <c r="X438" i="1"/>
  <c r="BR75" i="83"/>
  <c r="AE609" i="1"/>
  <c r="AF606" i="1"/>
  <c r="AC607" i="1" s="1"/>
  <c r="AC608" i="1" s="1"/>
  <c r="AL133" i="1"/>
  <c r="AM130" i="1"/>
  <c r="AJ131" i="1" s="1"/>
  <c r="AJ132" i="1" s="1"/>
  <c r="AL609" i="1"/>
  <c r="AM606" i="1"/>
  <c r="AJ607" i="1" s="1"/>
  <c r="AJ608" i="1" s="1"/>
  <c r="Q133" i="1"/>
  <c r="R130" i="1"/>
  <c r="O131" i="1" s="1"/>
  <c r="O132" i="1" s="1"/>
  <c r="Y139" i="33252"/>
  <c r="AC139" i="33252" s="1"/>
  <c r="H140" i="33252"/>
  <c r="Q441" i="1"/>
  <c r="Q438" i="1"/>
  <c r="AE441" i="1"/>
  <c r="AE438" i="1"/>
  <c r="AL438" i="1"/>
  <c r="AL441" i="1"/>
  <c r="G38" i="1027"/>
  <c r="J38" i="1027" s="1"/>
  <c r="AD152" i="33252"/>
  <c r="X135" i="33252"/>
  <c r="Y135" i="33252" s="1"/>
  <c r="CC36" i="83"/>
  <c r="Q609" i="1"/>
  <c r="R606" i="1"/>
  <c r="O607" i="1" s="1"/>
  <c r="O608" i="1" s="1"/>
  <c r="F32" i="1027"/>
  <c r="Y130" i="1"/>
  <c r="V131" i="1" s="1"/>
  <c r="V132" i="1" s="1"/>
  <c r="X133" i="1"/>
  <c r="AE55" i="83"/>
  <c r="AA58" i="83"/>
  <c r="AA55" i="83"/>
  <c r="AE58" i="83"/>
  <c r="AA57" i="83"/>
  <c r="AE57" i="83"/>
  <c r="AE56" i="83"/>
  <c r="AA56" i="83"/>
  <c r="Y606" i="1"/>
  <c r="V607" i="1" s="1"/>
  <c r="V608" i="1" s="1"/>
  <c r="X609" i="1"/>
  <c r="AE133" i="1"/>
  <c r="AF130" i="1"/>
  <c r="AC131" i="1" s="1"/>
  <c r="AC132" i="1" s="1"/>
  <c r="AD57" i="83"/>
  <c r="Z58" i="83"/>
  <c r="AD58" i="83"/>
  <c r="AD56" i="83"/>
  <c r="AD55" i="83"/>
  <c r="Z57" i="83"/>
  <c r="Z55" i="83"/>
  <c r="Z56" i="83"/>
  <c r="E68" i="2960"/>
  <c r="J20" i="3"/>
  <c r="G33" i="3"/>
  <c r="AD112" i="33252"/>
  <c r="J111" i="33252"/>
  <c r="G32" i="3"/>
  <c r="AD111" i="33252"/>
  <c r="AC111" i="33252"/>
  <c r="AE111" i="33252"/>
  <c r="AC32" i="33252" l="1"/>
  <c r="AC34" i="33252" s="1"/>
  <c r="AF34" i="33252" s="1"/>
  <c r="J34" i="33252" s="1"/>
  <c r="E61" i="3" s="1"/>
  <c r="E17" i="1027" s="1"/>
  <c r="AE32" i="33252"/>
  <c r="AE34" i="33252" s="1"/>
  <c r="AF70" i="33252"/>
  <c r="AD72" i="33252"/>
  <c r="AC71" i="33252"/>
  <c r="AE71" i="33252"/>
  <c r="AA59" i="83"/>
  <c r="AE59" i="83"/>
  <c r="AA60" i="83" s="1"/>
  <c r="E33" i="1027"/>
  <c r="D36" i="1027"/>
  <c r="AD153" i="33252"/>
  <c r="H33" i="3"/>
  <c r="BR77" i="83"/>
  <c r="AJ440" i="1"/>
  <c r="AJ439" i="1"/>
  <c r="V440" i="1"/>
  <c r="V439" i="1"/>
  <c r="AC440" i="1"/>
  <c r="AC439" i="1"/>
  <c r="O439" i="1"/>
  <c r="O440" i="1"/>
  <c r="J152" i="33252"/>
  <c r="H32" i="3"/>
  <c r="AC152" i="33252"/>
  <c r="AE152" i="33252"/>
  <c r="AF111" i="33252"/>
  <c r="AC112" i="33252"/>
  <c r="AD113" i="33252"/>
  <c r="AE112" i="33252"/>
  <c r="AE61" i="83" l="1"/>
  <c r="E21" i="1027" s="1"/>
  <c r="AF71" i="33252"/>
  <c r="AF74" i="33252" s="1"/>
  <c r="J74" i="33252" s="1"/>
  <c r="F41" i="3" s="1"/>
  <c r="F13" i="1027" s="1"/>
  <c r="J72" i="33252"/>
  <c r="X72" i="33252" s="1"/>
  <c r="Y72" i="33252" s="1"/>
  <c r="AD73" i="33252" s="1"/>
  <c r="AD75" i="33252" s="1"/>
  <c r="AE72" i="33252"/>
  <c r="AC72" i="33252"/>
  <c r="AF152" i="33252"/>
  <c r="H21" i="1027"/>
  <c r="G56" i="1027"/>
  <c r="AD154" i="33252"/>
  <c r="AC153" i="33252"/>
  <c r="AE153" i="33252"/>
  <c r="AF112" i="33252"/>
  <c r="AF115" i="33252" s="1"/>
  <c r="J115" i="33252" s="1"/>
  <c r="G41" i="3" s="1"/>
  <c r="G13" i="1027" s="1"/>
  <c r="J113" i="33252"/>
  <c r="X113" i="33252" s="1"/>
  <c r="Y113" i="33252" s="1"/>
  <c r="AD114" i="33252" s="1"/>
  <c r="AD116" i="33252" s="1"/>
  <c r="AC113" i="33252"/>
  <c r="AE113" i="33252"/>
  <c r="G21" i="1027" l="1"/>
  <c r="F21" i="1027"/>
  <c r="AE73" i="33252"/>
  <c r="AE75" i="33252" s="1"/>
  <c r="AC73" i="33252"/>
  <c r="AC75" i="33252" s="1"/>
  <c r="AF75" i="33252" s="1"/>
  <c r="J75" i="33252" s="1"/>
  <c r="F61" i="3" s="1"/>
  <c r="F17" i="1027" s="1"/>
  <c r="AE114" i="33252"/>
  <c r="AE116" i="33252" s="1"/>
  <c r="AF153" i="33252"/>
  <c r="AF156" i="33252" s="1"/>
  <c r="J156" i="33252" s="1"/>
  <c r="H41" i="3" s="1"/>
  <c r="H13" i="1027" s="1"/>
  <c r="J154" i="33252"/>
  <c r="X154" i="33252" s="1"/>
  <c r="Y154" i="33252" s="1"/>
  <c r="AD155" i="33252" s="1"/>
  <c r="AD157" i="33252" s="1"/>
  <c r="AC154" i="33252"/>
  <c r="AE154" i="33252"/>
  <c r="AC114" i="33252"/>
  <c r="AC116" i="33252" s="1"/>
  <c r="AF116" i="33252" s="1"/>
  <c r="J116" i="33252" s="1"/>
  <c r="G61" i="3" s="1"/>
  <c r="AC155" i="33252" l="1"/>
  <c r="AC157" i="33252" s="1"/>
  <c r="AF157" i="33252" s="1"/>
  <c r="J157" i="33252" s="1"/>
  <c r="H61" i="3" s="1"/>
  <c r="H17" i="1027" s="1"/>
  <c r="AE155" i="33252"/>
  <c r="AE157" i="33252" s="1"/>
  <c r="G17" i="1027"/>
  <c r="I61" i="3" l="1"/>
  <c r="J60" i="3" s="1"/>
</calcChain>
</file>

<file path=xl/comments1.xml><?xml version="1.0" encoding="utf-8"?>
<comments xmlns="http://schemas.openxmlformats.org/spreadsheetml/2006/main">
  <authors>
    <author>Arthur Huber</author>
    <author>widmer</author>
    <author>Fuchs Daniel</author>
  </authors>
  <commentList>
    <comment ref="B5" authorId="0" shapeId="0">
      <text>
        <r>
          <rPr>
            <sz val="8"/>
            <color indexed="81"/>
            <rFont val="Tahoma"/>
            <family val="2"/>
          </rPr>
          <t>Utilizzare un formulario di verifica per ogni unità d'abitazione (per es. casa unifamiliare, unità abitativa di case gemelle, case a schiera, ecc. ). Eccezione: casa bifamiliare = 1 formulario di verifica.</t>
        </r>
      </text>
    </comment>
    <comment ref="B7" authorId="0" shapeId="0">
      <text>
        <r>
          <rPr>
            <sz val="8"/>
            <color indexed="81"/>
            <rFont val="Tahoma"/>
            <family val="2"/>
          </rPr>
          <t>Dati di progetto completi con designazione dell'oggetto (costruzione nuova/ristrutturazione/ ampliamento/casa unifamiliare/casa unifamiliare gemella/casa a schiera o casa bifamiliare)</t>
        </r>
      </text>
    </comment>
    <comment ref="B8" authorId="0" shapeId="0">
      <text>
        <r>
          <rPr>
            <sz val="8"/>
            <color indexed="81"/>
            <rFont val="Tahoma"/>
            <family val="2"/>
          </rPr>
          <t xml:space="preserve">Importante per il certificato: indicazione precisa del luogo  dell'edificio, con nome della via e numero </t>
        </r>
      </text>
    </comment>
    <comment ref="B12" authorId="0" shapeId="0">
      <text>
        <r>
          <rPr>
            <sz val="8"/>
            <color indexed="81"/>
            <rFont val="Tahoma"/>
            <family val="2"/>
          </rPr>
          <t xml:space="preserve">Unità d'abitazione di case gemelle, casa bifamiliare e unità abitativa di case a schiera, sono da indicare come casa unifamiliare </t>
        </r>
      </text>
    </comment>
    <comment ref="B14" authorId="0" shapeId="0">
      <text>
        <r>
          <rPr>
            <sz val="8"/>
            <color indexed="81"/>
            <rFont val="Tahoma"/>
            <family val="2"/>
          </rPr>
          <t>Superficie di riferimento energetico (A</t>
        </r>
        <r>
          <rPr>
            <sz val="5"/>
            <color indexed="81"/>
            <rFont val="Tahoma"/>
            <family val="2"/>
          </rPr>
          <t>E</t>
        </r>
        <r>
          <rPr>
            <sz val="8"/>
            <color indexed="81"/>
            <rFont val="Tahoma"/>
            <family val="2"/>
          </rPr>
          <t>) di tutto l'edificio, per le case unifamiliari gemelle o a schiera è considerata la A</t>
        </r>
        <r>
          <rPr>
            <sz val="5"/>
            <color indexed="81"/>
            <rFont val="Tahoma"/>
            <family val="2"/>
          </rPr>
          <t>E</t>
        </r>
        <r>
          <rPr>
            <sz val="8"/>
            <color indexed="81"/>
            <rFont val="Tahoma"/>
            <family val="2"/>
          </rPr>
          <t xml:space="preserve"> della singola unità abitativa
</t>
        </r>
      </text>
    </comment>
    <comment ref="E14" authorId="1" shapeId="0">
      <text>
        <r>
          <rPr>
            <sz val="8"/>
            <color indexed="81"/>
            <rFont val="Tahoma"/>
            <family val="2"/>
          </rPr>
          <t>Edificio unico realizzato in un unico esemplare.
Selezionare la fascia A</t>
        </r>
        <r>
          <rPr>
            <sz val="5"/>
            <color indexed="81"/>
            <rFont val="Tahoma"/>
            <family val="2"/>
          </rPr>
          <t>E</t>
        </r>
        <r>
          <rPr>
            <sz val="8"/>
            <color indexed="81"/>
            <rFont val="Tahoma"/>
            <family val="2"/>
          </rPr>
          <t xml:space="preserve">.
</t>
        </r>
      </text>
    </comment>
    <comment ref="H14" authorId="1" shapeId="0">
      <text>
        <r>
          <rPr>
            <sz val="8"/>
            <color indexed="81"/>
            <rFont val="Tahoma"/>
            <family val="2"/>
          </rPr>
          <t>Edifici singoli, costruiti nell'ambito di una prima certificazione multipla (&lt;= 2000 m2 oppure 
&gt; 2000 m2), per esempio in una lottizzazione o quale casa tipo. La A</t>
        </r>
        <r>
          <rPr>
            <sz val="5"/>
            <color indexed="81"/>
            <rFont val="Tahoma"/>
            <family val="2"/>
          </rPr>
          <t>E</t>
        </r>
        <r>
          <rPr>
            <sz val="8"/>
            <color indexed="81"/>
            <rFont val="Tahoma"/>
            <family val="2"/>
          </rPr>
          <t xml:space="preserve"> è riferita al singolo edificio, rispettivamente alla casa tipo
MINERGIE:
Ulteriore costruzione: edificio che viene costruito nuovamente in una lottizzazione, sulla base della prima certificazione multipla.</t>
        </r>
      </text>
    </comment>
    <comment ref="D16" authorId="0" shapeId="0">
      <text>
        <r>
          <rPr>
            <sz val="8"/>
            <color indexed="81"/>
            <rFont val="Tahoma"/>
            <family val="2"/>
          </rPr>
          <t xml:space="preserve">Numero di unità abitative considerate per domanda
Numero di unità abitative: Per case unifamiliari, gemelle o a  schiera sempre 1; eccezione case bifamiliari = 2
</t>
        </r>
      </text>
    </comment>
    <comment ref="I16" authorId="0" shapeId="0">
      <text>
        <r>
          <rPr>
            <sz val="8"/>
            <color indexed="81"/>
            <rFont val="Tahoma"/>
            <family val="2"/>
          </rPr>
          <t>Possibile solo se sono soddisfatte le seguenti condizioni:
- A</t>
        </r>
        <r>
          <rPr>
            <sz val="5"/>
            <color indexed="81"/>
            <rFont val="Tahoma"/>
            <family val="2"/>
          </rPr>
          <t>E</t>
        </r>
        <r>
          <rPr>
            <sz val="8"/>
            <color indexed="81"/>
            <rFont val="Tahoma"/>
            <family val="2"/>
          </rPr>
          <t xml:space="preserve"> identica per tutte le parti di edificio
- parte di edificio identica (case gemelle)
- uguale impiantistica
- tutte le parti di edificio certificate contemporaneamente
- 1 verifica su tutta la casa  oppure sulla parte con l'orientamento più sfavorito</t>
        </r>
      </text>
    </comment>
    <comment ref="A31" authorId="2" shapeId="0">
      <text>
        <r>
          <rPr>
            <b/>
            <sz val="9"/>
            <color indexed="81"/>
            <rFont val="Tahoma"/>
            <charset val="1"/>
          </rPr>
          <t>La retribuzione una tantum sono permesse.</t>
        </r>
      </text>
    </comment>
  </commentList>
</comments>
</file>

<file path=xl/comments2.xml><?xml version="1.0" encoding="utf-8"?>
<comments xmlns="http://schemas.openxmlformats.org/spreadsheetml/2006/main">
  <authors>
    <author>Arthur Huber</author>
    <author>widmer</author>
    <author>Huber</author>
  </authors>
  <commentList>
    <comment ref="B13" authorId="0" shapeId="0">
      <text>
        <r>
          <rPr>
            <sz val="8"/>
            <color indexed="81"/>
            <rFont val="Tahoma"/>
            <family val="2"/>
          </rPr>
          <t>Ristoranti, edifici per lo sport e piscine coperte sono sempre da calcolare senza l'acqua calda. Amministrazioni, scuole, negozi, locali pubblici, industrie e depositi possono essere calcolati senza l'acqua calda alla condizione che sia previsto un impianto decentralizzato senza una rete di distribuzione dell'acqua calda sanitaria.</t>
        </r>
      </text>
    </comment>
    <comment ref="B14" authorId="0" shapeId="0">
      <text>
        <r>
          <rPr>
            <sz val="8"/>
            <color indexed="81"/>
            <rFont val="Tahoma"/>
            <family val="2"/>
          </rPr>
          <t>Dato d'inserimento obbligatorio:
SRE senza correzione dell'altezza del piano da riprendere dal calcolo SIA 380/1</t>
        </r>
      </text>
    </comment>
    <comment ref="B15" authorId="0" shapeId="0">
      <text>
        <r>
          <rPr>
            <sz val="8"/>
            <color indexed="81"/>
            <rFont val="Tahoma"/>
            <family val="2"/>
          </rPr>
          <t>Dato d'inserimento obbligatorio: 
AE ripresa dal calcolo SIA 380/1</t>
        </r>
        <r>
          <rPr>
            <sz val="8"/>
            <color indexed="10"/>
            <rFont val="Tahoma"/>
            <family val="2"/>
          </rPr>
          <t xml:space="preserve">
</t>
        </r>
      </text>
    </comment>
    <comment ref="B16" authorId="0" shapeId="0">
      <text>
        <r>
          <rPr>
            <sz val="8"/>
            <color indexed="81"/>
            <rFont val="Tahoma"/>
            <family val="2"/>
          </rPr>
          <t>Dato d'inserimento obbligatorio:
deve essere ripreso dal calcolo SIA 380/1</t>
        </r>
        <r>
          <rPr>
            <sz val="8"/>
            <color indexed="81"/>
            <rFont val="Tahoma"/>
            <family val="2"/>
          </rPr>
          <t xml:space="preserve">
</t>
        </r>
      </text>
    </comment>
    <comment ref="B17" authorId="1" shapeId="0">
      <text>
        <r>
          <rPr>
            <sz val="8"/>
            <color indexed="81"/>
            <rFont val="Tahoma"/>
            <family val="2"/>
          </rPr>
          <t xml:space="preserve">Anno di costruzione (completamento lavori) a partire dal 2000
</t>
        </r>
        <r>
          <rPr>
            <sz val="8"/>
            <color indexed="81"/>
            <rFont val="Tahoma"/>
            <family val="2"/>
          </rPr>
          <t xml:space="preserve">
</t>
        </r>
      </text>
    </comment>
    <comment ref="B18" authorId="0" shapeId="0">
      <text>
        <r>
          <rPr>
            <b/>
            <sz val="8"/>
            <color indexed="81"/>
            <rFont val="Tahoma"/>
            <family val="2"/>
          </rPr>
          <t xml:space="preserve">Modo distribuzione di calore: </t>
        </r>
        <r>
          <rPr>
            <sz val="8"/>
            <color indexed="81"/>
            <rFont val="Tahoma"/>
            <family val="2"/>
          </rPr>
          <t xml:space="preserve">Dato d'inserimento obbligatorio
- Riscaldamento a pavimento
- Riscaldamento a soffitto
- Corpi riscaldanti
- Solette termoattive 
- Riscaldamento ad aria (anche combinazioni con riscaldamento ad aria)
- Combinazione
Il genere dell'emissione di calore non ha influenza sul calcolo. </t>
        </r>
        <r>
          <rPr>
            <sz val="8"/>
            <color indexed="10"/>
            <rFont val="Tahoma"/>
            <family val="2"/>
          </rPr>
          <t xml:space="preserve">
</t>
        </r>
        <r>
          <rPr>
            <sz val="8"/>
            <color indexed="81"/>
            <rFont val="Tahoma"/>
            <family val="2"/>
          </rPr>
          <t>Soltanto le informazioni.</t>
        </r>
      </text>
    </comment>
    <comment ref="B19" authorId="2" shapeId="0">
      <text>
        <r>
          <rPr>
            <sz val="8"/>
            <color indexed="81"/>
            <rFont val="Tahoma"/>
            <family val="2"/>
          </rPr>
          <t>Riporto dalla rubrica "Estate": nessun dato necessario</t>
        </r>
      </text>
    </comment>
    <comment ref="B20" authorId="0" shapeId="0">
      <text>
        <r>
          <rPr>
            <b/>
            <sz val="8"/>
            <color indexed="81"/>
            <rFont val="Tahoma"/>
            <family val="2"/>
          </rPr>
          <t xml:space="preserve">Dato d'inserimento obbligatorio:
</t>
        </r>
        <r>
          <rPr>
            <sz val="8"/>
            <color indexed="81"/>
            <rFont val="Tahoma"/>
            <family val="2"/>
          </rPr>
          <t xml:space="preserve">il fabbisogno termico per il riscaldamento con ricambio d'aria standard deve essere ripreso dal calcolo secondo la SIA 380/1:2009. </t>
        </r>
        <r>
          <rPr>
            <b/>
            <sz val="8"/>
            <color indexed="81"/>
            <rFont val="Tahoma"/>
            <family val="2"/>
          </rPr>
          <t xml:space="preserve">
</t>
        </r>
      </text>
    </comment>
    <comment ref="B21" authorId="0" shapeId="0">
      <text>
        <r>
          <rPr>
            <b/>
            <sz val="8"/>
            <color indexed="81"/>
            <rFont val="Tahoma"/>
            <family val="2"/>
          </rPr>
          <t xml:space="preserve">Dato d'inserimento facoltativo:
</t>
        </r>
        <r>
          <rPr>
            <sz val="8"/>
            <color indexed="81"/>
            <rFont val="Tahoma"/>
            <family val="2"/>
          </rPr>
          <t xml:space="preserve">Si può richiedere un bonus di kWh/m2 per gli edifici situati a un'altitudine superiore a 800m s.l.m. e per i fattori d'ombreggiamento &lt;= 0,6.
Solo </t>
        </r>
        <r>
          <rPr>
            <b/>
            <sz val="8"/>
            <color indexed="81"/>
            <rFont val="Tahoma"/>
            <family val="2"/>
          </rPr>
          <t xml:space="preserve">MINERGIE-P: </t>
        </r>
        <r>
          <rPr>
            <sz val="8"/>
            <color indexed="81"/>
            <rFont val="Tahoma"/>
            <family val="2"/>
          </rPr>
          <t xml:space="preserve">fabbisogno di potenza spec.MP
Il fabbisogno di potenza termica spec. MP qh-MPmax, dev'essere inferiore a 10 W/m2. Questa esigenza vale solo per edifici che distribuiscono il calore soprattutto tramite l'impianto d'aerazione.
Nur </t>
        </r>
        <r>
          <rPr>
            <b/>
            <sz val="8"/>
            <color indexed="81"/>
            <rFont val="Tahoma"/>
            <family val="2"/>
          </rPr>
          <t>MINERGIE-A:</t>
        </r>
        <r>
          <rPr>
            <sz val="8"/>
            <color indexed="81"/>
            <rFont val="Tahoma"/>
            <family val="2"/>
          </rPr>
          <t xml:space="preserve"> Spezifische Graue Energie
Übertrag aus externer Berechnung.</t>
        </r>
      </text>
    </comment>
    <comment ref="B23" authorId="1" shapeId="0">
      <text>
        <r>
          <rPr>
            <b/>
            <sz val="8"/>
            <color indexed="81"/>
            <rFont val="Tahoma"/>
            <family val="2"/>
          </rPr>
          <t xml:space="preserve">MINERGIE: </t>
        </r>
        <r>
          <rPr>
            <sz val="8"/>
            <color indexed="81"/>
            <rFont val="Tahoma"/>
            <family val="2"/>
          </rPr>
          <t xml:space="preserve">Scegliete un piccolo impianto con valori standard? Se sì, è necessario compilare le righe 16 – 21 e 24 del riquadro "Impianti d’aerazione". Altrimenti non è necessario compilare la rubrica "Aerazione".
</t>
        </r>
        <r>
          <rPr>
            <b/>
            <sz val="8"/>
            <color indexed="81"/>
            <rFont val="Tahoma"/>
            <family val="2"/>
          </rPr>
          <t>MINERGIE-P / MINERGIE-A:</t>
        </r>
        <r>
          <rPr>
            <sz val="8"/>
            <color indexed="81"/>
            <rFont val="Tahoma"/>
            <family val="2"/>
          </rPr>
          <t xml:space="preserve"> non possono essere scelti i piccoli impianti con valori standard, bisogna compilare il registro "ventilazione"
</t>
        </r>
      </text>
    </comment>
    <comment ref="B26" authorId="0" shapeId="0">
      <text>
        <r>
          <rPr>
            <b/>
            <sz val="8"/>
            <color indexed="81"/>
            <rFont val="Tahoma"/>
            <family val="2"/>
          </rPr>
          <t>MINERGIE:</t>
        </r>
        <r>
          <rPr>
            <sz val="8"/>
            <color indexed="81"/>
            <rFont val="Tahoma"/>
            <family val="2"/>
          </rPr>
          <t xml:space="preserve"> Se si seleziona "Sì" per i piccoli impianti con valori standard, non è necessario compilare il foglio di registro "Aerazione" e in questo caso verrà effettuato un calcolo per l'aerazione estremamente semplificato. </t>
        </r>
        <r>
          <rPr>
            <sz val="8"/>
            <color indexed="81"/>
            <rFont val="Tahoma"/>
            <family val="2"/>
          </rPr>
          <t xml:space="preserve">
</t>
        </r>
        <r>
          <rPr>
            <b/>
            <sz val="8"/>
            <color indexed="81"/>
            <rFont val="Tahoma"/>
            <family val="2"/>
          </rPr>
          <t xml:space="preserve">Solo MINERGIE-P: </t>
        </r>
        <r>
          <rPr>
            <sz val="8"/>
            <color indexed="81"/>
            <rFont val="Tahoma"/>
            <family val="2"/>
          </rPr>
          <t xml:space="preserve">numero di facciate esterne con finestre/porte e tipo di posizione dell'edificio
- numero di facciate con finestre/porte (vedi SIA 384/2): scegliere tra "1" e "più di 1"
- tipo di posizione: scegliere tra "esposta", "libera" e "riparata".
Dati per il calcolo del fattore e del ricambio d'aria termicamente determinante.
</t>
        </r>
      </text>
    </comment>
    <comment ref="B27" authorId="0" shapeId="0">
      <text>
        <r>
          <rPr>
            <b/>
            <sz val="8"/>
            <color indexed="81"/>
            <rFont val="Tahoma"/>
            <family val="2"/>
          </rPr>
          <t xml:space="preserve">Scelta dell'aerazione:
</t>
        </r>
        <r>
          <rPr>
            <sz val="8"/>
            <color indexed="81"/>
            <rFont val="Tahoma"/>
            <family val="2"/>
          </rPr>
          <t>- aerazione + RC:                  impianti d'immissione ed espulsione dell'aria
                                               con recupero di calore
- aerazione + PAC:                impianti d'immissione ed espulsione dell'aria  
                                               con pompa di calore sull'aspirazione dell'aria 
- estrazione dell'aria:             impianto d'estrazione dell'aria senza recupero di
                                               calore; con bocchette immissione aria esterna
- estrazione dell'aria+PAC:    impianto d'estrazione dell'aria con pompa di 
                                               calore sull'aspirazione dell'aria
- aerazione per ogni locale:    aerazione di ogni singolo locale con recupero di
                                               calore
- aeraz. aut. tramite finestre:aerazione automatica tramite le finestre</t>
        </r>
        <r>
          <rPr>
            <sz val="8"/>
            <color indexed="81"/>
            <rFont val="Tahoma"/>
            <family val="2"/>
          </rPr>
          <t xml:space="preserve">
 </t>
        </r>
      </text>
    </comment>
    <comment ref="B28" authorId="0" shapeId="0">
      <text>
        <r>
          <rPr>
            <sz val="8"/>
            <color indexed="81"/>
            <rFont val="Tahoma"/>
            <family val="2"/>
          </rPr>
          <t xml:space="preserve">Numero di stanze con immissione d'aria:
dato d'inserimento necessario solo per utilizzo a scopi d'abitazione (abitazioni monofamiliari o plurifamiliari).
Numero di persone (totale per zona):
dato d'inserimento necessario per amministrazione o scuole.
È utilizzato per calcolare il volume d'aria immessa.
</t>
        </r>
      </text>
    </comment>
    <comment ref="B29" authorId="0" shapeId="0">
      <text>
        <r>
          <rPr>
            <sz val="8"/>
            <color indexed="81"/>
            <rFont val="Tahoma"/>
            <family val="2"/>
          </rPr>
          <t>Dati relativi al dispositivo d'aerazione</t>
        </r>
        <r>
          <rPr>
            <sz val="8"/>
            <color indexed="81"/>
            <rFont val="Tahoma"/>
            <family val="2"/>
          </rPr>
          <t xml:space="preserve">
</t>
        </r>
      </text>
    </comment>
    <comment ref="B30" authorId="0" shapeId="0">
      <text>
        <r>
          <rPr>
            <sz val="8"/>
            <color indexed="81"/>
            <rFont val="Tahoma"/>
            <family val="2"/>
          </rPr>
          <t xml:space="preserve">Dato per piccoli impianti con valori standard:
il tipo di recupero di calore è utilizzato per calcolare il rendimento del RC annuo. A dipendenza dell'apparecchio scelto sono a disposizione i seguenti tipi di recuperatori:
- nessun recupero di calore
- scambiatore a correnti incrociate
- scambiatore controcorrente
- scambiatore rotativo
</t>
        </r>
        <r>
          <rPr>
            <b/>
            <sz val="8"/>
            <color indexed="81"/>
            <rFont val="Tahoma"/>
            <family val="2"/>
          </rPr>
          <t xml:space="preserve">MINERGIE-P / MINERGIE-A: </t>
        </r>
        <r>
          <rPr>
            <sz val="8"/>
            <color indexed="81"/>
            <rFont val="Tahoma"/>
            <family val="2"/>
          </rPr>
          <t xml:space="preserve">
- scambiatore termico a flusso incrociato (non raccomandato)
- scambiatore in controcorrente
- scambiatore rotativo</t>
        </r>
      </text>
    </comment>
    <comment ref="B31" authorId="0" shapeId="0">
      <text>
        <r>
          <rPr>
            <sz val="8"/>
            <color indexed="81"/>
            <rFont val="Tahoma"/>
            <family val="2"/>
          </rPr>
          <t xml:space="preserve">Dato d'inserimento per piccoli impianti con valori standard:
motori utilizzati per i ventilatori d’aerazione:
corrente alternata (AC) o corrente continua (DC).
</t>
        </r>
      </text>
    </comment>
    <comment ref="B34" authorId="2" shapeId="0">
      <text>
        <r>
          <rPr>
            <sz val="8"/>
            <color indexed="81"/>
            <rFont val="Tahoma"/>
            <family val="2"/>
          </rPr>
          <t>I risultati del calcolo esterno tramite il Tool SIA TEC 382, sono da inserire in questa parte. Importante per impianti di climatizzazione</t>
        </r>
      </text>
    </comment>
    <comment ref="B35" authorId="0" shapeId="0">
      <text>
        <r>
          <rPr>
            <sz val="8"/>
            <color indexed="81"/>
            <rFont val="Tahoma"/>
            <family val="2"/>
          </rPr>
          <t xml:space="preserve">Viene impiegato un raffreddamento o un'umidificazione? </t>
        </r>
      </text>
    </comment>
    <comment ref="B36" authorId="2" shapeId="0">
      <text>
        <r>
          <rPr>
            <b/>
            <sz val="8"/>
            <color indexed="81"/>
            <rFont val="Tahoma"/>
            <family val="2"/>
          </rPr>
          <t xml:space="preserve">Portata d'aria esterna termicamente determinante in m3/h. </t>
        </r>
        <r>
          <rPr>
            <sz val="8"/>
            <color indexed="81"/>
            <rFont val="Tahoma"/>
            <family val="2"/>
          </rPr>
          <t>Valore da riprendere dal Tool esterno SIA 380/4</t>
        </r>
      </text>
    </comment>
    <comment ref="B37" authorId="0" shapeId="0">
      <text>
        <r>
          <rPr>
            <b/>
            <sz val="8"/>
            <color indexed="81"/>
            <rFont val="Tahoma"/>
            <family val="2"/>
          </rPr>
          <t xml:space="preserve">Fabbisogno elettrico per l'aerazione. </t>
        </r>
        <r>
          <rPr>
            <sz val="8"/>
            <color indexed="81"/>
            <rFont val="Tahoma"/>
            <family val="2"/>
          </rPr>
          <t>Nel caso di raffreddamento o umidificazione, dato obbligatorio. 
Valore da riportare dal Tool SIA 380/4. Sostituisce il fabbisogno elettrico calcolato al foglio "Aerazione".</t>
        </r>
      </text>
    </comment>
    <comment ref="B38" authorId="0" shapeId="0">
      <text>
        <r>
          <rPr>
            <sz val="8"/>
            <color indexed="81"/>
            <rFont val="Tahoma"/>
            <family val="2"/>
          </rPr>
          <t>Fabbisogno elettrico per raffreddamento calcolato tramite Tool esterno SIA 380/4</t>
        </r>
      </text>
    </comment>
    <comment ref="B39" authorId="0" shapeId="0">
      <text>
        <r>
          <rPr>
            <b/>
            <sz val="8"/>
            <color indexed="81"/>
            <rFont val="Tahoma"/>
            <family val="2"/>
          </rPr>
          <t xml:space="preserve">Fabbisogno elettrico per umidificazione:
</t>
        </r>
        <r>
          <rPr>
            <sz val="8"/>
            <color indexed="81"/>
            <rFont val="Tahoma"/>
            <family val="2"/>
          </rPr>
          <t xml:space="preserve">Fabbisogno elettrico per umidificazione calcolato tramite Tool esterno SIA 380/4. 
</t>
        </r>
        <r>
          <rPr>
            <b/>
            <sz val="8"/>
            <color indexed="81"/>
            <rFont val="Tahoma"/>
            <family val="2"/>
          </rPr>
          <t xml:space="preserve">
</t>
        </r>
        <r>
          <rPr>
            <sz val="8"/>
            <color indexed="81"/>
            <rFont val="Tahoma"/>
            <family val="2"/>
          </rPr>
          <t xml:space="preserve">Per </t>
        </r>
        <r>
          <rPr>
            <b/>
            <sz val="8"/>
            <color indexed="81"/>
            <rFont val="Tahoma"/>
            <family val="2"/>
          </rPr>
          <t>MINERGIE-A/-P</t>
        </r>
        <r>
          <rPr>
            <sz val="8"/>
            <color indexed="81"/>
            <rFont val="Tahoma"/>
            <family val="2"/>
          </rPr>
          <t xml:space="preserve"> va inserito qui il fabbisogno elettrico delle pompe di circolazione, degli aggregati e dell'umidificazione (vedi valori standard nelle istruzioni per l'uso). Dato obbligatorio.
</t>
        </r>
        <r>
          <rPr>
            <b/>
            <sz val="8"/>
            <color indexed="81"/>
            <rFont val="Tahoma"/>
            <family val="2"/>
          </rPr>
          <t>MINERGIE-A:</t>
        </r>
        <r>
          <rPr>
            <sz val="8"/>
            <color indexed="81"/>
            <rFont val="Tahoma"/>
            <family val="2"/>
          </rPr>
          <t xml:space="preserve">  Va inserito il valore risultante dal calcolo esterno "calcolo energia ausiliaria"</t>
        </r>
      </text>
    </comment>
    <comment ref="B41" authorId="0" shapeId="0">
      <text>
        <r>
          <rPr>
            <b/>
            <sz val="8"/>
            <color indexed="81"/>
            <rFont val="Tahoma"/>
            <family val="2"/>
          </rPr>
          <t xml:space="preserve">Portata volumetrica d'aria esterna determinante a livello termico secondo la SIA 380/1(con impianto di aerazione): 
</t>
        </r>
        <r>
          <rPr>
            <sz val="8"/>
            <color indexed="81"/>
            <rFont val="Tahoma"/>
            <family val="2"/>
          </rPr>
          <t>tale valore deve concordare con il dato inserito del calcolo per il fabbisogno termico per il riscaldamento con ricambio d'aria effettivo.</t>
        </r>
        <r>
          <rPr>
            <sz val="8"/>
            <color indexed="81"/>
            <rFont val="Tahoma"/>
            <family val="2"/>
          </rPr>
          <t xml:space="preserve">
</t>
        </r>
      </text>
    </comment>
    <comment ref="B42" authorId="0" shapeId="0">
      <text>
        <r>
          <rPr>
            <b/>
            <sz val="8"/>
            <color indexed="81"/>
            <rFont val="Tahoma"/>
            <family val="2"/>
          </rPr>
          <t xml:space="preserve">Importante per Qh,eff. O Qh,corr.:
</t>
        </r>
        <r>
          <rPr>
            <sz val="8"/>
            <color indexed="81"/>
            <rFont val="Tahoma"/>
            <family val="2"/>
          </rPr>
          <t xml:space="preserve">inserire fabbisogno di calore per il riscaldamento Qh,eff. con portata d'aria esterna termicamente determinante Vth secondo calcolo SIA 380/1:2009
</t>
        </r>
        <r>
          <rPr>
            <b/>
            <sz val="8"/>
            <color indexed="81"/>
            <rFont val="Tahoma"/>
            <family val="2"/>
          </rPr>
          <t xml:space="preserve">
Facoltativo:</t>
        </r>
        <r>
          <rPr>
            <sz val="8"/>
            <color indexed="81"/>
            <rFont val="Tahoma"/>
            <family val="2"/>
          </rPr>
          <t xml:space="preserve"> invece di Qh,eff. può essere inserito Qh,corr. che considera anche la correzione dell'altezza del locale (corrzione secondo indicazioni MINERGIE)</t>
        </r>
      </text>
    </comment>
    <comment ref="B46" authorId="0" shapeId="0">
      <text>
        <r>
          <rPr>
            <b/>
            <sz val="8"/>
            <color indexed="81"/>
            <rFont val="Tahoma"/>
            <family val="2"/>
          </rPr>
          <t xml:space="preserve">MINERGIE-P:
</t>
        </r>
        <r>
          <rPr>
            <sz val="8"/>
            <color indexed="81"/>
            <rFont val="Tahoma"/>
            <family val="2"/>
          </rPr>
          <t xml:space="preserve"> Il richiedente conferma con la sua firma apposta sul formulario di verifica che saranno impiegati esclusivamente elettrodomestici della classe A risp. A+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47" authorId="1" shapeId="0">
      <text>
        <r>
          <rPr>
            <sz val="8"/>
            <color indexed="81"/>
            <rFont val="Tahoma"/>
            <family val="2"/>
          </rPr>
          <t>Vale per tutte le categorie escluso "casa plurifamiliare" e "casa unifamiliare". Per le eccezioni vedi allegato C. Giustificare adeguatamente quando le esigenze supplementasri non sono soddisfatte.</t>
        </r>
      </text>
    </comment>
    <comment ref="B48" authorId="1" shapeId="0">
      <text>
        <r>
          <rPr>
            <sz val="8"/>
            <color indexed="81"/>
            <rFont val="Tahoma"/>
            <family val="2"/>
          </rPr>
          <t>Vale per le categorie "ristoranti", "edifici sportivi" e "piscine coperte" , quando il fabbisogno energetico per l'acqua calda &gt; 10 kWh/m2 (SRE0):
20% apporto con energia rinnovabile</t>
        </r>
      </text>
    </comment>
    <comment ref="B49" authorId="1" shapeId="0">
      <text>
        <r>
          <rPr>
            <sz val="8"/>
            <color indexed="81"/>
            <rFont val="Tahoma"/>
            <family val="2"/>
          </rPr>
          <t>Vale per le categorie "negozi" e "ospedali". Il calore residuo è di principio da sfruttare. Giustificare adeguatamente quando non vengono soddisfatte le esigenze supplementari.</t>
        </r>
      </text>
    </comment>
    <comment ref="B52" authorId="1" shapeId="0">
      <text>
        <r>
          <rPr>
            <sz val="8"/>
            <color indexed="81"/>
            <rFont val="Tahoma"/>
            <family val="2"/>
          </rPr>
          <t>Valido per la categoria "Piscine coperte" quando vengono rinnovate.</t>
        </r>
      </text>
    </comment>
    <comment ref="B53" authorId="0" shapeId="0">
      <text>
        <r>
          <rPr>
            <sz val="8"/>
            <color indexed="81"/>
            <rFont val="Tahoma"/>
            <family val="2"/>
          </rPr>
          <t>vale per MINERGIE-P e MINERGIE-A</t>
        </r>
      </text>
    </comment>
  </commentList>
</comments>
</file>

<file path=xl/comments3.xml><?xml version="1.0" encoding="utf-8"?>
<comments xmlns="http://schemas.openxmlformats.org/spreadsheetml/2006/main">
  <authors>
    <author>Fuchs Daniel</author>
    <author>Arthur Huber</author>
    <author>patricia.buergi</author>
  </authors>
  <commentList>
    <comment ref="B19" authorId="0" shapeId="0">
      <text>
        <r>
          <rPr>
            <b/>
            <sz val="9"/>
            <color indexed="81"/>
            <rFont val="Tahoma"/>
            <family val="2"/>
          </rPr>
          <t>valori g, descrizione del prodotto.</t>
        </r>
      </text>
    </comment>
    <comment ref="B20" authorId="1" shapeId="0">
      <text>
        <r>
          <rPr>
            <sz val="8"/>
            <color indexed="81"/>
            <rFont val="Tahoma"/>
            <family val="2"/>
          </rPr>
          <t>Se in S14 si risponde Si, in S11 bisogna rispondere n.a</t>
        </r>
      </text>
    </comment>
    <comment ref="B23" authorId="2" shapeId="0">
      <text>
        <r>
          <rPr>
            <sz val="8"/>
            <color indexed="81"/>
            <rFont val="Tahoma"/>
            <family val="2"/>
          </rPr>
          <t xml:space="preserve">Se si riscontra questa situazione, la percentuale di vetro non è rilevante. Se una delle caratteristiche elencate non è presente, bisogna rispondere n.a
</t>
        </r>
      </text>
    </comment>
  </commentList>
</comments>
</file>

<file path=xl/comments4.xml><?xml version="1.0" encoding="utf-8"?>
<comments xmlns="http://schemas.openxmlformats.org/spreadsheetml/2006/main">
  <authors>
    <author>Arthur Huber</author>
    <author>patricia bürgi</author>
  </authors>
  <commentList>
    <comment ref="J11" authorId="0" shapeId="0">
      <text>
        <r>
          <rPr>
            <sz val="8"/>
            <color indexed="10"/>
            <rFont val="Tahoma"/>
            <family val="2"/>
          </rPr>
          <t>Valore deve essere inserito nel foglio "Dati d’inserimento".</t>
        </r>
      </text>
    </comment>
    <comment ref="J23" authorId="0" shapeId="0">
      <text>
        <r>
          <rPr>
            <sz val="8"/>
            <color indexed="81"/>
            <rFont val="Tahoma"/>
            <family val="2"/>
          </rPr>
          <t>Per dettagli consultare le istruzioni del Formulario di verifica 11</t>
        </r>
      </text>
    </comment>
    <comment ref="H28" authorId="1" shapeId="0">
      <text>
        <r>
          <rPr>
            <b/>
            <sz val="9"/>
            <color indexed="81"/>
            <rFont val="Geneva"/>
            <family val="2"/>
          </rPr>
          <t>patricia bürgi:</t>
        </r>
        <r>
          <rPr>
            <sz val="9"/>
            <color indexed="81"/>
            <rFont val="Geneva"/>
            <family val="2"/>
          </rPr>
          <t xml:space="preserve">
</t>
        </r>
      </text>
    </comment>
    <comment ref="G30" authorId="0" shapeId="0">
      <text>
        <r>
          <rPr>
            <b/>
            <sz val="8"/>
            <color indexed="81"/>
            <rFont val="Tahoma"/>
            <family val="2"/>
          </rPr>
          <t>MINERGIE-P:</t>
        </r>
        <r>
          <rPr>
            <sz val="8"/>
            <color indexed="81"/>
            <rFont val="Tahoma"/>
            <family val="2"/>
          </rPr>
          <t xml:space="preserve">
Se l'apparecchio di aerazione non è certificato: </t>
        </r>
        <r>
          <rPr>
            <b/>
            <sz val="8"/>
            <color indexed="81"/>
            <rFont val="Tahoma"/>
            <family val="2"/>
          </rPr>
          <t xml:space="preserve">
</t>
        </r>
        <r>
          <rPr>
            <sz val="8"/>
            <color indexed="81"/>
            <rFont val="Tahoma"/>
            <family val="2"/>
          </rPr>
          <t>per il grado di recupero termico:dati fabbricante meno 12%, massimo 80%</t>
        </r>
      </text>
    </comment>
    <comment ref="J52" authorId="0" shapeId="0">
      <text>
        <r>
          <rPr>
            <sz val="8"/>
            <color indexed="81"/>
            <rFont val="Tahoma"/>
            <family val="2"/>
          </rPr>
          <t>Valore deve essere inserito sul foglio "Dati d’inserimento".</t>
        </r>
      </text>
    </comment>
    <comment ref="J64" authorId="0" shapeId="0">
      <text>
        <r>
          <rPr>
            <sz val="8"/>
            <color indexed="81"/>
            <rFont val="Tahoma"/>
            <family val="2"/>
          </rPr>
          <t>Per dettagli consultare le istruzioni del Formulario di verifica 11</t>
        </r>
      </text>
    </comment>
    <comment ref="G71" authorId="0" shapeId="0">
      <text>
        <r>
          <rPr>
            <b/>
            <sz val="8"/>
            <color indexed="81"/>
            <rFont val="Tahoma"/>
            <family val="2"/>
          </rPr>
          <t>MINERGIE-P:</t>
        </r>
        <r>
          <rPr>
            <sz val="8"/>
            <color indexed="81"/>
            <rFont val="Tahoma"/>
            <family val="2"/>
          </rPr>
          <t xml:space="preserve">
Se l'apparecchio di aerazione non è certificato: 
per il grado di recupero termico:dati fabbricante meno 12%, massimo 80%</t>
        </r>
      </text>
    </comment>
    <comment ref="J93" authorId="0" shapeId="0">
      <text>
        <r>
          <rPr>
            <sz val="8"/>
            <color indexed="81"/>
            <rFont val="Tahoma"/>
            <family val="2"/>
          </rPr>
          <t>Valore deve essere inserito sul foglio "Dati d’inserimento".</t>
        </r>
      </text>
    </comment>
    <comment ref="J105" authorId="0" shapeId="0">
      <text>
        <r>
          <rPr>
            <sz val="8"/>
            <color indexed="81"/>
            <rFont val="Tahoma"/>
            <family val="2"/>
          </rPr>
          <t>Per dettagli consultare le istruzioni del Formulario di verifica 11</t>
        </r>
      </text>
    </comment>
    <comment ref="G112" authorId="0" shapeId="0">
      <text>
        <r>
          <rPr>
            <b/>
            <sz val="8"/>
            <color indexed="81"/>
            <rFont val="Tahoma"/>
            <family val="2"/>
          </rPr>
          <t>MINERGIE-P:</t>
        </r>
        <r>
          <rPr>
            <sz val="8"/>
            <color indexed="81"/>
            <rFont val="Tahoma"/>
            <family val="2"/>
          </rPr>
          <t xml:space="preserve">
Se l'apparecchio di aerazione non è certificato: 
per il grado di recupero termico:dati fabbricante meno 12%, massimo 80%</t>
        </r>
      </text>
    </comment>
    <comment ref="J134" authorId="0" shapeId="0">
      <text>
        <r>
          <rPr>
            <sz val="8"/>
            <color indexed="81"/>
            <rFont val="Tahoma"/>
            <family val="2"/>
          </rPr>
          <t>Valore deve essere inserito sul foglio "Dati d’inserimento".</t>
        </r>
      </text>
    </comment>
    <comment ref="J146" authorId="0" shapeId="0">
      <text>
        <r>
          <rPr>
            <sz val="8"/>
            <color indexed="81"/>
            <rFont val="Tahoma"/>
            <family val="2"/>
          </rPr>
          <t>Per dettagli consultare le istruzioni del Formulario di verifica 11</t>
        </r>
      </text>
    </comment>
    <comment ref="G153" authorId="0" shapeId="0">
      <text>
        <r>
          <rPr>
            <b/>
            <sz val="8"/>
            <color indexed="81"/>
            <rFont val="Tahoma"/>
            <family val="2"/>
          </rPr>
          <t>MINERGIE-P:</t>
        </r>
        <r>
          <rPr>
            <sz val="8"/>
            <color indexed="81"/>
            <rFont val="Tahoma"/>
            <family val="2"/>
          </rPr>
          <t xml:space="preserve">
Se l'apparecchio di aerazione non è certificato: 
per il grado di recupero termico:dati fabbricante meno 12%, massimo 80%</t>
        </r>
      </text>
    </comment>
  </commentList>
</comments>
</file>

<file path=xl/comments5.xml><?xml version="1.0" encoding="utf-8"?>
<comments xmlns="http://schemas.openxmlformats.org/spreadsheetml/2006/main">
  <authors>
    <author>widmer</author>
    <author>Arthur Huber</author>
  </authors>
  <commentList>
    <comment ref="I11" authorId="0" shapeId="0">
      <text>
        <r>
          <rPr>
            <sz val="8"/>
            <color indexed="81"/>
            <rFont val="Tahoma"/>
            <family val="2"/>
          </rPr>
          <t xml:space="preserve">Valore utilizzato per il prosequio del calcolo
</t>
        </r>
      </text>
    </comment>
    <comment ref="C14" authorId="1" shapeId="0">
      <text>
        <r>
          <rPr>
            <sz val="8"/>
            <color indexed="81"/>
            <rFont val="Tahoma"/>
            <family val="2"/>
          </rPr>
          <t>Temperatura nominale di mandata della distribuzione termica</t>
        </r>
      </text>
    </comment>
    <comment ref="I16" authorId="0" shapeId="0">
      <text>
        <r>
          <rPr>
            <sz val="8"/>
            <color indexed="81"/>
            <rFont val="Tahoma"/>
            <family val="2"/>
          </rPr>
          <t>Valore utilizzato per il calcolo ulteriore.</t>
        </r>
      </text>
    </comment>
    <comment ref="I17" authorId="0" shapeId="0">
      <text>
        <r>
          <rPr>
            <sz val="8"/>
            <color indexed="81"/>
            <rFont val="Tahoma"/>
            <family val="2"/>
          </rPr>
          <t xml:space="preserve">Valore utilizzato per il prosequio del calcolo
</t>
        </r>
      </text>
    </comment>
    <comment ref="I18" authorId="0" shapeId="0">
      <text>
        <r>
          <rPr>
            <sz val="8"/>
            <color indexed="81"/>
            <rFont val="Tahoma"/>
            <family val="2"/>
          </rPr>
          <t xml:space="preserve">Valore utilizzato per il prosequio del calcolo
</t>
        </r>
      </text>
    </comment>
    <comment ref="C28" authorId="1" shapeId="0">
      <text>
        <r>
          <rPr>
            <sz val="8"/>
            <color indexed="81"/>
            <rFont val="Tahoma"/>
            <family val="2"/>
          </rPr>
          <t>Temperatura nominale di mandata della distribuzione termica</t>
        </r>
      </text>
    </comment>
    <comment ref="C42" authorId="1" shapeId="0">
      <text>
        <r>
          <rPr>
            <sz val="8"/>
            <color indexed="81"/>
            <rFont val="Tahoma"/>
            <family val="2"/>
          </rPr>
          <t>Temperatura nominale di mandata della distribuzione termica</t>
        </r>
      </text>
    </comment>
    <comment ref="C56" authorId="1" shapeId="0">
      <text>
        <r>
          <rPr>
            <sz val="8"/>
            <color indexed="81"/>
            <rFont val="Tahoma"/>
            <family val="2"/>
          </rPr>
          <t>Temperatura nominale di mandata della distribuzione termica</t>
        </r>
      </text>
    </comment>
    <comment ref="C64" authorId="1" shapeId="0">
      <text>
        <r>
          <rPr>
            <sz val="8"/>
            <color indexed="81"/>
            <rFont val="Tahoma"/>
            <family val="2"/>
          </rPr>
          <t>Allegare foglio "Produzione" di una 2a operazione di calcolo!</t>
        </r>
      </text>
    </comment>
    <comment ref="C66" authorId="1" shapeId="0">
      <text>
        <r>
          <rPr>
            <sz val="8"/>
            <color indexed="81"/>
            <rFont val="Tahoma"/>
            <family val="2"/>
          </rPr>
          <t xml:space="preserve">Può essere ripreso dal foglio di verifica di una 2a operazione di calcolo. 
Si prega di allegarlo!
</t>
        </r>
      </text>
    </comment>
  </commentList>
</comments>
</file>

<file path=xl/comments6.xml><?xml version="1.0" encoding="utf-8"?>
<comments xmlns="http://schemas.openxmlformats.org/spreadsheetml/2006/main">
  <authors>
    <author>Arthur Huber</author>
  </authors>
  <commentList>
    <comment ref="C23" authorId="0" shapeId="0">
      <text>
        <r>
          <rPr>
            <sz val="8"/>
            <color indexed="81"/>
            <rFont val="Tahoma"/>
            <family val="2"/>
          </rPr>
          <t xml:space="preserve">Grado di rendimento
</t>
        </r>
      </text>
    </comment>
    <comment ref="B45" authorId="0" shapeId="0">
      <text>
        <r>
          <rPr>
            <sz val="8"/>
            <color indexed="81"/>
            <rFont val="Tahoma"/>
            <family val="2"/>
          </rPr>
          <t xml:space="preserve">Verifica con schema di principio per lo sfruttamento del calore residuo o motivazione del perché non viene utilizzato.
Per categoria di edificio </t>
        </r>
        <r>
          <rPr>
            <b/>
            <sz val="8"/>
            <color indexed="81"/>
            <rFont val="Tahoma"/>
            <family val="2"/>
          </rPr>
          <t>Negozi</t>
        </r>
        <r>
          <rPr>
            <sz val="8"/>
            <color indexed="81"/>
            <rFont val="Tahoma"/>
            <family val="2"/>
          </rPr>
          <t>: Verifica "Requisito supplementare per refrigerazione commerciale".</t>
        </r>
      </text>
    </comment>
    <comment ref="B51" authorId="0" shapeId="0">
      <text>
        <r>
          <rPr>
            <b/>
            <sz val="8"/>
            <color indexed="81"/>
            <rFont val="Tahoma"/>
            <family val="2"/>
          </rPr>
          <t>MINERGIE:</t>
        </r>
        <r>
          <rPr>
            <sz val="8"/>
            <color indexed="81"/>
            <rFont val="Tahoma"/>
            <family val="2"/>
          </rPr>
          <t xml:space="preserve"> Stampare solo il riassunto con bilancio termico (energetico).</t>
        </r>
      </text>
    </comment>
    <comment ref="B52" authorId="0" shapeId="0">
      <text>
        <r>
          <rPr>
            <b/>
            <sz val="8"/>
            <color indexed="81"/>
            <rFont val="Tahoma"/>
            <family val="2"/>
          </rPr>
          <t>MINERGIE:</t>
        </r>
        <r>
          <rPr>
            <sz val="8"/>
            <color indexed="81"/>
            <rFont val="Tahoma"/>
            <family val="2"/>
          </rPr>
          <t xml:space="preserve"> Verifica SIA 380/1 con portata volumetrica d'aria esterna determinante a livello termico (stampa di tutta la verifica)</t>
        </r>
      </text>
    </comment>
    <comment ref="B54" authorId="0" shapeId="0">
      <text>
        <r>
          <rPr>
            <b/>
            <sz val="8"/>
            <color indexed="81"/>
            <rFont val="Tahoma"/>
            <family val="2"/>
          </rPr>
          <t>MINERGIE</t>
        </r>
        <r>
          <rPr>
            <sz val="8"/>
            <color indexed="81"/>
            <rFont val="Tahoma"/>
            <family val="2"/>
          </rPr>
          <t xml:space="preserve">: Allegare un calcolo rintracciabile. </t>
        </r>
      </text>
    </comment>
    <comment ref="B55" authorId="0" shapeId="0">
      <text>
        <r>
          <rPr>
            <b/>
            <sz val="8"/>
            <color indexed="81"/>
            <rFont val="Tahoma"/>
            <family val="2"/>
          </rPr>
          <t>MINERGIE</t>
        </r>
        <r>
          <rPr>
            <sz val="8"/>
            <color indexed="81"/>
            <rFont val="Tahoma"/>
            <family val="2"/>
          </rPr>
          <t>: Marcare direttamente sui piani la denominazione degli elementi costruttivi secondo la rispettiva lista</t>
        </r>
      </text>
    </comment>
    <comment ref="B56" authorId="0" shapeId="0">
      <text>
        <r>
          <rPr>
            <b/>
            <sz val="8"/>
            <color indexed="81"/>
            <rFont val="Tahoma"/>
            <family val="2"/>
          </rPr>
          <t>MINERGIE</t>
        </r>
        <r>
          <rPr>
            <sz val="8"/>
            <color indexed="81"/>
            <rFont val="Tahoma"/>
            <family val="2"/>
          </rPr>
          <t xml:space="preserve">: Schema di principio con indicazione della temperatura massima d'alimentazione e dell'acqua calda. </t>
        </r>
      </text>
    </comment>
  </commentList>
</comments>
</file>

<file path=xl/sharedStrings.xml><?xml version="1.0" encoding="utf-8"?>
<sst xmlns="http://schemas.openxmlformats.org/spreadsheetml/2006/main" count="4965" uniqueCount="1856">
  <si>
    <t>Blatt "Erzeugung": Tag B14, B28, B42, B56 eingefügt</t>
  </si>
  <si>
    <t>Blatt "Antrag": Druckbereich anpassen</t>
  </si>
  <si>
    <t>MINERGIE-P: Alle Lüftungen zugelassen</t>
  </si>
  <si>
    <t>Blatt "Standardwerte",  L38-L41 und O38=41 Bedingung MINERGIE-P entfernt</t>
  </si>
  <si>
    <t>Nachzertifizierung:</t>
  </si>
  <si>
    <t>cont.(DC/EC)</t>
  </si>
  <si>
    <t>Portata aria est. termica determinante</t>
  </si>
  <si>
    <t xml:space="preserve">Fabb. termico risc. con imp. aerazione </t>
  </si>
  <si>
    <t>Requisiti soddisfatti?</t>
  </si>
  <si>
    <t>Calcolo mediante la SIA 380/4</t>
  </si>
  <si>
    <t>RC via PAC sull'aerazione, RC acqua bagni</t>
  </si>
  <si>
    <t>Tool aerazione MINERGIE per impianti semplici</t>
  </si>
  <si>
    <t>Portata d'aria esterna</t>
  </si>
  <si>
    <t>Punti di valutazione per una perdita di carico contenuta:</t>
  </si>
  <si>
    <t>Fehlermeldung Deckungsgrad auf Blatt "Erzeugung"</t>
  </si>
  <si>
    <t>Keine Fehlermeldung WW, wenn Kategorie Rest, Hallenbad, Sportbau</t>
  </si>
  <si>
    <t>wird immer über Lüftungsblatt berechnet, feste Verknüpfung zu Blatt Lüftung in Blatt Eingaben</t>
  </si>
  <si>
    <t>Ausgewählt Zone 3</t>
  </si>
  <si>
    <r>
      <t>m</t>
    </r>
    <r>
      <rPr>
        <vertAlign val="superscript"/>
        <sz val="9"/>
        <rFont val="Arial"/>
        <family val="2"/>
      </rPr>
      <t>3</t>
    </r>
    <r>
      <rPr>
        <sz val="9"/>
        <rFont val="Arial"/>
        <family val="2"/>
      </rPr>
      <t>/h</t>
    </r>
  </si>
  <si>
    <t>L5</t>
  </si>
  <si>
    <t>Lüftungsberechnung</t>
  </si>
  <si>
    <t>auf 4 Zonen erweitert</t>
  </si>
  <si>
    <t>Minimale Luftmenge</t>
  </si>
  <si>
    <t>faktoren für Verwaltung und Schule ergänzt</t>
  </si>
  <si>
    <t>Dropdowns in Eingaben</t>
  </si>
  <si>
    <t>Mit Dropdown Lüftung vernüpft</t>
  </si>
  <si>
    <t>Guadagno di calore scambiatore di calore geotermico</t>
  </si>
  <si>
    <t xml:space="preserve">1) Allegare foglio "Aerazione" o calcolo esterno e riportare i valori alle righe E24-E27 </t>
  </si>
  <si>
    <t xml:space="preserve">2) Allegare calcolo esterno e riportare i valori alle righe E24-E27 </t>
  </si>
  <si>
    <t>Impianti aerazione e climatizzazione</t>
  </si>
  <si>
    <t>Blatt "Standardwerte", Gebühren: Neue Gebühren für Minergie-P; "Antrag": Tag Zelle B31 ergänzt</t>
  </si>
  <si>
    <t>Blatt Antrag, 2 zusätzliche Zeilen 48 und 49 eingefügt</t>
  </si>
  <si>
    <t>Requisiti supplementari:</t>
  </si>
  <si>
    <t>Requisito supplementare</t>
  </si>
  <si>
    <t>Illuminazione</t>
  </si>
  <si>
    <r>
      <t>Associazione MINERGIE</t>
    </r>
    <r>
      <rPr>
        <vertAlign val="superscript"/>
        <sz val="12"/>
        <rFont val="Symbol"/>
        <family val="1"/>
        <charset val="2"/>
      </rPr>
      <t>â</t>
    </r>
  </si>
  <si>
    <t xml:space="preserve">NAP: </t>
  </si>
  <si>
    <t>Località:</t>
  </si>
  <si>
    <t>esperto energia</t>
  </si>
  <si>
    <t>TABS</t>
  </si>
  <si>
    <t>Riscaldamento a pellets</t>
  </si>
  <si>
    <t>Energia addotta (non ponderata)</t>
  </si>
  <si>
    <t>Elettricità addotta (non ponderata)</t>
  </si>
  <si>
    <t>Energia addotta (senza elettr. e ponderata)</t>
  </si>
  <si>
    <t>Grenzwert Biosolar bei 55% min. Solardeckung statt 50%</t>
  </si>
  <si>
    <t>Blatt "Standardwerte", Zelle AE60 von 0.55 auf 0.50 geändert</t>
  </si>
  <si>
    <t>"n.a.": non applicabile. Un locale di questo tipo non esiste
"si": un locale di questo tipo esiste e tutti i criteri sono soddisfatti
"no": un locale di questo tipo esiste, ma i criteri non sono soddisfatti (p.es. quota vetrata troppo elevata)</t>
  </si>
  <si>
    <t xml:space="preserve">La zona è climatizzata e il fabbisogno energetico è stato calcolato. Nei locali non si riscontrano temperature estive elevate. </t>
  </si>
  <si>
    <t>Nella zona, i locali soddisfano i criteri?</t>
  </si>
  <si>
    <t>Blatt "Standardwerte", Zellen AC45, AC46: In Text "Zeile 27" ersetzen durch "Zeile E28"</t>
  </si>
  <si>
    <t>Wird verwendet im Blatt "Eingabe", Zelle B41</t>
  </si>
  <si>
    <t>Pot. elettr. media assorbita con PAC</t>
  </si>
  <si>
    <t>Superficie attiva</t>
  </si>
  <si>
    <t>Rendimento netto / m2 sup. attiva</t>
  </si>
  <si>
    <t>da calcolo separ.</t>
  </si>
  <si>
    <t>Neue Gebührenordnung: Fr. 500.- pro zertifizierte Wohneinheit / Fr. 200.- pro Zusatzgebäude</t>
  </si>
  <si>
    <t>Auf Blatt "Standardwerte", Zellen BI3-BT22 ergänzt</t>
  </si>
  <si>
    <t>Blatt "Standardwerte": Neue Variablen "EFH" und "Wohnnutz" definiert</t>
  </si>
  <si>
    <t>BO3=EFH, BR3=Wohnnutzt. EFH=Wahr, wenn mind 1 Zone EFH Einzelnutzung</t>
  </si>
  <si>
    <t>Blatt "Rechnung": Vereinfachte Eingabemöglichkeit des Farbcodes</t>
  </si>
  <si>
    <t>Kolonne L, neu Eingabebereich für Farbcode: 1=hellgelb, 2=dunkelgelb</t>
  </si>
  <si>
    <t>Blatt "Erzeugung": Farbcode neu aus Blatt "Rechnung", Kolonne L eingelesen</t>
  </si>
  <si>
    <t>Farben mit bedingter Formatierung für Zellen 4, 6, 7, 8, 9.</t>
  </si>
  <si>
    <t>Neu Abwärme statt Fernwärme Warmwasser</t>
  </si>
  <si>
    <t>Blatt "Rechnung" und "Standardwerte", Bereich "Wärmeerzeugung" geändert</t>
  </si>
  <si>
    <t>Blatt "Standardwerte": Gebührenformel BI6 und BN5-BQ5</t>
  </si>
  <si>
    <t>Blatt "Antrag": Neue Formatierung und Formeln G29-I31</t>
  </si>
  <si>
    <t>Blatt "Eingaben": Warmwasserbedingung B44: Tag und Bemerkung anpassen</t>
  </si>
  <si>
    <t>Blatt "Eingaben", Zelle B27: "Zeile 22" ersetzen durch "Zeile E23"</t>
  </si>
  <si>
    <t>nur ital. Vers.: Blatt "Aerazione", Spalte N, 4 Auswahlmenüs "Ja/Nein" ersetzen durch "si/no"</t>
  </si>
  <si>
    <t>Gebühr REFH MINERGIE-P</t>
  </si>
  <si>
    <t>Blatt "Rechnung", Text geändert</t>
  </si>
  <si>
    <t>Neue Nutzungsgrade und Gewichtung für Holz, Abwärme</t>
  </si>
  <si>
    <t>Blatt "Standardwerte", W6-X46 angepasst</t>
  </si>
  <si>
    <t>Neue Frage nach "Auslegungsvorlauf"</t>
  </si>
  <si>
    <t>Blatt "Rechnung", in Zeile 8 eingesetzt, wenn Erzeugung mit Heizung</t>
  </si>
  <si>
    <t>Neue Frage nach "Warmwassertemperatur"</t>
  </si>
  <si>
    <t>Blatt "Rechnung", in Zeile 9 eingesetzt, wenn Erzeugung mit Warmwasser</t>
  </si>
  <si>
    <t>Blatt "Rechnung": Falscher Bezug in Zellen AM482, AM496, AM510, AM524</t>
  </si>
  <si>
    <t>Formeln korrigiert</t>
  </si>
  <si>
    <t>Blatt "Antrag", Neuer Text auf G5</t>
  </si>
  <si>
    <t>Blatt "Lueftung": Tippfehler in Text B2</t>
  </si>
  <si>
    <t xml:space="preserve">MINERGIE-P: Blatt "Standardwerte": Laufzeiten Lüftung Verw: 0.32; Schule: 0.14; Verkauf: 0.41 </t>
  </si>
  <si>
    <t>Zellen BP45-47 angepasst</t>
  </si>
  <si>
    <t>Blatt "Standardwerte": Neuer Text: WKK (fossil)..</t>
  </si>
  <si>
    <t>Zelle V20 geändert</t>
  </si>
  <si>
    <t>Blatt "Eingaben": Keine gelben Felder nach Zeile11 bei Nutzung= Hallenbad</t>
  </si>
  <si>
    <t>Bedingte Formatierung auf Zellen E39-H39,E28-H28,E21-H21,E23-H23 geändert</t>
  </si>
  <si>
    <t>Blatt "Standardwerte",  AB6 - AX13 angepasst, Blatt "Nachweis": F43-F44</t>
  </si>
  <si>
    <t>Blatt "Eingaben", Stromverbrauch Lüftung (Zeile 26/27) fakultative Eingabe</t>
  </si>
  <si>
    <t>Blatt "Nachweis", Zelle G35, Bedingung Qe_vollständig gelöscht</t>
  </si>
  <si>
    <t>Blatt "Nachweis", Kein MINERGIE-Grenzwertvergleich, wenn Hallenbad gewählt</t>
  </si>
  <si>
    <t>Blatt "Nachweis", Zelle E35/J35: Keine Anzeige, wenn BadMisch = Wahr</t>
  </si>
  <si>
    <t>Blatt "Nachweis", Begründung der nicht eingehaltenen Beleuchtungsanforderung</t>
  </si>
  <si>
    <t>Blatt "Nachweis", Zelle G54, Bedingung und Meldung angepasst</t>
  </si>
  <si>
    <t>Blatt "Erzeugung", neu Wärmeleistunsbedarf statt Vollaststunden bei Wärmepumpen</t>
  </si>
  <si>
    <t>Blatt "Rechnung", bei Heizungs-Wärmepumpen, Heizleistungsbedarf statt Vollaststunden</t>
  </si>
  <si>
    <t>Kein Standardwert für Nutzungsgrad WKK gesetzt</t>
  </si>
  <si>
    <t xml:space="preserve">Blatt "Standardwerte", Zelle W20 auf 85 gesetzt (thermischer Nutzungsgrad) </t>
  </si>
  <si>
    <t>Erzeugung WKK: Maximaler Nutzungsgrad (thermisch+elektrisch) auf 90% gesetzt</t>
  </si>
  <si>
    <t>Kompensation graue Energie darf maximal 2 x Ertrag PV sein</t>
  </si>
  <si>
    <t>Nur noch 1 JAZ, nicht VL-abhängig</t>
  </si>
  <si>
    <t>JAZ Wärmepumpen, Werte für Heizung und Warmwasser</t>
  </si>
  <si>
    <t>WWBonus für alle Kategorien auf "Falsch" gesetzt und Fehlermldg angepasst</t>
  </si>
  <si>
    <t>Blatt Lueftung: Formel für therm. wirksamer Aussenluftvolumenstrom</t>
  </si>
  <si>
    <t>Klammer im zweiten Therm korrgiert</t>
  </si>
  <si>
    <t>Erzeugung Fernwärme</t>
  </si>
  <si>
    <t>Auswahl:</t>
  </si>
  <si>
    <t>2 neue Zeilen eingefügt (Zeilen 26 und 27), mit entsprechender Logik</t>
  </si>
  <si>
    <t>Blatt "Antrag": Bei Mehrfachnutzungen auch "Neuerstellung" anwhälbar</t>
  </si>
  <si>
    <t>P</t>
  </si>
  <si>
    <t>N24</t>
  </si>
  <si>
    <t>n.a.</t>
  </si>
  <si>
    <t>S1</t>
  </si>
  <si>
    <t>S2</t>
  </si>
  <si>
    <t>S3</t>
  </si>
  <si>
    <t>S4</t>
  </si>
  <si>
    <t>S11</t>
  </si>
  <si>
    <t>2.1.3</t>
  </si>
  <si>
    <t>S12</t>
  </si>
  <si>
    <t>2.1.4</t>
  </si>
  <si>
    <t>S13</t>
  </si>
  <si>
    <t>4.4.3</t>
  </si>
  <si>
    <t>S14</t>
  </si>
  <si>
    <t>S15</t>
  </si>
  <si>
    <t>S16</t>
  </si>
  <si>
    <t>&lt;40% Glas</t>
  </si>
  <si>
    <t xml:space="preserve">  Zona</t>
  </si>
  <si>
    <t xml:space="preserve">  Zona  </t>
  </si>
  <si>
    <t>Blatt "Nachweis", Zeilen 25-39, Kontrollkästchen konnten nicht alle angewählt werden</t>
  </si>
  <si>
    <t>Kästchen "kontrolliert" in Vordergrund rücken, damit keine Ueberlappungen</t>
  </si>
  <si>
    <t>Blatt "Eingabe" J2 Verwendungsdatum auf 30. Juni 07 ändern</t>
  </si>
  <si>
    <t>kontakt1</t>
  </si>
  <si>
    <t>kontakt2</t>
  </si>
  <si>
    <t>kontakt3</t>
  </si>
  <si>
    <t>Kontaktperson Antragsteller</t>
  </si>
  <si>
    <t>Kontaktperson Fachplaner 1</t>
  </si>
  <si>
    <t>Kontaktperson Fachplaner 2</t>
  </si>
  <si>
    <t>Blatt "Antrag", Kontaktpersonen bei Fachplaner 1 + 2, ebenso in Blättern "Schnittstelle" u. "Input"</t>
  </si>
  <si>
    <t>Blatt "Standardwerte": Neue Variable "nurBadnutzung" auf Zelle Q1</t>
  </si>
  <si>
    <t>Neue Formel auf Q1</t>
  </si>
  <si>
    <t>Blatt "Eingaben": Kein Hinweis auf fehlende Lüftungsanlagen bei Badnutzung</t>
  </si>
  <si>
    <t>Blatt "Standardwerte": Neue Formeln AD45-AJ46</t>
  </si>
  <si>
    <t>MINERGIE-P: Standard-Luftwechsel Schulen=0.37m3/m2h, Verkauf=0.39m3/m2h</t>
  </si>
  <si>
    <t>Blatt "Standardwerte", Zellen BM46 und BM47 anpassen</t>
  </si>
  <si>
    <t>Blatt "Eingaben", Tag auf Zelle B19 anpassen</t>
  </si>
  <si>
    <t>MINERGIE-P: diverse Tags einsetzen oder ergänzen</t>
  </si>
  <si>
    <t>Zugeführte Energie wird bei Holzfeuerung falsch berechnet, wenn Energieproduktion &gt; 0kWh/a</t>
  </si>
  <si>
    <t>Blatt "Rechnung": O132,V132,AC132,AJ132,R131,Y131,AF131,AM131 angepasst</t>
  </si>
  <si>
    <t>Blatt "Rechnung": Q131,X131,AE131,AL131,R130,Y130,AF130,AM130 angepasst</t>
  </si>
  <si>
    <t>Testo sommario:</t>
  </si>
  <si>
    <t>Riscaldamento a olio combustibile</t>
  </si>
  <si>
    <t>Riscal. olio/comb. cond. acqua calda</t>
  </si>
  <si>
    <t>Riscaldamento a gas</t>
  </si>
  <si>
    <t>Riscaldamento a gas a condensazione</t>
  </si>
  <si>
    <t>Riscal. gas cond. acqua calda</t>
  </si>
  <si>
    <t>Blatt "Antrag", Neue Fehlermeldung, wenn keine Angaben zur Publikation</t>
  </si>
  <si>
    <t>Neue Zeile 54, Zelle I54 eingefügt</t>
  </si>
  <si>
    <t>Blatt "Nachweis", Zusätzlich Wärmeabgabesystem eingeführt</t>
  </si>
  <si>
    <t>Neue Zeile 16 (N9), bei Objektangaben 3. Zeile ausgeblendet</t>
  </si>
  <si>
    <t>Neues Blatt "Sommer" eingefügt  (Sommerlicher Wärmeschutz)</t>
  </si>
  <si>
    <t>Blatt "Nachweis", Neuer Titel "Erfüllung der Anforderungen" statt "Erfüllung Grenzewerte"</t>
  </si>
  <si>
    <t>Blatt "Nachweis", Neue Beilage "thermischer Komfort im Sommer (SIA 382/1)</t>
  </si>
  <si>
    <t>Blatt "Lueftung", Pulldownd für Erdregister ergänzt: Kein Erdreich-Wärmeübertrager etc.</t>
  </si>
  <si>
    <t>Blatt "Eingaben", keine Abfrage Lüftungsgeräte-Typ</t>
  </si>
  <si>
    <t>Blatt "Eingaben", Zusätzliches Eingabefeld für Befeuchtung</t>
  </si>
  <si>
    <t>Blatt "Eingaben", Umbenennung Qh,eff in Qh,korr</t>
  </si>
  <si>
    <t>impresa generale</t>
  </si>
  <si>
    <t>Erzeugung B</t>
  </si>
  <si>
    <t>Erzeugung C</t>
  </si>
  <si>
    <t>Erzeugung D</t>
  </si>
  <si>
    <t>ja/nein</t>
  </si>
  <si>
    <t>Minergie-A</t>
  </si>
  <si>
    <t>Biomasse, hydr.</t>
  </si>
  <si>
    <t>therm. Solar</t>
  </si>
  <si>
    <t>Deckungsgrad Heizung Solar</t>
  </si>
  <si>
    <t>Deckungsgrad Heizung Biomasse</t>
  </si>
  <si>
    <t>Deckungsgrad WW Biomasse</t>
  </si>
  <si>
    <t>Deckungsgrad Biomasse hydr.</t>
  </si>
  <si>
    <t>Therm. Solar</t>
  </si>
  <si>
    <t>Deckungsgrad WW Solar</t>
  </si>
  <si>
    <t>Deckungsgrad Solar WW+Heiz</t>
  </si>
  <si>
    <t xml:space="preserve">Total:  </t>
  </si>
  <si>
    <t xml:space="preserve">Minimalwert:  </t>
  </si>
  <si>
    <t xml:space="preserve">Minergie-A-Grenzwert erhöht?  </t>
  </si>
  <si>
    <t>Blatt "Eingaben":  Zelle C41: neuer Text: "Selbstdeklaration/Bestätigung"</t>
  </si>
  <si>
    <t>MINERGIE-P: Neue Gebührenordnung</t>
  </si>
  <si>
    <t>Blatt "Standardwerte", Zellen BN5-BQ5, BK7, BM11-BS22 angepasst</t>
  </si>
  <si>
    <t>MINERGIE-A gemäss Pflichtenheft eingebaut / neue Bedingung Graue Energie / Neuer Grenzwert</t>
  </si>
  <si>
    <t>Neue Primäranforderung Hallenbad (Neubau 60% Hg / Altbau 100% Hg)</t>
  </si>
  <si>
    <t>Blatt "Standardwerte",  Formel J60-J63 angepasst</t>
  </si>
  <si>
    <t>Zusatzanforderungen für Hallenbad (SIA Zielwert / SIA Grenzwert) fallen weg</t>
  </si>
  <si>
    <t>Blatt "Standardwerte",  AB6 - AX13 angepasst</t>
  </si>
  <si>
    <t>Zusatzanforderungen für Kategorie III-XI: Wenn Abwärme vorhanden, Abwärme nutzen</t>
  </si>
  <si>
    <t>Klimastation</t>
  </si>
  <si>
    <t>Zone 1:</t>
  </si>
  <si>
    <t>Höhe Gebäudestandort</t>
  </si>
  <si>
    <t>Zone 2:</t>
  </si>
  <si>
    <t>Zone 3:</t>
  </si>
  <si>
    <t>Zone 4:</t>
  </si>
  <si>
    <t>qh1</t>
  </si>
  <si>
    <t>qh2</t>
  </si>
  <si>
    <t>qh3</t>
  </si>
  <si>
    <t>qh4</t>
  </si>
  <si>
    <t>klima</t>
  </si>
  <si>
    <t>kat1</t>
  </si>
  <si>
    <t>kat2</t>
  </si>
  <si>
    <t>kat3</t>
  </si>
  <si>
    <t>kat4</t>
  </si>
  <si>
    <t>Nessun pozzo canadese</t>
  </si>
  <si>
    <t>Nessun RC</t>
  </si>
  <si>
    <t>Motore a corrente alterna</t>
  </si>
  <si>
    <t>Nessuna valutazione delle perdite di pressione</t>
  </si>
  <si>
    <t>(valore fisso)</t>
  </si>
  <si>
    <t>A un livello</t>
  </si>
  <si>
    <t>PAC acqua sotterr. diretta, riscaldamento</t>
  </si>
  <si>
    <t>PAC acqua sotterr. diretta, AC</t>
  </si>
  <si>
    <t>PAC acqua sotterr. indiretta, riscaldamento</t>
  </si>
  <si>
    <t>PAC acqua sotterr. indiretta, AC</t>
  </si>
  <si>
    <t>PAC pozzo canadese, riscaldamento</t>
  </si>
  <si>
    <t>PAC pozzo canadese, AC</t>
  </si>
  <si>
    <t>Energia solare term., riscaldamento</t>
  </si>
  <si>
    <t>Energia solare term., AC</t>
  </si>
  <si>
    <t>Energia solare riscaldamento + AC</t>
  </si>
  <si>
    <t>Conversione fotovoltaica</t>
  </si>
  <si>
    <t>Altri</t>
  </si>
  <si>
    <t>Riporto</t>
  </si>
  <si>
    <t>Testo integrale:</t>
  </si>
  <si>
    <t>aebf1</t>
  </si>
  <si>
    <t>aebf2</t>
  </si>
  <si>
    <t>aebf3</t>
  </si>
  <si>
    <t>aebf4</t>
  </si>
  <si>
    <t>ebf4</t>
  </si>
  <si>
    <t>Gebäudehüllziffer</t>
  </si>
  <si>
    <t>objekt</t>
  </si>
  <si>
    <t>strasse</t>
  </si>
  <si>
    <t>plz</t>
  </si>
  <si>
    <t>ort</t>
  </si>
  <si>
    <t>antrag1</t>
  </si>
  <si>
    <t>antrag2</t>
  </si>
  <si>
    <t>telantrag</t>
  </si>
  <si>
    <t>faxantrag</t>
  </si>
  <si>
    <t>funkplan</t>
  </si>
  <si>
    <t>A/EBF &lt;= 1.1</t>
  </si>
  <si>
    <t>Minergie-P  (- / kWh/m2)</t>
  </si>
  <si>
    <t>Primäranf</t>
  </si>
  <si>
    <t>erfüllt?</t>
  </si>
  <si>
    <t>Erdreich-Wärmeübertrager</t>
  </si>
  <si>
    <t>Strombedarf Lüftungsanlage</t>
  </si>
  <si>
    <t>E37</t>
  </si>
  <si>
    <t>Blatt "Eingaben", Zeile 14 ausgeblendet, EBFo=EBF gesetzt.</t>
  </si>
  <si>
    <t>Blatt "Eingaben", Strombedarf Klima (rechenwert) ausgeblendet</t>
  </si>
  <si>
    <t>Blatt "Eingaben", Tag auf Zelle B49, B42, B32, B25, B23, B21, B20, B19, B17</t>
  </si>
  <si>
    <t>Blatt "Standardwerte", Zellen J60-J63:  Primäranforderung Sanierung fällt weg</t>
  </si>
  <si>
    <t>Situazione</t>
  </si>
  <si>
    <t>In presenza di calore residuo?</t>
  </si>
  <si>
    <t>Standard-Nutzungsgrad für andere Wärmeerzeuger soll undefiniert sein</t>
  </si>
  <si>
    <t>Viele Texte haben im verfügbaren Feld nicht platz</t>
  </si>
  <si>
    <t>Zell-Nr. 6</t>
  </si>
  <si>
    <t>Zell-Nr. 4</t>
  </si>
  <si>
    <t>Blatt Lueftung: Feld für Eingabe Anzahl Räume resp. Personen</t>
  </si>
  <si>
    <t>Muster gelb (vorher kein Muster)</t>
  </si>
  <si>
    <t>Hh</t>
  </si>
  <si>
    <t>Blatt Lueftung: Aussenluftvolumenstrom Standard-Wert</t>
  </si>
  <si>
    <t>acqua calda</t>
  </si>
  <si>
    <t>m3/m2h</t>
  </si>
  <si>
    <t xml:space="preserve"> kWh/m2</t>
  </si>
  <si>
    <t>Riscaldamento olio a condensazione</t>
  </si>
  <si>
    <t>Riscaldamento a olio a condensazione, solo risc.</t>
  </si>
  <si>
    <t>Riscaldamento a olio a condensazione, solo AC</t>
  </si>
  <si>
    <t>Riscaldamento a gas a condensazione, solo risc.</t>
  </si>
  <si>
    <t>Riscaldamento a gas a condensazione, solo AC</t>
  </si>
  <si>
    <t>Lucerna</t>
  </si>
  <si>
    <t xml:space="preserve">Zone 2  </t>
  </si>
  <si>
    <t xml:space="preserve">Zone 3  </t>
  </si>
  <si>
    <t xml:space="preserve">Zone 4  </t>
  </si>
  <si>
    <t>Grenzwert</t>
  </si>
  <si>
    <t>Heizleist.qh</t>
  </si>
  <si>
    <t>max. spez.</t>
  </si>
  <si>
    <t>Zertifiziertes Lüftungsgerät?</t>
  </si>
  <si>
    <t>Betriebszeit</t>
  </si>
  <si>
    <t>Blatt "Antrag", für ME-P Unterscheidung REFH bei Eingabe herausnehmen</t>
  </si>
  <si>
    <t>Blatt "Eingaben", Zelle H34 falschen Bezug zu Blatt "Lueftung" geändert zu: Lueftung!O154</t>
  </si>
  <si>
    <t>G31 löschen; Kästchen in I31 löschen; G29 Unterscheidung heraus; D29 Tag</t>
  </si>
  <si>
    <t>Blatt "Standardwerte", BE8 ("Neuerstellung"): Unterscheidung ME-P herausnehmen</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</si>
  <si>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</si>
  <si>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</si>
  <si>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</si>
  <si>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</si>
  <si>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</si>
  <si>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r>
      <t xml:space="preserve">Wirkungsgrad Erdregister </t>
    </r>
    <r>
      <rPr>
        <b/>
        <sz val="10"/>
        <color indexed="9"/>
        <rFont val="Symbol"/>
        <family val="1"/>
        <charset val="2"/>
      </rPr>
      <t>h</t>
    </r>
    <r>
      <rPr>
        <b/>
        <vertAlign val="subscript"/>
        <sz val="10"/>
        <color indexed="9"/>
        <rFont val="Arial"/>
        <family val="2"/>
      </rPr>
      <t>LER</t>
    </r>
  </si>
  <si>
    <t>Scambiatore di calore controcorrente</t>
  </si>
  <si>
    <t>Motore a corrente continua / EC</t>
  </si>
  <si>
    <t>a uno stadio</t>
  </si>
  <si>
    <t>regolato su più stadi in base alle necessità</t>
  </si>
  <si>
    <t>(da riprendere dal calcolo del fabbisogno termico per il riscaldamento secondo SIA 380/1 con ricambio d'aria standard).</t>
  </si>
  <si>
    <t>Sup. rif. energetico senza corr. altezza</t>
  </si>
  <si>
    <t>Diverse Fehleingaben ohne Fehlermeldung möglich</t>
  </si>
  <si>
    <t>Schnittstelle zu SIA 380/1 - Programmen</t>
  </si>
  <si>
    <t>Neue Blätter "Input" und "Schnittstelle380"</t>
  </si>
  <si>
    <t xml:space="preserve">Categorie selezionate </t>
  </si>
  <si>
    <t xml:space="preserve">Zona 1  </t>
  </si>
  <si>
    <t xml:space="preserve">Zona 2  </t>
  </si>
  <si>
    <t xml:space="preserve">Zona 3  </t>
  </si>
  <si>
    <t xml:space="preserve">Zona 4  </t>
  </si>
  <si>
    <t>Sistema:</t>
  </si>
  <si>
    <t>Selezione</t>
  </si>
  <si>
    <t>Plausibilità e messaggi sulla pagina "Dati d'inserimento"</t>
  </si>
  <si>
    <t>Testo</t>
  </si>
  <si>
    <t>Calcolo semplice ammissibile</t>
  </si>
  <si>
    <t>Categoria di edificio selezionata</t>
  </si>
  <si>
    <t>Calcolo ammissibile con valori standard</t>
  </si>
  <si>
    <t>MINERGIE - A</t>
  </si>
  <si>
    <t>Graue Energie</t>
  </si>
  <si>
    <t>Zone1</t>
  </si>
  <si>
    <t>Zone2</t>
  </si>
  <si>
    <t>Zone3</t>
  </si>
  <si>
    <t>Zone4</t>
  </si>
  <si>
    <t>Total:</t>
  </si>
  <si>
    <t>Grenzwert:</t>
  </si>
  <si>
    <t>Graue Energie Eingabe [MJ/m2]</t>
  </si>
  <si>
    <t>Nuovo / trasformazione</t>
  </si>
  <si>
    <t>Blatt Erzeugung, Eingabefelder Deckungsgrad wenn nur Heizung oder Warmwasser nicht eineutig</t>
  </si>
  <si>
    <t>Bedingte Formatierung eingeführt</t>
  </si>
  <si>
    <t>Blatt Erzeugung, Dropdowns auf ganze Breite</t>
  </si>
  <si>
    <t>VS</t>
  </si>
  <si>
    <t>Montana</t>
  </si>
  <si>
    <t>Sion</t>
  </si>
  <si>
    <t>Hinweis erscheint automatisch, wenn Berechnungen beigelegt werden müssen</t>
  </si>
  <si>
    <t>Blatt Eingabe, Darstellung von Werten im Ausdruck</t>
  </si>
  <si>
    <t>Blatt "Antrag", Ergänzungen Zellen B11-18, Pulldowns verschoben, druckbar gemacht</t>
  </si>
  <si>
    <t>Blatt "Antrag": Neues Pulldown für Antragsteller</t>
  </si>
  <si>
    <t>Blatt "Standardwerte", Zelle BE15-22 ergänzt</t>
  </si>
  <si>
    <t>Blatt "Antrag": Gebühren nicht summiert</t>
  </si>
  <si>
    <t>Formeln für Einblenden der Zusatzanforderungen (Text)</t>
  </si>
  <si>
    <t>OK, Kommentarfelder z.t. etwas vergrössert</t>
  </si>
  <si>
    <t>Bezug Auswahl Index WRG</t>
  </si>
  <si>
    <t>Valore previsto</t>
  </si>
  <si>
    <t>Potenza elettrica di tutti i ventilatori</t>
  </si>
  <si>
    <t>Dettagli per zona 3</t>
  </si>
  <si>
    <t>Riscaldamento centrale elettrico ad accumulazione</t>
  </si>
  <si>
    <t>Pompa di calore, acqua sotterranea, diretta, solo risc.</t>
  </si>
  <si>
    <t>Pompa di calore, acqua sotterranea, diretta, solo AC</t>
  </si>
  <si>
    <t>Pompa di calore, acqua sotterranea, indiretta, solo risc.</t>
  </si>
  <si>
    <t>Pompa di calore, acqua sotterranea, indiretta, solo AC</t>
  </si>
  <si>
    <t>Pompa di calore per scambiatore geotermico, solo risc.</t>
  </si>
  <si>
    <t>Pompa di calore per scambiatore geotermico, solo AC</t>
  </si>
  <si>
    <t>Energia solare termica, riscaldamento e acqua calda</t>
  </si>
  <si>
    <t>Abit. plurif.</t>
  </si>
  <si>
    <t>Abit. monof.</t>
  </si>
  <si>
    <t>Amministr.</t>
  </si>
  <si>
    <t>Loc. pubblici</t>
  </si>
  <si>
    <t>Piscine c.</t>
  </si>
  <si>
    <t>Blatt "Eingabe", Zeilen 13-16: alte Zeilen wieder einbauen, Abfrage Kühlung für Minergie+-P</t>
  </si>
  <si>
    <t>Portata aria est. termica determ.</t>
  </si>
  <si>
    <t>Fabbisogno el. imp. aerazione</t>
  </si>
  <si>
    <t>soddisfa?</t>
  </si>
  <si>
    <t>Einfügen einer "Kopfzeile" mit Version MINERGIE, gültig bis..</t>
  </si>
  <si>
    <t>"Standardwerte": Anpassen der MINERGIE-Grenzwerte für Neu- und Altbauten</t>
  </si>
  <si>
    <t>WW für Rest, Sportbau, Hallenbäder</t>
  </si>
  <si>
    <t>Externe Eingabe Ausenluftrate zulässig</t>
  </si>
  <si>
    <t>Externe Eingabe Strom Lüftung zulässig</t>
  </si>
  <si>
    <t>&lt; 5000 m2</t>
  </si>
  <si>
    <t xml:space="preserve"> &lt; 2000m2</t>
  </si>
  <si>
    <t xml:space="preserve"> &lt; 500m2</t>
  </si>
  <si>
    <t>&lt; 2000m2</t>
  </si>
  <si>
    <t>&lt; 5000m2</t>
  </si>
  <si>
    <t>&gt; 5000m2</t>
  </si>
  <si>
    <t xml:space="preserve"> &gt; 2000m2</t>
  </si>
  <si>
    <t>Pompa di calore, sonda geotermica solo acqua calda</t>
  </si>
  <si>
    <t>Pompa di calore, acque di scarico, solo riscaldamento</t>
  </si>
  <si>
    <t>Pompa di calore, acque di scarico, solo acqua calda</t>
  </si>
  <si>
    <t>Pompa di calore ad acqua, solo riscaldamento</t>
  </si>
  <si>
    <t>Pompa di calore ad acqua, solo acqua calda</t>
  </si>
  <si>
    <t>Bei Hallenbadnutzung wird neu EBF und EBFo auf Null gesetzt</t>
  </si>
  <si>
    <t>angepasst gemäss Pflichtenheft</t>
  </si>
  <si>
    <t>o.k.: es sollte nur noch kWh/m2 erscheinen</t>
  </si>
  <si>
    <t>Text wird bei Abluftanlage und Fenstelüftung nicht angezeigt. Bedingte Formatierung bei Eingabe Wirkungsgrad WRG 'geplanter Wert'</t>
  </si>
  <si>
    <t>Blatt Lueftung: Druckverlust, Lufterdregister, Betriebsart</t>
  </si>
  <si>
    <t>Anpassungen Antragsformular gemäss Pflichtenheft vom "15. Juli 2002"</t>
  </si>
  <si>
    <t>Blatt "Antrag", Angaben zur Mehrfachnutzung</t>
  </si>
  <si>
    <t>Neu immer eingeblendet</t>
  </si>
  <si>
    <t>Kategorie Hallenbad: Kein Grenzwert</t>
  </si>
  <si>
    <t>Neuer Text bei Kategorie Schule und Verwaltung "Anzahl Personen"</t>
  </si>
  <si>
    <t>Bei Kategorie MFH / EFH und Standardwerte auf "Nein" Meldung "Einfache Berechnung beilegen"</t>
  </si>
  <si>
    <t>Trennung von thermisch und elektrisch wieder herausnehmen?? Grund für Trennung: unterschiedliche Gewichtungsfaktoren</t>
  </si>
  <si>
    <t>Index auf "Erzeugung" korrigiert</t>
  </si>
  <si>
    <t>Hell- vs. dunkelgelb</t>
  </si>
  <si>
    <t>Nur ein Typ Fernwärme</t>
  </si>
  <si>
    <t>Blatt "Standardwerte", Zelle BN5-BQ5, Formeln geändert</t>
  </si>
  <si>
    <t>Blatt "Antrag": Zelle H27 „Anzahl Zusatzgebäude" entfällt</t>
  </si>
  <si>
    <t>Blatt "Antrag": H27-H28, Text geändert, bedingte Formatierung gändert</t>
  </si>
  <si>
    <t>Blatt "Antrag": 3 neue Zeilen (50/51/52) eingefügt</t>
  </si>
  <si>
    <t>Blatt "Antrag": Neuer Text: Zelle F55: "Unterschrift Projektverfassende und weitere Beteiligte"</t>
  </si>
  <si>
    <t>Blatt "Eingaben": Wenn Badmischnutzung, wird EBFo für Bad nicht summiert</t>
  </si>
  <si>
    <t>Bedingte Formatierung auf Zelle J14 so, dass EBFo nicht angezeig bei Badmisch</t>
  </si>
  <si>
    <t>Blatt "Eingaben": ZA Warmwasser bei Restaurant, Sportbauten Hallenbad neu</t>
  </si>
  <si>
    <t>Blatt "Standardwerte", Zellen AX8 neuer Text</t>
  </si>
  <si>
    <t>für Minergie-A</t>
  </si>
  <si>
    <t>Auswahl Lüftungsanlage:</t>
  </si>
  <si>
    <t>Ausgewählt Zone 1</t>
  </si>
  <si>
    <t>Wärmeerzeugung Solar WW: Blatt "Rechnung":  Zelle R383: Deckungsgrad falsch berechnet</t>
  </si>
  <si>
    <t>min. Anzahl</t>
  </si>
  <si>
    <r>
      <t>Q</t>
    </r>
    <r>
      <rPr>
        <vertAlign val="subscript"/>
        <sz val="8"/>
        <rFont val="Arial"/>
        <family val="2"/>
      </rPr>
      <t>AC</t>
    </r>
    <r>
      <rPr>
        <sz val="9"/>
        <rFont val="Arial"/>
        <family val="2"/>
      </rPr>
      <t xml:space="preserve"> fabbisogno termico AC</t>
    </r>
  </si>
  <si>
    <r>
      <t xml:space="preserve">Verifica allegata </t>
    </r>
    <r>
      <rPr>
        <sz val="8"/>
        <rFont val="Arial"/>
        <family val="2"/>
      </rPr>
      <t>(apporre visto a ciò che corrisponde)</t>
    </r>
  </si>
  <si>
    <r>
      <t>Q</t>
    </r>
    <r>
      <rPr>
        <vertAlign val="subscript"/>
        <sz val="8"/>
        <rFont val="Arial"/>
        <family val="2"/>
      </rPr>
      <t>e</t>
    </r>
  </si>
  <si>
    <r>
      <t>kWh/m</t>
    </r>
    <r>
      <rPr>
        <vertAlign val="superscript"/>
        <sz val="8"/>
        <rFont val="Arial"/>
        <family val="2"/>
      </rPr>
      <t>2</t>
    </r>
  </si>
  <si>
    <t>&gt; 5000 m2</t>
  </si>
  <si>
    <t>g</t>
  </si>
  <si>
    <t xml:space="preserve">  </t>
  </si>
  <si>
    <t>kWh/m2</t>
  </si>
  <si>
    <t>Datum</t>
  </si>
  <si>
    <t>geprüft durch</t>
  </si>
  <si>
    <t>Geprüfter Bereich</t>
  </si>
  <si>
    <t>ms</t>
  </si>
  <si>
    <t>Blatt "Lueftung", Zelle H26 (und 3 analoge weiter unten in Spalte H): Zellenformatierung auf gelb</t>
  </si>
  <si>
    <t>Blatt "Eingaben": Zeile 22, "Wirkungsgrad Lüftungsanlage"</t>
  </si>
  <si>
    <t>Blatt Lueftung: Standardwert für Wirkungsgrad WRG bei Abl-WP</t>
  </si>
  <si>
    <t>Aeraz.+RC</t>
  </si>
  <si>
    <t>Diverse Übersetzungstexte nach Pflichtenheft 21.1.05 der MINERGIE-Agentur Bau geändert</t>
  </si>
  <si>
    <t>Wärmepumpe gewählt</t>
  </si>
  <si>
    <r>
      <t>Dati relativi al progetto:</t>
    </r>
    <r>
      <rPr>
        <sz val="10"/>
        <rFont val="Arial"/>
        <family val="2"/>
      </rPr>
      <t xml:space="preserve"> </t>
    </r>
    <r>
      <rPr>
        <sz val="9"/>
        <rFont val="Arial"/>
        <family val="2"/>
      </rPr>
      <t>(Designazione dell'oggetto, luogo definitivo dell'oggetto con via, numero, NAP, località)</t>
    </r>
  </si>
  <si>
    <t>EBF und EBF der Hallenbäder soll nicht dazugezählt werden</t>
  </si>
  <si>
    <t>Blatt "Standardwerte", K5, M5, O5, Q5 geändert</t>
  </si>
  <si>
    <t>Vergleich Minergie auch bei Badmischnutzung (nur auf Teil ohne Hallenbad)</t>
  </si>
  <si>
    <t>Blatt "Nachweis", G35, E35, J35 gändert</t>
  </si>
  <si>
    <t>Bei Badmischnutzung: Primäranforderung mit Hallenbad</t>
  </si>
  <si>
    <t>Blatt "Nachweis", G34; Blatt "Standardwerte", J64 geändert</t>
  </si>
  <si>
    <t>Bei Badmischnutzung: Hinweis, dass Grenzwertvergleich ohne Hallenbadteil gerechnet ist</t>
  </si>
  <si>
    <t>Blatt "Nachweis", D35 gändert</t>
  </si>
  <si>
    <t>Blatt "Nachweis": Grenzwertberechnung auch bei Badmischnutzung (ohne Teil Hallenbad)</t>
  </si>
  <si>
    <t>Blatt "Erzeugung" bzw. "Rechnung"</t>
  </si>
  <si>
    <t>WKK (Holz) eingefügt</t>
  </si>
  <si>
    <t>Blatt "Nachweis", Zusatzanforderungen</t>
  </si>
  <si>
    <t>Falsche Verlinkung bei Kreuzchen korrigiert d.h. gelöscht</t>
  </si>
  <si>
    <t>Blatt "Nachweis", J20 gändert. Neuer Warnhinweis auf Zelle J8</t>
  </si>
  <si>
    <t>Blatt "Antrag": Ergänzung Tag B7</t>
  </si>
  <si>
    <t>Blatt "Antrag": J19: Falsche Anzeige Primäranforderung bei Badmischnutzung</t>
  </si>
  <si>
    <t>Blatt "Antrag":Pulldown B15 und B18, nur 2 zur Auswahl</t>
  </si>
  <si>
    <t>Auswahlbereich Pulldown reduziert</t>
  </si>
  <si>
    <t>Blatt "Antrag":Zeilennummerierung geändert</t>
  </si>
  <si>
    <t>bauherr1</t>
  </si>
  <si>
    <t>bauherr2</t>
  </si>
  <si>
    <t>Name Bauhererschaft</t>
  </si>
  <si>
    <t>Adresse Bauherrschaft</t>
  </si>
  <si>
    <t>Funktion von Antragsteller</t>
  </si>
  <si>
    <t>funkantrag</t>
  </si>
  <si>
    <t>1: Architekt;  2: Planer;  3: Bauherr;  4: GU</t>
  </si>
  <si>
    <t>Altbau / Neubau (ab 2000)</t>
  </si>
  <si>
    <t>Blatt "Antrag":Zusätzlich Unterschrift Bauherrschaft</t>
  </si>
  <si>
    <t>Blatt "Antrag": Textfelder um Unterschriftsbereich angepasst</t>
  </si>
  <si>
    <t>Blatt "Antrag": Zeilen Bauherrschaft eingefügt, inkl. Name / Adresse</t>
  </si>
  <si>
    <t>Doppelt:</t>
  </si>
  <si>
    <t>Lugano</t>
  </si>
  <si>
    <t>Robbia</t>
  </si>
  <si>
    <t xml:space="preserve">Vo = </t>
  </si>
  <si>
    <t>MINERGIE</t>
  </si>
  <si>
    <t>m2</t>
  </si>
  <si>
    <t>Zusatzanforderungen</t>
  </si>
  <si>
    <t>Blatt Erzeugung, Fehlermeldung Warmwasser</t>
  </si>
  <si>
    <t>Ergänzt, falls Deckungsgrad WW nicht 100</t>
  </si>
  <si>
    <t>Blatt Antrag, Ergänzungen gemäss Fax T. Huber vom 11. 7. 02</t>
  </si>
  <si>
    <t>Gewichteter Endenergiebedarf für die Solarenergie ist nicht Null</t>
  </si>
  <si>
    <t>Gewichtungsfaktor in Blatt "Standardwerte" für therm. Solarenergie auf 0 gesetzt</t>
  </si>
  <si>
    <t>Blatt "Eingaben", Frage nach Warmwasser</t>
  </si>
  <si>
    <t>ausgeblendet</t>
  </si>
  <si>
    <t>Blatt "Eingaben", Frage nach Baujahr</t>
  </si>
  <si>
    <t>Text neu "Baujahr ab 1990",  Tag angepasst</t>
  </si>
  <si>
    <t>Warmasserbedarf wird mit EBF statt mit EBFo berechnet</t>
  </si>
  <si>
    <t>Korrigiert mit Faktor EBFo/EBF auf Blatt "Nachweis"</t>
  </si>
  <si>
    <t>Leere Auswahl</t>
  </si>
  <si>
    <t>Berechnung zulässig</t>
  </si>
  <si>
    <t>Standardberechnung</t>
  </si>
  <si>
    <t>Standard Index</t>
  </si>
  <si>
    <t>6 punti non sono stati rispettati</t>
  </si>
  <si>
    <t>Motore a corrente alternata</t>
  </si>
  <si>
    <t>Motore a corrente continua/EC</t>
  </si>
  <si>
    <t>Abitazione monofamiliare</t>
  </si>
  <si>
    <t>N. di stanze con immissione d'aria</t>
  </si>
  <si>
    <t>Apporto scambiatore geotermico</t>
  </si>
  <si>
    <t>Elettrodomestici con il marchio A</t>
  </si>
  <si>
    <t>eff. Betriebsstunden</t>
  </si>
  <si>
    <t>Luftmengen</t>
  </si>
  <si>
    <r>
      <t>h</t>
    </r>
    <r>
      <rPr>
        <vertAlign val="subscript"/>
        <sz val="8"/>
        <rFont val="Arial"/>
        <family val="2"/>
      </rPr>
      <t>WRG</t>
    </r>
  </si>
  <si>
    <t>geplanter, jedoch mindestens Standard-Wert</t>
  </si>
  <si>
    <t>Standard-Leistung</t>
  </si>
  <si>
    <r>
      <t>P</t>
    </r>
    <r>
      <rPr>
        <vertAlign val="subscript"/>
        <sz val="8"/>
        <rFont val="Arial"/>
        <family val="2"/>
      </rPr>
      <t>e, min.</t>
    </r>
  </si>
  <si>
    <t>eff. Leistung</t>
  </si>
  <si>
    <r>
      <t>P</t>
    </r>
    <r>
      <rPr>
        <vertAlign val="subscript"/>
        <sz val="8"/>
        <rFont val="Arial"/>
        <family val="2"/>
      </rPr>
      <t>e</t>
    </r>
  </si>
  <si>
    <t>Pulldown für Wärmeerzeuger erweitert mit: Fernwärme ARA Heizung, Fernwärme ARA WW, Fernwärme Abwärme Heizung, Fernwärme Abwärme WW, WKK elektrisch Anteil, WP Erdregister Heizung, WP Erdregister WW, WP Grundwasser indirekt Heizung, WP Grundwasser indirekt WW</t>
  </si>
  <si>
    <t>Anpassungen notwendig auf Blätter Erzeugung, Nachweis, Rechnung, Standartwerte</t>
  </si>
  <si>
    <t>Ausssenluftvolumenströme pro Raum resp. pro Person</t>
  </si>
  <si>
    <t>Dettagli per zona 4</t>
  </si>
  <si>
    <t>Abitazione AP (abitazioni plurifamiliari)</t>
  </si>
  <si>
    <t>Korrigiert: Fehlermeldung und Grenzwert Minergie nicht erfüllt</t>
  </si>
  <si>
    <t>Entscheid von MIN.Agentur: kWh/m2 ohne a verwenden</t>
  </si>
  <si>
    <t>m s.l.m.</t>
  </si>
  <si>
    <t>Stazione met:</t>
  </si>
  <si>
    <t>Primäranforderungen</t>
  </si>
  <si>
    <t>Minergie</t>
  </si>
  <si>
    <t>Blatt "Eingaben": Wenn ZA Beleuchtung nicht erfüllt -&gt; in Blatt "Nachweis" Begründung verlangen</t>
  </si>
  <si>
    <t>Blatt "Nachweis", Zelle F40 Text ergänzt</t>
  </si>
  <si>
    <t>Blatt "Eingaben": Wenn ZA Warmwasser: Text in Tag B44 ergänzen</t>
  </si>
  <si>
    <t>Blatt "Nachweis": Wenn ZA Warmwasser: Text in Tag B44 ergänzen</t>
  </si>
  <si>
    <t>Blatt "Eingaben": ZA Gewerbliche Kälte: Neuer Text / Tag / Verknüpfung</t>
  </si>
  <si>
    <t>Blatt "Standardwerte", AC9-AC11 und AX9-AX11 Verknüpfung und Text geändert</t>
  </si>
  <si>
    <t>Blatt "Antrag", Zelle G5 geändert und entsprechend Kommentar zu Zelle B5</t>
  </si>
  <si>
    <t>si</t>
  </si>
  <si>
    <t>geplanter, jedoch mindestens min. Volumenstrom</t>
  </si>
  <si>
    <t/>
  </si>
  <si>
    <r>
      <t>V</t>
    </r>
    <r>
      <rPr>
        <vertAlign val="subscript"/>
        <sz val="8"/>
        <rFont val="Arial"/>
        <family val="2"/>
      </rPr>
      <t>min</t>
    </r>
  </si>
  <si>
    <r>
      <t>m</t>
    </r>
    <r>
      <rPr>
        <vertAlign val="superscript"/>
        <sz val="8"/>
        <rFont val="Arial"/>
        <family val="2"/>
      </rPr>
      <t>3</t>
    </r>
    <r>
      <rPr>
        <sz val="8"/>
        <rFont val="Arial"/>
        <family val="2"/>
      </rPr>
      <t>/h</t>
    </r>
  </si>
  <si>
    <t>Spez. Leistung</t>
  </si>
  <si>
    <r>
      <t>V</t>
    </r>
    <r>
      <rPr>
        <vertAlign val="subscript"/>
        <sz val="8"/>
        <rFont val="Arial"/>
        <family val="2"/>
      </rPr>
      <t>eff</t>
    </r>
  </si>
  <si>
    <t>Komfortlüftung mit WRG</t>
  </si>
  <si>
    <t>Aeraz. contr. con PAC sull'aspirazione</t>
  </si>
  <si>
    <t>- velocità dell'aria nelle condotte max. 2.5 m/s</t>
  </si>
  <si>
    <t>Interlaken</t>
  </si>
  <si>
    <t>GR</t>
  </si>
  <si>
    <t>Davos</t>
  </si>
  <si>
    <t>Disentis</t>
  </si>
  <si>
    <t>Magazzini</t>
  </si>
  <si>
    <t>Impianti sportivi</t>
  </si>
  <si>
    <t>Piscine coperte</t>
  </si>
  <si>
    <t>Imp. sportivi</t>
  </si>
  <si>
    <t>Riscald.</t>
  </si>
  <si>
    <t>Descrizione imp. (marca, tipo, ecc.)</t>
  </si>
  <si>
    <t>Grado di rendimento selezionato</t>
  </si>
  <si>
    <t>Prüfung ob nicht alle Eingaben "n.a."</t>
  </si>
  <si>
    <t>Accumulatore esistente?</t>
  </si>
  <si>
    <t>Energia solare termica, solo acqua calda</t>
  </si>
  <si>
    <t>Grado di rend.</t>
  </si>
  <si>
    <t>Ponderazione</t>
  </si>
  <si>
    <t>Valore standard</t>
  </si>
  <si>
    <t>Ventilazione controllata con RC</t>
  </si>
  <si>
    <t>Punti di valutazione per una perdita di pressione piccola:</t>
  </si>
  <si>
    <t>Hinterlegung für Wärmeerzeuger: Fernwärme ARA und Abwärme für Heizung und WW</t>
  </si>
  <si>
    <t>Hinterlegung für Wärmeerzeuger: WP Erdregister und WP Grundwasser indirekt für Heizung und WW</t>
  </si>
  <si>
    <t>Hinterlegung für Wärmeerzeuger WKK</t>
  </si>
  <si>
    <t>Prüfung Primäranforderung: falls Soll = Ist -&gt; nicht erfüllt</t>
  </si>
  <si>
    <t>Vergleich von &lt; auf &lt;= geändert</t>
  </si>
  <si>
    <t>Beilagenliste auf Blatt Nachweis</t>
  </si>
  <si>
    <t>bei Systemen verschieden</t>
  </si>
  <si>
    <t>jährliche Betriebszeiten in Stunden</t>
  </si>
  <si>
    <t>System</t>
  </si>
  <si>
    <t>Abluftanalage mit Abluft-WP</t>
  </si>
  <si>
    <t>ABL-Anlage m. AUL-Durchl.</t>
  </si>
  <si>
    <t>automatische Fensterlüftung</t>
  </si>
  <si>
    <t>Amministrazione</t>
  </si>
  <si>
    <t>Numero di persone</t>
  </si>
  <si>
    <t>Impianto d'espulsione dell'aria con tubatura d'aria esterna</t>
  </si>
  <si>
    <t>(solo fino a 3 punti)</t>
  </si>
  <si>
    <t>Scuole</t>
  </si>
  <si>
    <t>Impianto d'espulsione dell'aria con PAC a espulsione d'aria</t>
  </si>
  <si>
    <t>Ventilazione controllata mono-spazio</t>
  </si>
  <si>
    <t>B49: neu Webadr., aber nicht als Link; bedingte Formatierung abh. von ME-P</t>
  </si>
  <si>
    <t>- schermatura solare esterna mobile tramite tapparella o lamella; (MINERGIE®-Modulo per protezioni solari)</t>
  </si>
  <si>
    <t>Pompa di calore, sonda geotermica solo riscaldamento</t>
  </si>
  <si>
    <t>Pompa di calore ad aria, solo riscaldamento</t>
  </si>
  <si>
    <t>Pompa di calore ad aria, solo acqua calda</t>
  </si>
  <si>
    <t>Auswahl Häckchen für "Zutreffendes ankreuzen"</t>
  </si>
  <si>
    <t>Blatt "Nachweis", Zelle F48: Häckchen nur anzeigen für ME, nicht für ME-P</t>
  </si>
  <si>
    <t>Dazu Zelle verknüpfen mit neu Blatt "Standardwerte" Zelle BI63</t>
  </si>
  <si>
    <t xml:space="preserve">Blatt "Sommer", Textergänzung in S14 </t>
  </si>
  <si>
    <t>L7</t>
  </si>
  <si>
    <t>L8</t>
  </si>
  <si>
    <t>Index Auswahl</t>
  </si>
  <si>
    <t>h</t>
  </si>
  <si>
    <r>
      <t>m</t>
    </r>
    <r>
      <rPr>
        <vertAlign val="superscript"/>
        <sz val="9"/>
        <rFont val="Arial"/>
        <family val="2"/>
      </rPr>
      <t>3</t>
    </r>
    <r>
      <rPr>
        <sz val="9"/>
        <rFont val="Arial"/>
        <family val="2"/>
      </rPr>
      <t>/m</t>
    </r>
    <r>
      <rPr>
        <vertAlign val="superscript"/>
        <sz val="9"/>
        <rFont val="Arial"/>
        <family val="2"/>
      </rPr>
      <t>2</t>
    </r>
    <r>
      <rPr>
        <sz val="9"/>
        <rFont val="Arial"/>
        <family val="2"/>
      </rPr>
      <t>h</t>
    </r>
  </si>
  <si>
    <t>L15</t>
  </si>
  <si>
    <t xml:space="preserve">Valore standard  </t>
  </si>
  <si>
    <t xml:space="preserve">Potenza elettrica di tutti i ventilatori </t>
  </si>
  <si>
    <t xml:space="preserve">Valori per </t>
  </si>
  <si>
    <t>Fabbisogno corrente impianto d'aerazione</t>
  </si>
  <si>
    <t>Dettagli per zona 2</t>
  </si>
  <si>
    <t>Blatt "Antrag": Fehlermeldung F30 gelöscht</t>
  </si>
  <si>
    <t>Blatt "Antrag": Tag G27 geändert</t>
  </si>
  <si>
    <t>Blatt "Eingaben",  Formeln J29 für Fehlermeldung angepasst</t>
  </si>
  <si>
    <t>Blatt "Antrag": Pulldown Planer 2 wie Planer 1</t>
  </si>
  <si>
    <t>Verkaufsnutzung</t>
  </si>
  <si>
    <t>il calore residuo è rigettato?</t>
  </si>
  <si>
    <t>Esercizio ottimizzato di piscine coperte</t>
  </si>
  <si>
    <t>effektiver Index</t>
  </si>
  <si>
    <t>kWh/a</t>
  </si>
  <si>
    <t>%</t>
  </si>
  <si>
    <t>Stufe 1</t>
  </si>
  <si>
    <t>Stufe 2</t>
  </si>
  <si>
    <t>L9</t>
  </si>
  <si>
    <t>L10</t>
  </si>
  <si>
    <t>L6</t>
  </si>
  <si>
    <t>Einheiten von kWh/m2 auf kWh geändert (nur Text)</t>
  </si>
  <si>
    <t xml:space="preserve">Blatt "Eingaben" Einheiten in E25 bis E27 </t>
  </si>
  <si>
    <t>Blatt "Antrag", Zelle F58 Textkorrektur</t>
  </si>
  <si>
    <t>Sup. di rif. Energetico</t>
  </si>
  <si>
    <t>Blatt "Eingaben" E7 Textkorrektur</t>
  </si>
  <si>
    <t>Blatt "Sommer", Textkorrektur in S14 und Tag ergänzt</t>
  </si>
  <si>
    <t>Energia solare termica, solo riscaldamento</t>
  </si>
  <si>
    <t>Ausrichtung Fensterfläche West</t>
  </si>
  <si>
    <t>Ausrichtung Fensterfläche Süd</t>
  </si>
  <si>
    <t>sfenster</t>
  </si>
  <si>
    <t>efenster</t>
  </si>
  <si>
    <t>wfenster</t>
  </si>
  <si>
    <t>EBF bei Einzelanwendung</t>
  </si>
  <si>
    <t>&gt;0=Si, 0=No</t>
  </si>
  <si>
    <t>Selezioni</t>
  </si>
  <si>
    <r>
      <t>Allegati alla domanda per l'attribuzione del certificato:</t>
    </r>
    <r>
      <rPr>
        <sz val="10"/>
        <rFont val="Arial"/>
        <family val="2"/>
      </rPr>
      <t xml:space="preserve">  Stampa della rubrica 'Domanda', 'Dati', 'Estate',</t>
    </r>
  </si>
  <si>
    <t>- nessun lucernario o finestre per tetti con superfici vetrate &gt; 0.5 m2</t>
  </si>
  <si>
    <t>bürgi</t>
  </si>
  <si>
    <t>Blatt "Standardwerte", Umbenennung Antrag MINERGIE-Label in MINERGIE-Zertifikat</t>
  </si>
  <si>
    <t>Blatt "Eingaben", Umbenennung Beilagen zu Label-Antrag in Beilagen zu Zertifikat-Antrag</t>
  </si>
  <si>
    <t xml:space="preserve">Blatt "Sommer", Textergänzung in S1 </t>
  </si>
  <si>
    <t>N41</t>
  </si>
  <si>
    <t>Bei Blättern bei Zeilennr. jeweils Anfangsbuchstaben des Blattnamens hinzugefügt</t>
  </si>
  <si>
    <t>PAC acque di scarico (diretta), riscaldamento</t>
  </si>
  <si>
    <t>Rendimento recupero di calore</t>
  </si>
  <si>
    <t xml:space="preserve">Portata volumetrica nominale d'aria </t>
  </si>
  <si>
    <t xml:space="preserve">Requisiti supplementari </t>
  </si>
  <si>
    <t>Requisito</t>
  </si>
  <si>
    <t>Val.oggetto</t>
  </si>
  <si>
    <t>sì</t>
  </si>
  <si>
    <t>no</t>
  </si>
  <si>
    <t xml:space="preserve">Bonus AC: </t>
  </si>
  <si>
    <t>MIN con AC?</t>
  </si>
  <si>
    <t>Zona1:</t>
  </si>
  <si>
    <t xml:space="preserve">Auswahl   e1 = </t>
  </si>
  <si>
    <t xml:space="preserve">Auswahl   e2 = </t>
  </si>
  <si>
    <t xml:space="preserve">Auswahl   e3 = </t>
  </si>
  <si>
    <t xml:space="preserve">Auswahl   e4 = </t>
  </si>
  <si>
    <t>Zurigo</t>
  </si>
  <si>
    <t>Progetto:</t>
  </si>
  <si>
    <t>Numero di zone</t>
  </si>
  <si>
    <t>Dati relativi all'edificio</t>
  </si>
  <si>
    <t xml:space="preserve">Ventilatorenergie </t>
  </si>
  <si>
    <t>Lufterdregsister</t>
  </si>
  <si>
    <t>Ventilator</t>
  </si>
  <si>
    <t xml:space="preserve"> -</t>
  </si>
  <si>
    <t>Werte für Ausswahllisten</t>
  </si>
  <si>
    <t>Blatt "Erzeugung", thermische Solarenergie, heizen + WW: Kollektorertrag nicht variierbar</t>
  </si>
  <si>
    <t>1 = sì</t>
  </si>
  <si>
    <t>Riscal.</t>
  </si>
  <si>
    <t>Selezione del tipo di connessione</t>
  </si>
  <si>
    <t>tipo1:</t>
  </si>
  <si>
    <t>tipo2:</t>
  </si>
  <si>
    <t>tipo3:</t>
  </si>
  <si>
    <t>tipo4:</t>
  </si>
  <si>
    <t>Selezione metodo di produzione di calore</t>
  </si>
  <si>
    <t>Selezione:</t>
  </si>
  <si>
    <t>I punti qui riportati sono soddisfatti?</t>
  </si>
  <si>
    <t>Strasse / Nr</t>
  </si>
  <si>
    <t>Postleitzahl</t>
  </si>
  <si>
    <t>Ort</t>
  </si>
  <si>
    <t>Antragsteller1</t>
  </si>
  <si>
    <t>Fabbisogno termico</t>
  </si>
  <si>
    <t>Produzione di calore C</t>
  </si>
  <si>
    <t>Produzione di calore D</t>
  </si>
  <si>
    <t>Deckungsgrad neu 0 falls qh=0 und WP für Heizung auf Blatt "Rechnung"</t>
  </si>
  <si>
    <t>Domanda d'utilizzo</t>
  </si>
  <si>
    <t>DG zus.</t>
  </si>
  <si>
    <t>L1</t>
  </si>
  <si>
    <t>L2</t>
  </si>
  <si>
    <t>Beilage / Seite:</t>
  </si>
  <si>
    <t>Projekt:</t>
  </si>
  <si>
    <t>Industrie</t>
  </si>
  <si>
    <t>EBF</t>
  </si>
  <si>
    <t>Blatt "Antrag": Zeile B47 umschaltbar gemacht für MINERGIE-P</t>
  </si>
  <si>
    <t>Nidvaldo</t>
  </si>
  <si>
    <t>Obvaldo</t>
  </si>
  <si>
    <t>objektname</t>
  </si>
  <si>
    <t>hoehe</t>
  </si>
  <si>
    <t>bau1</t>
  </si>
  <si>
    <t>bau2</t>
  </si>
  <si>
    <t>bau3</t>
  </si>
  <si>
    <t>prog. energia</t>
  </si>
  <si>
    <t>a soffitto</t>
  </si>
  <si>
    <t>corpi riscald.</t>
  </si>
  <si>
    <t>ad aria</t>
  </si>
  <si>
    <t>combinazione</t>
  </si>
  <si>
    <t>PdC sull'aspirazione senza immissione</t>
  </si>
  <si>
    <t>PdC compatta + RC</t>
  </si>
  <si>
    <t>PdC compatta senza RC, AC</t>
  </si>
  <si>
    <t>PdC compatta senza RC,riscaldamento</t>
  </si>
  <si>
    <t>Benessere termico estivo</t>
  </si>
  <si>
    <t>Dati generali sull'aerazione</t>
  </si>
  <si>
    <t>nessuno</t>
  </si>
  <si>
    <t>moderato</t>
  </si>
  <si>
    <t>forte</t>
  </si>
  <si>
    <t>Previsti raffreddamento o umidificazione?</t>
  </si>
  <si>
    <t>Raffreddamento</t>
  </si>
  <si>
    <t>Umidificazione</t>
  </si>
  <si>
    <t>Raff.+umidif.</t>
  </si>
  <si>
    <t>Nessuno</t>
  </si>
  <si>
    <r>
      <t>Q</t>
    </r>
    <r>
      <rPr>
        <vertAlign val="subscript"/>
        <sz val="8"/>
        <rFont val="Arial"/>
        <family val="2"/>
      </rPr>
      <t>e,V</t>
    </r>
  </si>
  <si>
    <r>
      <t>Q</t>
    </r>
    <r>
      <rPr>
        <vertAlign val="subscript"/>
        <sz val="8"/>
        <rFont val="Arial"/>
        <family val="2"/>
      </rPr>
      <t>e,C</t>
    </r>
  </si>
  <si>
    <r>
      <t>Q</t>
    </r>
    <r>
      <rPr>
        <vertAlign val="subscript"/>
        <sz val="8"/>
        <rFont val="Arial"/>
        <family val="2"/>
      </rPr>
      <t>e,U</t>
    </r>
  </si>
  <si>
    <t>Qh con la portata d'aria esterna termicamente determinante effettiva</t>
  </si>
  <si>
    <r>
      <t>Q</t>
    </r>
    <r>
      <rPr>
        <vertAlign val="subscript"/>
        <sz val="8"/>
        <rFont val="Arial"/>
        <family val="2"/>
      </rPr>
      <t>h,corr</t>
    </r>
  </si>
  <si>
    <t>Nessuno scambiatore geotermico</t>
  </si>
  <si>
    <t>CLA valore standard</t>
  </si>
  <si>
    <t>CLA calcolato (allegato)</t>
  </si>
  <si>
    <t>Coeff. lavoro annuo (CLA) selezionato</t>
  </si>
  <si>
    <t>CLA valore standard+B594</t>
  </si>
  <si>
    <t>Protezione termica estiva secondo standard MINERGIE</t>
  </si>
  <si>
    <t>La valutazione globale vale per le zone nei cui locali sono rispettate le seguenti condizioni:</t>
  </si>
  <si>
    <t>- raffreddamento notturno tramite finestre;</t>
  </si>
  <si>
    <t>- carichi interni non superiori ai valori standard secondo quaderno tecnico SIA 2024</t>
  </si>
  <si>
    <t>Valore limite determinante</t>
  </si>
  <si>
    <t xml:space="preserve">Tot/media </t>
  </si>
  <si>
    <t>Produzione di calore:</t>
  </si>
  <si>
    <t>(riscaldamento + acqua calda)</t>
  </si>
  <si>
    <t>o COP</t>
  </si>
  <si>
    <t>Ponde-</t>
  </si>
  <si>
    <t>razione</t>
  </si>
  <si>
    <t>Tasso di copertura</t>
  </si>
  <si>
    <t>Fabb. fin. energia ponderato</t>
  </si>
  <si>
    <r>
      <t>Corrente kWh/m</t>
    </r>
    <r>
      <rPr>
        <vertAlign val="superscript"/>
        <sz val="7"/>
        <rFont val="Arial"/>
        <family val="2"/>
      </rPr>
      <t>2</t>
    </r>
  </si>
  <si>
    <r>
      <t>altro kWh/m</t>
    </r>
    <r>
      <rPr>
        <vertAlign val="superscript"/>
        <sz val="8"/>
        <rFont val="Arial"/>
        <family val="2"/>
      </rPr>
      <t>2</t>
    </r>
  </si>
  <si>
    <t>Fabb. term.</t>
  </si>
  <si>
    <t>Totale:</t>
  </si>
  <si>
    <t>Rispetto dei valori limite:</t>
  </si>
  <si>
    <t>soddisfatti?</t>
  </si>
  <si>
    <t>Val.lim.Qh,li0  [MJ/m2]</t>
  </si>
  <si>
    <r>
      <t>Val.lim.</t>
    </r>
    <r>
      <rPr>
        <b/>
        <sz val="9"/>
        <color indexed="9"/>
        <rFont val="Symbol"/>
        <family val="1"/>
        <charset val="2"/>
      </rPr>
      <t>D</t>
    </r>
    <r>
      <rPr>
        <b/>
        <sz val="9"/>
        <color indexed="9"/>
        <rFont val="Arial"/>
        <family val="2"/>
      </rPr>
      <t>Qh,li [MJ/m2]</t>
    </r>
  </si>
  <si>
    <t>Val.lim.Qh,li (nuov. costr., SIA)  [MJ/m2]</t>
  </si>
  <si>
    <t>0: keine Ost-Ausrichtung der Haupt-Fensterfassade;  1: Ost-Ausrichtung der Haupt-Fensterfassade</t>
  </si>
  <si>
    <t>Tassa MINERGIE</t>
  </si>
  <si>
    <t>Utilizzo semplice:</t>
  </si>
  <si>
    <t>Utilizzo multiplo:</t>
  </si>
  <si>
    <t>SRE [m2]</t>
  </si>
  <si>
    <t>UFC (fossile) - parte termica + elettrica</t>
  </si>
  <si>
    <t>UFC - parte termica + elettrica</t>
  </si>
  <si>
    <t>Tenuta stagna dell'involucro dell'edificio</t>
  </si>
  <si>
    <t>Fattore ponderazione per il calore</t>
  </si>
  <si>
    <t>Produzione di calore A</t>
  </si>
  <si>
    <t>in Totale</t>
  </si>
  <si>
    <t>EBF bei Mehrfachanwendung</t>
  </si>
  <si>
    <t>ebfeinzel</t>
  </si>
  <si>
    <t>ebfmehr</t>
  </si>
  <si>
    <t>1: MINERGIE-Nachweis,  2: MINERGIE-P</t>
  </si>
  <si>
    <t>1: Architekt; 2: Planer; 3: GU</t>
  </si>
  <si>
    <t>Neu Benutzereingabe möglich, bis 80% Deckungsgrad für WW+Heizung</t>
  </si>
  <si>
    <t>Integriert gemäss Pflichtenheft HTA</t>
  </si>
  <si>
    <t>MINERGIE-P für Neubauten</t>
  </si>
  <si>
    <t>Blatt Erzeugung: WKK nur für Heizung möglich</t>
  </si>
  <si>
    <t>Für WW ergänzt</t>
  </si>
  <si>
    <t>Anpassungen gemäss Pflichtenheft MINERGIE-Bau vom 10. Januar 03</t>
  </si>
  <si>
    <t>Svitto</t>
  </si>
  <si>
    <t>Soletta</t>
  </si>
  <si>
    <t>Ticino</t>
  </si>
  <si>
    <t>Turgovia</t>
  </si>
  <si>
    <t>Vaud</t>
  </si>
  <si>
    <t>Vallese</t>
  </si>
  <si>
    <t>Zugo</t>
  </si>
  <si>
    <t>Tipo standard impianto d'aerazione</t>
  </si>
  <si>
    <t>Marca e tipo</t>
  </si>
  <si>
    <t>[MJ/m2a]</t>
  </si>
  <si>
    <t>[m2/P]</t>
  </si>
  <si>
    <t>(Tab links)</t>
  </si>
  <si>
    <t>L11</t>
  </si>
  <si>
    <t>L12</t>
  </si>
  <si>
    <t>L13</t>
  </si>
  <si>
    <t>Stufe 3</t>
  </si>
  <si>
    <t>W</t>
  </si>
  <si>
    <t>Schule</t>
  </si>
  <si>
    <t>Betriebsstunden</t>
  </si>
  <si>
    <t>Index/Wert</t>
  </si>
  <si>
    <t>Korr I/W 1</t>
  </si>
  <si>
    <t>Korr I/W 2</t>
  </si>
  <si>
    <t>Bemerkungen</t>
  </si>
  <si>
    <t>Berechnungen</t>
  </si>
  <si>
    <t>Spalte</t>
  </si>
  <si>
    <t>Index für Zugriff auf Tabellen mit Var Werten</t>
  </si>
  <si>
    <t>Neu Vergleich: wenn WWBedarf &gt; 0 dann WWDeckungsgrad Soll = 100%</t>
  </si>
  <si>
    <t>Blatt "Nachweis": Primäranforderung erfüllt wenn Qh Standard = 0</t>
  </si>
  <si>
    <t>Neu nicht erfüllt</t>
  </si>
  <si>
    <t>I</t>
  </si>
  <si>
    <t>II</t>
  </si>
  <si>
    <t>-</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</si>
  <si>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</si>
  <si>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</si>
  <si>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BL</t>
  </si>
  <si>
    <t>Stazione meteo. + utilizzi</t>
  </si>
  <si>
    <t>Tipo impianto d'aerazione</t>
  </si>
  <si>
    <t>Blatt "Eingaben", Zellen E22 - H22: neu 3.0 statt 2.4</t>
  </si>
  <si>
    <t>1: keine Wahl; 2: ..... (gemäss Liste auf Blatt Standardwerte, B7-B47, abhängig vom gewählten Kanton; falls beim Kanton 29 gewählt wird, können alle Klimastationen ausgewählt werden)</t>
  </si>
  <si>
    <t>Oekostrombörse</t>
  </si>
  <si>
    <t>oekostrom</t>
  </si>
  <si>
    <t>0: leer;  1: Ja;  2: Nein</t>
  </si>
  <si>
    <t>erfüllt</t>
  </si>
  <si>
    <t>nicht erfüllt</t>
  </si>
  <si>
    <t>Kühlung nötig</t>
  </si>
  <si>
    <t>Auswahl</t>
  </si>
  <si>
    <t>Zone 1</t>
  </si>
  <si>
    <t>Zone 2</t>
  </si>
  <si>
    <t>Zone 3</t>
  </si>
  <si>
    <t>Zone 4</t>
  </si>
  <si>
    <t>E15</t>
  </si>
  <si>
    <t>E16</t>
  </si>
  <si>
    <t>E27</t>
  </si>
  <si>
    <t>E28</t>
  </si>
  <si>
    <r>
      <t>kWh/m</t>
    </r>
    <r>
      <rPr>
        <vertAlign val="superscript"/>
        <sz val="9"/>
        <rFont val="Arial"/>
        <family val="2"/>
      </rPr>
      <t>2</t>
    </r>
    <r>
      <rPr>
        <sz val="9"/>
        <rFont val="Arial"/>
        <family val="2"/>
      </rPr>
      <t>a</t>
    </r>
  </si>
  <si>
    <t>[kWh/m2]</t>
  </si>
  <si>
    <t>MINERGIE-P</t>
  </si>
  <si>
    <t xml:space="preserve">Zone 1  </t>
  </si>
  <si>
    <t>Val. lim. MINERGIE  [kWh/m2]</t>
  </si>
  <si>
    <t>Aerazione Zona1:</t>
  </si>
  <si>
    <t>Aerazione Zona2:</t>
  </si>
  <si>
    <t>Prove mediante fogli allegati suppl.</t>
  </si>
  <si>
    <t>Impianto</t>
  </si>
  <si>
    <t>Speciale</t>
  </si>
  <si>
    <t>Principato del Liechtenstein</t>
  </si>
  <si>
    <t>Aerazione con PdC aspirazione / immissione più  RC</t>
  </si>
  <si>
    <t>Aerazione con PdC aspirazione / immissione senza RC</t>
  </si>
  <si>
    <t>Aerazione con PdC sull'aspirazione per AC (nessuna immissione)</t>
  </si>
  <si>
    <t>PdC compatta con immissione e aspirazione / AC più RC</t>
  </si>
  <si>
    <t>PdC compatta / AC senza RC (solo riscaldamento)</t>
  </si>
  <si>
    <t>PdC compatta / AC senza RC (solo AC)</t>
  </si>
  <si>
    <t>PdC aspirazione / immissione+RC</t>
  </si>
  <si>
    <t>PdC aspirazione / senza RC</t>
  </si>
  <si>
    <t>Blatt "Antrag", Zeile 10 bis 12</t>
  </si>
  <si>
    <t>Optische Trennung mit Strich neu</t>
  </si>
  <si>
    <t>S17</t>
  </si>
  <si>
    <t>S18</t>
  </si>
  <si>
    <t>S19</t>
  </si>
  <si>
    <t>S20</t>
  </si>
  <si>
    <t>S21</t>
  </si>
  <si>
    <t>S22</t>
  </si>
  <si>
    <t>S23</t>
  </si>
  <si>
    <t>S24</t>
  </si>
  <si>
    <t>S25</t>
  </si>
  <si>
    <t>S26</t>
  </si>
  <si>
    <t>S27</t>
  </si>
  <si>
    <t>S28</t>
  </si>
  <si>
    <t>S31</t>
  </si>
  <si>
    <t>S32</t>
  </si>
  <si>
    <t>S33</t>
  </si>
  <si>
    <t>S34</t>
  </si>
  <si>
    <t>MINERGIE - P</t>
  </si>
  <si>
    <t>Minergie-P ?</t>
  </si>
  <si>
    <t>Auswahl Minergie oder Minergie-P</t>
  </si>
  <si>
    <t>Minergie-P</t>
  </si>
  <si>
    <t>möglich ?</t>
  </si>
  <si>
    <t xml:space="preserve">Zone 1 </t>
  </si>
  <si>
    <t xml:space="preserve">Zone 2 </t>
  </si>
  <si>
    <t xml:space="preserve">Zone 3 </t>
  </si>
  <si>
    <t xml:space="preserve">Zone 4 </t>
  </si>
  <si>
    <t>V'/EBFo</t>
  </si>
  <si>
    <t>[m / h]</t>
  </si>
  <si>
    <t xml:space="preserve">Mittel </t>
  </si>
  <si>
    <t>Abschirmung und Einwirkseiten</t>
  </si>
  <si>
    <t>Abschirmung</t>
  </si>
  <si>
    <t>A</t>
  </si>
  <si>
    <t>Blatt "Antrag", Antragsteller: Ansprechperson eingefügt</t>
  </si>
  <si>
    <t>MO</t>
  </si>
  <si>
    <t>mineco</t>
  </si>
  <si>
    <t>Nachweis Minergie-Eco wird eingereicht</t>
  </si>
  <si>
    <t>Rend. annuo netto per kWp (allegato)</t>
  </si>
  <si>
    <t>Rend.annuo netto per kWp(selezionato)</t>
  </si>
  <si>
    <t>Consumo elettricità per produz. energia</t>
  </si>
  <si>
    <t>riscaldamento</t>
  </si>
  <si>
    <t>Dati climatici:</t>
  </si>
  <si>
    <t>Stazione meteo:</t>
  </si>
  <si>
    <t>Stazione</t>
  </si>
  <si>
    <t>Cantone</t>
  </si>
  <si>
    <t>Suppl. climat</t>
  </si>
  <si>
    <t>Altitudine</t>
  </si>
  <si>
    <t>climatica</t>
  </si>
  <si>
    <t>media annua</t>
  </si>
  <si>
    <t>Berna</t>
  </si>
  <si>
    <t>Friburgo</t>
  </si>
  <si>
    <t>Ginevra</t>
  </si>
  <si>
    <t>Glarona</t>
  </si>
  <si>
    <t xml:space="preserve">Oggetto: </t>
  </si>
  <si>
    <t xml:space="preserve">Via / N°: </t>
  </si>
  <si>
    <t>Dati relativi all'edificio:</t>
  </si>
  <si>
    <t>Categoria di edificio</t>
  </si>
  <si>
    <t>Zona 1</t>
  </si>
  <si>
    <t>Zona 2</t>
  </si>
  <si>
    <t>Zona 3</t>
  </si>
  <si>
    <t>Zona 4</t>
  </si>
  <si>
    <t>Ventilatore Zona 3</t>
  </si>
  <si>
    <t>Ventilatore Zona 4</t>
  </si>
  <si>
    <t>Produzione di calore</t>
  </si>
  <si>
    <t>m3/hm2</t>
  </si>
  <si>
    <t>m3/h</t>
  </si>
  <si>
    <t>Blatt "Eingaben", neu mit der Frage nach Warmwasser</t>
  </si>
  <si>
    <t>Zeile 13 eingeblendet, neue Zeilennummerierung 1-5</t>
  </si>
  <si>
    <t>Blatt "Standardwerte": Auswahltabelle für Warmwasser-Auswahlfrage</t>
  </si>
  <si>
    <t>Neue Tabelle Zellen H81-M103</t>
  </si>
  <si>
    <t>Blatt "Nachweis": Grenzwert MINERGIE gesenkt, wenn Kategorie ohne Warmwasser gewählt</t>
  </si>
  <si>
    <t>Neue Formel in Zelle D18-H18 und E12-H12</t>
  </si>
  <si>
    <t>Blatt "Standardwerte": Keine Grenzwertreduktion bei Restaurant, Sportbauten, Turnhallen</t>
  </si>
  <si>
    <t>Zellen L15, L20, L21 = 0</t>
  </si>
  <si>
    <t>Externe Berechnung mit Tool SIA 380/4</t>
  </si>
  <si>
    <t>Blatt "Standardwerte": Spitäler immer mit Warmwasser</t>
  </si>
  <si>
    <t>Zellen J92-K92 = Ja / L92-M92=Wahr</t>
  </si>
  <si>
    <t>Blatt "Standardwerte": Neue Variable "Warmwasser" definiert</t>
  </si>
  <si>
    <t>Warmwasser=wahr, wenn mindestens eine Zone mit Warmwasser</t>
  </si>
  <si>
    <t>nur ital. Vers.: Blatt "Aerazione", alle 4 Zonen, je Block L5: Default auf Index 5 ("4 Pkte nicht erfüllt")</t>
  </si>
  <si>
    <t>Blatt "Standardwerte": Fehlermeldung BG6 gelöscht</t>
  </si>
  <si>
    <t>Blatt "Antrag": Fehlermeldung auf F30 wieder eingefügt</t>
  </si>
  <si>
    <t>Blatt "Antrag": Neues Ankreuzfeld für REFH mit Verknüpfung auf "REFH", Zelle I31</t>
  </si>
  <si>
    <t>Blatt "Standardwerte", neue Variable "REFH" auf Zelle BS3 (Zelle kein Schutz)</t>
  </si>
  <si>
    <t>Blatt "Standardwerte": Neue Gebühr für MINERGIE-P, REFH, BI9 - BK9</t>
  </si>
  <si>
    <t xml:space="preserve">Zusatzgebäude: </t>
  </si>
  <si>
    <t>Reduktion:</t>
  </si>
  <si>
    <t>Mehrfach-</t>
  </si>
  <si>
    <t>anwendung</t>
  </si>
  <si>
    <t>Neuerstellung</t>
  </si>
  <si>
    <t>Blatt "Standardwerte", Text auf Zelle AX8 angepasst</t>
  </si>
  <si>
    <t>"Standardwerte": BO11 etc.: ME-P neu 4'000 Fr.; BK8: ME-P neu 200 Fr.</t>
  </si>
  <si>
    <t>Blatt "Standardwerte", Gebühren: für ME-P Unterscheidung REFH herausnehmen</t>
  </si>
  <si>
    <t>"Standardwerte": BI6 ändern; BK9=0 setzen. "Antrag" B27: Tag anpassen</t>
  </si>
  <si>
    <t>Blatt "Nachweis" für ME-P: Zeilen 49-55: leer; B48: Text anpassen; Tags linke Spalte anpassen</t>
  </si>
  <si>
    <t>Standardlüftung</t>
  </si>
  <si>
    <t>Blatt "Erzeugung": WKK ohne Standard-Nutzungsgrad</t>
  </si>
  <si>
    <t>Blatt "Rechnung", Zellen B207, O207, V207, AC207, AJ207 gelöscht</t>
  </si>
  <si>
    <t>Blatt "Antrag": Neuer Tag D29</t>
  </si>
  <si>
    <t>Blatt "Nachweis": Neuer Text Zelle E58: "Unterschrift Fachplanende 1 und 2:"</t>
  </si>
  <si>
    <t>Blatt "Eingaben", B32: Aenderung Text im Tag</t>
  </si>
  <si>
    <t>Blatt "Eingaben", B20: Aenderung Text im Tag</t>
  </si>
  <si>
    <t>Blatt "Eingaben", Formel B40 angepasst (Bedingung Minergie-P gelöscht)</t>
  </si>
  <si>
    <t>Blatt "Antrag", Tag auf Zelle H29 angepasst</t>
  </si>
  <si>
    <t>Blatt "Antrag", Fehlermeldung und bedingte Formatierung auf B30</t>
  </si>
  <si>
    <t>MINERGIE-P: Blatt "Eingaben": Zusatzanforderung Beleuchtung fehlt bei Schulen und Verkauf</t>
  </si>
  <si>
    <t>Blatt "Standardwerte", Formeln AS7-AV7 angepasst</t>
  </si>
  <si>
    <t>MINERGIE-P: Blatt "Eingaben": Tag auf Zelle B42 ergänzt</t>
  </si>
  <si>
    <t xml:space="preserve">Zona 2       </t>
  </si>
  <si>
    <t>PV</t>
  </si>
  <si>
    <t xml:space="preserve">Stromproduktion PV total: </t>
  </si>
  <si>
    <t>Graue Energie  [kWh/m2]</t>
  </si>
  <si>
    <t>PV [kWh/m2]</t>
  </si>
  <si>
    <t>Überschussproduktion [kWh/m2]</t>
  </si>
  <si>
    <t>Kompensation PV graue Energie [kWh/m2]</t>
  </si>
  <si>
    <t>Graue Energie minus Kompensation [kWh/m2]</t>
  </si>
  <si>
    <t>Blatt "Standardwerte",  Formeln S35-S38 angepasst</t>
  </si>
  <si>
    <t>numero unità d'abitazione</t>
  </si>
  <si>
    <t>Wahl Warmwasser auf "Eingaben"</t>
  </si>
  <si>
    <t>Auswahl, ob Nutzungszone mit Warmwasser gerechnet wird.</t>
  </si>
  <si>
    <t>Text:</t>
  </si>
  <si>
    <t>Logik:</t>
  </si>
  <si>
    <t xml:space="preserve">Zone1: </t>
  </si>
  <si>
    <t xml:space="preserve">Zone2: </t>
  </si>
  <si>
    <t xml:space="preserve">Zone3: </t>
  </si>
  <si>
    <t xml:space="preserve">Zone4: </t>
  </si>
  <si>
    <t>Kategorie</t>
  </si>
  <si>
    <t>Liste:</t>
  </si>
  <si>
    <t>Warmwasser in Erzeugung</t>
  </si>
  <si>
    <t>Qww</t>
  </si>
  <si>
    <t>EBF:</t>
  </si>
  <si>
    <t>Qww*EBF</t>
  </si>
  <si>
    <t>kWh</t>
  </si>
  <si>
    <t>WW-Reduktion</t>
  </si>
  <si>
    <t>Qww, Mittel</t>
  </si>
  <si>
    <t>Con acqua calda?</t>
  </si>
  <si>
    <t>autocertificazione</t>
  </si>
  <si>
    <t>calore residuo</t>
  </si>
  <si>
    <t>Calore residuo da freddo industriale</t>
  </si>
  <si>
    <t>nurBadnutzung</t>
  </si>
  <si>
    <t>Bueronutzung</t>
  </si>
  <si>
    <t>Schulnutzung</t>
  </si>
  <si>
    <t>erweitert mit Sanierungen, Fehler bei Restaurant (Anforderung WW, keine Gewerbekälte) behoben</t>
  </si>
  <si>
    <t>JAZ Wärmepumpen, Heizung</t>
  </si>
  <si>
    <t>Blatt "Antrag": Neues Ankreuzfeld für Gebührenreduktion mit Verknüpfung auf "Reduktion" I30</t>
  </si>
  <si>
    <t>Blatt "Standardwerte", neue Variable "Reduktion" auf Zelle BS4 (Zelle kein Schutz)</t>
  </si>
  <si>
    <t>Blatt "Antrag": Neuer Tag auf Zelle H29</t>
  </si>
  <si>
    <t>Estrazione</t>
  </si>
  <si>
    <t>Estraz.+PAC</t>
  </si>
  <si>
    <t>Aer. singola</t>
  </si>
  <si>
    <t>Aer.finestre</t>
  </si>
  <si>
    <t>nur ital. Vers.: Blatt "Standardwerte" BK35-38: Bezüge fehlten</t>
  </si>
  <si>
    <t>nur ital. Vers.: Blatt "Standardwerte" O38-41: Falsche Bed. drin; jetzt: Text soll immer erscheinen</t>
  </si>
  <si>
    <t>Auf Blatt "Standardwerte", Zelle BE5-8 Auswahl ergänzt</t>
  </si>
  <si>
    <t>Blatt "Nachweis": Bei reiner Badnutzung soll kein Vergleich für Minergie-Grenzwert erfolgen</t>
  </si>
  <si>
    <t>Blatt"Nachweis", Formeln auf Zellen E35, G35, J35 angepasst</t>
  </si>
  <si>
    <t>Blatt "Eingaben": Fehlermeldung Warmwasser auf "J13" gelöscht</t>
  </si>
  <si>
    <t>Blatt "Antrag", Kommentar Tag B5 löschen</t>
  </si>
  <si>
    <t>Blatt "Nachweis": Fehlermeldung WRG auf Zelle C15 löschen</t>
  </si>
  <si>
    <t>Blatt "Erzeugung", Kolonnen B, C, E 8Pt gross formatiert</t>
  </si>
  <si>
    <t>Blatt "Eingaben" und "Nachweis": alle Einheiten ohne Hochstellung</t>
  </si>
  <si>
    <t>Blatt "Antrag": Gebührenreduktion nur möglich, wenn Anzahl Wohneinheiten &lt; 2</t>
  </si>
  <si>
    <t>Blatt "Standardwerte": Neue Formeln BN5-BQ5</t>
  </si>
  <si>
    <t>Blatt "Erzeugung": Wenn kein Nutzungsgrad eingegeben, wird Minergie trotzdem berechnet.</t>
  </si>
  <si>
    <t>Blatt "Rechnung", Formeln Q214,R214,X214,Y214,AE214,AF214,AL214,AM214 angepasst</t>
  </si>
  <si>
    <t>Blatt "Rechnung": E208 neu: "durch Berechnung"</t>
  </si>
  <si>
    <t>Blatt "Lüftung": Fehlermeldung "keine WRG" löschen</t>
  </si>
  <si>
    <t>Blatt "Lüftung": Formel auf G26, G67, G108, G149 gelöscht</t>
  </si>
  <si>
    <t>Blatt "Antrag", Zelle B22: Neuer Tag; ganze Datei: "Eigenschaften" anpassen</t>
  </si>
  <si>
    <t>MINERGIE-P: Blatt "Nachweis" erscheint auf E9-H9 "Altbau" oder "Neubau"</t>
  </si>
  <si>
    <t>Blatt "Standardwerte", Formeln S43-S46 und "Nachweis" B9 angepasst</t>
  </si>
  <si>
    <t>Blatt "Erzeugung": Heizleistungsbedarf der Luft-/Wasser WP als zwingende Eingabe (d'gelb)</t>
  </si>
  <si>
    <t>Blatt "Rechnung", Zelle L225 = 2</t>
  </si>
  <si>
    <t>Blatt "Erzeugung": Temperatur Heizung und Warmwasser immer d'gelb</t>
  </si>
  <si>
    <t>Blatt "Rechnung", Kolonne L angepasst</t>
  </si>
  <si>
    <t>Gebühr für DEFH pro Einheit:</t>
  </si>
  <si>
    <t>Zusatzlabel Mehrfachanwen.</t>
  </si>
  <si>
    <t>Scaldaacqua a gas</t>
  </si>
  <si>
    <t>Riscaldamento a legna</t>
  </si>
  <si>
    <t>Riscaldamento centrale per accumulazione</t>
  </si>
  <si>
    <t>Riscaldamento elettrico diretto</t>
  </si>
  <si>
    <t>Scaldaacqua elettrico</t>
  </si>
  <si>
    <t>Interconnessione per circuito - ICC</t>
  </si>
  <si>
    <t>controcorrente</t>
  </si>
  <si>
    <t>ICC</t>
  </si>
  <si>
    <t xml:space="preserve">Zona1: </t>
  </si>
  <si>
    <t xml:space="preserve">Zona2: </t>
  </si>
  <si>
    <t>Kühlung</t>
  </si>
  <si>
    <t xml:space="preserve">Zona3: </t>
  </si>
  <si>
    <t xml:space="preserve">Zona4: </t>
  </si>
  <si>
    <t>tipo RC1</t>
  </si>
  <si>
    <t>tipo RC2</t>
  </si>
  <si>
    <t>tipo RC3</t>
  </si>
  <si>
    <t>tipo RC4</t>
  </si>
  <si>
    <t>Indice</t>
  </si>
  <si>
    <t>Selezione azionamento ventilatori dell'aerazione standard</t>
  </si>
  <si>
    <t>Nessun ventilatore</t>
  </si>
  <si>
    <t>nessun vent.</t>
  </si>
  <si>
    <t>Ventilatore Zona 1</t>
  </si>
  <si>
    <t>Ventilatore Zona 2</t>
  </si>
  <si>
    <t>Erdregister</t>
  </si>
  <si>
    <t>Text Zo2</t>
  </si>
  <si>
    <t>Text Zo3</t>
  </si>
  <si>
    <t>Text Zo4</t>
  </si>
  <si>
    <t>Text Zo1</t>
  </si>
  <si>
    <t>Objekt</t>
  </si>
  <si>
    <t>Holzheizung: Keine Anzeige von Bedarf, wenn Deckungsgrad nicht manuell eingegeben wird</t>
  </si>
  <si>
    <t>korrigiert</t>
  </si>
  <si>
    <t>Eingabetext in Blatt "Eingaben", Zeile 17 immer "Anzahl Räume mit Zuluft"</t>
  </si>
  <si>
    <t>Antragsteller2</t>
  </si>
  <si>
    <t>Tel Antragsteller</t>
  </si>
  <si>
    <t>Fax Antragsteller</t>
  </si>
  <si>
    <t>Planer1</t>
  </si>
  <si>
    <t>Planer2</t>
  </si>
  <si>
    <t>Tel Planer</t>
  </si>
  <si>
    <t>Fax Planer</t>
  </si>
  <si>
    <t>E-Planer1</t>
  </si>
  <si>
    <t>E-Planer2</t>
  </si>
  <si>
    <t>Tel E-Planer</t>
  </si>
  <si>
    <t>Fax E-Planer</t>
  </si>
  <si>
    <t>Rechnungsadresse</t>
  </si>
  <si>
    <t>Minergie / Minergie-P</t>
  </si>
  <si>
    <t>Funktion von Planer</t>
  </si>
  <si>
    <t>Funktion von E-Planer</t>
  </si>
  <si>
    <t>MINERGIE-P: Blatt "Nachweis", Zelle B11, neuer Text Qh-MP..</t>
  </si>
  <si>
    <t>Blatt "Nachweis", Zelle F39, neuer Text "Datenblätter Haushaltgeräte, wenn bekannt"</t>
  </si>
  <si>
    <t>MINERGIE-P: Blatt "Nachweis", Zelle B51, Text zusätzlich mit Fensterbedingung</t>
  </si>
  <si>
    <t>Blatt "Nachweis", Zelle B53, neuer Text mit Ergänzung "Details" und neuer Tag</t>
  </si>
  <si>
    <t>Neue Variablen "Bueronutzung", "Schulnutzung" und "Verkaufsnutzung"</t>
  </si>
  <si>
    <t>Blatt "Standardwerte", Zellen S1, S2, S3</t>
  </si>
  <si>
    <t>Blatt "Eingaben":  Zelle C42 neuer Text: "Effiziente Bürogeräte" wenn Schulnutzung oder Verkaufsnutzung</t>
  </si>
  <si>
    <t>Blatt "Standardwerte", Zellen AC6, Text"Effiziente Bürogeräte" wenn Schulnutzung und Verkaufsnutzung</t>
  </si>
  <si>
    <t>MINERGIE-P: Blatt "Eingaben":  Zelle B42 neuer Tag</t>
  </si>
  <si>
    <t>Blatt "Nachweis", Zellen D24-D27, Gewichtung nur veränderbar bei Erzeugungsart "Andere"</t>
  </si>
  <si>
    <t>i.O.</t>
  </si>
  <si>
    <t>Komopensation graue Energie mit PV neu mit doppelter Gewichtung PV</t>
  </si>
  <si>
    <t>Blatt "Standardwerte", Zelle BR76 angepasst</t>
  </si>
  <si>
    <t>Blatt "Nachweis": MINERGIE-A: Graue Energie neu nicht erfüllt, wenn keine Angaben in Antrag</t>
  </si>
  <si>
    <t>Blatt "Nachweis", Zelle J38 angepasst</t>
  </si>
  <si>
    <t>Blatt "Rechnung",O207, O209, V207, V209, AC207, AC209, AJ207, AJ209 geändert</t>
  </si>
  <si>
    <t>MINERGIE-P: Neu auch für Verkauf und Schulen möglich</t>
  </si>
  <si>
    <t>Blatt "Standardwerte", Zellen BA40, BA41, BL46, BL47 geändert</t>
  </si>
  <si>
    <t>MINERGIE-P: Auswahlfrage, ob Lüftungsgerät zertifiziert ist</t>
  </si>
  <si>
    <t>Blatt "Lueftung", Zellen E30, L13-16, E71, L54-57, E112, L95-98, E153, L136-139</t>
  </si>
  <si>
    <t>Blatt "Standardwerte", Zellen BK35-38 geändert</t>
  </si>
  <si>
    <t>MINERGIE-P: Tag mit Komentar für effektiven WRG-Wirkungsgrad</t>
  </si>
  <si>
    <t>Blatt "Lueftung", Tag auf Zellen G30, G71, G112, G153</t>
  </si>
  <si>
    <t>Blatt "Standardwerte", Zelle BT28, neue Variable "Luftheizung"</t>
  </si>
  <si>
    <t>MINERGIE-P: Leistungsbedingung 10W/m2 nur überprüfen, wenn Luftheizung</t>
  </si>
  <si>
    <t>Blatt "Nachweis", Zellen B37-J37 ausblenden, wenn Luftheizung=falsch</t>
  </si>
  <si>
    <t>Blatt "Eingaben", Zellen B20-D20 ausblenden, wenn Luftheizung=falsch</t>
  </si>
  <si>
    <t>Blatt "Eingaben", Zellen E20-H20 weisser Hintergrund, wenn Luftheizung=falsch</t>
  </si>
  <si>
    <t>MINERGIE-P: Blatt "Eingaben", Zelle B20, Tag ergänzen mit Hinweis, dass Leistungsbedingung nur bei Luftheizung nötig ist</t>
  </si>
  <si>
    <t>MINERGIE-P: Blatt "Nachweis", neue Tags mit Kommentar MINERGIE-P auf Zellen B49-B51</t>
  </si>
  <si>
    <t>V'</t>
  </si>
  <si>
    <t>Blatt "Nachweis", Primäranforderung Sanierung fällt weg</t>
  </si>
  <si>
    <t>B34 - J34 angepasst</t>
  </si>
  <si>
    <t>Blatt "Antrag", Minergie-P:  wenn EBF &gt; 5000m:  Kosten auf Anfrage</t>
  </si>
  <si>
    <t>Neue Meldung auf G31</t>
  </si>
  <si>
    <t>Blatt "Eingaben", Minergie-P:  Abwärme muss auch bei MINERGIE-P nachgewiesen werden.</t>
  </si>
  <si>
    <t>Blatt "Standardwerte", AB9 - AB10 angepasst.  i.O.</t>
  </si>
  <si>
    <t>Blatt "Eingaben", Abfrage ob thermischer Komfort im Sommer erfüllt, nicht erfüllt oder Kühlung nötig ist</t>
  </si>
  <si>
    <t>Blatt "Standardwerte", S81 - T95 angepasst, neue Variablen Komfort1-4.  i.O.</t>
  </si>
  <si>
    <t>Blatt "Erzeugung", Wird neue "Produktion" benannt.  Zeilenbeschriftung von E auf P wechseln</t>
  </si>
  <si>
    <t>Warmwasser: Neuer Tag</t>
  </si>
  <si>
    <t>Blatt "Eingaben", Tag auf Zelle B13</t>
  </si>
  <si>
    <t>Blatt "Eingabe", Zeile C41: Neuer Text: Selbstdeklaration/Bestätigung</t>
  </si>
  <si>
    <t>MINERGIE-P: beta-Wert für Verwaltung neu 1</t>
  </si>
  <si>
    <t>Blatt "Standardwerte", Zell BP45=1</t>
  </si>
  <si>
    <t>MINERGIE-P: Standard-Werte für Schule und Verkauf einsetzen</t>
  </si>
  <si>
    <t>Blatt "Standardwerte", Zellen BN46-BR47</t>
  </si>
  <si>
    <t>Blatt "Lueftung": Verlegeart Erdregister erscheint nicht auf Ausdruck</t>
  </si>
  <si>
    <t>Pulldown wird neu ausgedruckt</t>
  </si>
  <si>
    <t>Variable "Luftheizung"=wahr, wenn eine Zone mit Luftheizung</t>
  </si>
  <si>
    <t>Blatt "Eingabe", Zeile 13 (Zellen E21-H21): Abfrage Kühlung für Fall Minergie-P einbauen</t>
  </si>
  <si>
    <t>Blatt "Standardwerte": W39-W46 gelöscht</t>
  </si>
  <si>
    <t>Neu Pelletheizung statt Fernwärme Heizung</t>
  </si>
  <si>
    <t>Erzeugung WKK: Nutzungsgrad statt Wirkungsgrad</t>
  </si>
  <si>
    <t>Minimale Anzahl Personen (resp. Räume) wird über EBFo gerechnet und mit spezifischem Volumenstrom des Systemtyps multipliziert (vorher war min. Volumenstrom nur von EBFo abhängig)</t>
  </si>
  <si>
    <t>Blatt Lueftung: Lufterdregister</t>
  </si>
  <si>
    <t>Text wird nur noch bei Komfortlüftung mit WRG und Abluft-WP angezeigt</t>
  </si>
  <si>
    <t>Blatt Lueftung: Lüftungsgerät</t>
  </si>
  <si>
    <t>Aerazione controllata con RC</t>
  </si>
  <si>
    <t>Scambiatore termico a correnti incrociate</t>
  </si>
  <si>
    <t xml:space="preserve">Scambiatore termico rotativo </t>
  </si>
  <si>
    <t>Des. Abbreviata</t>
  </si>
  <si>
    <t>a un livello</t>
  </si>
  <si>
    <t>regolato su più livelli in base alle necessità</t>
  </si>
  <si>
    <t>- nessun filtro nelle bocchette d'aspirazione dell'aria</t>
  </si>
  <si>
    <t>- solo 1 filtro nell'immissione d'aria (non contemporaneamente filtro grezzo e fine)</t>
  </si>
  <si>
    <t>- nessuna batteria di riscaldam. dell'aria</t>
  </si>
  <si>
    <t>Apparecchio d'aerazione</t>
  </si>
  <si>
    <t>m (valido per d= 125-200 mm)</t>
  </si>
  <si>
    <t xml:space="preserve">nonché somma tutte le lungh.condotte min. </t>
  </si>
  <si>
    <t>MINERGIE-P: Zertifizierung einzelner Wohnungen nicht möglich</t>
  </si>
  <si>
    <t>Blatt "Antrag", neue Fehlermeldung auf Zelle I28</t>
  </si>
  <si>
    <t>MINERGIE-P: Neuerstellung bei Mehrfachanwendung nicht zulässig</t>
  </si>
  <si>
    <t>Blatt "Standardwerte", Zelle BE8 leer bei MinergieP</t>
  </si>
  <si>
    <t>Blatt "Antrag": Neue Texte für die Beteiligten</t>
  </si>
  <si>
    <t>Auswahl Pulldown</t>
  </si>
  <si>
    <t>Blatt "Eingaben", Eingabe Strombedarf Klima neu in kWh statt kWh/m2 (Übertrag aus SIA 380/4-Tool)</t>
  </si>
  <si>
    <t>Blatt "Eingaben", Strombedarf Lüftungsanlage (rechenwert) ausgeblendet</t>
  </si>
  <si>
    <t>Blatt "Eingaben", Eingabe Strombedarf Lüftung neu in kWh statt kWh/m2 (Übertrag aus SIA 380/4-Tool)</t>
  </si>
  <si>
    <t>Blatt "Lueftung", Zellen AC26..:  Wirkungsgrad WRG um 10%-Punkte gesenkt wenn Standardlüftung auf Blatt "Eingaben" gewählt</t>
  </si>
  <si>
    <t>Blatt "Standardwerte", Zellen P10-17:  Minergiegrenzwerte Neubau angepasst</t>
  </si>
  <si>
    <t>EFH = 38 kWh/m2  / MFH = 38 kWh/m2  / Spital = 70 kWh/m2</t>
  </si>
  <si>
    <t>Blatt "Standardwerte", Zellen J10-K21:  Neue Grenzwerte für Qh,li</t>
  </si>
  <si>
    <t>Anpassung an neue Norm SIA 380/1, Ausgabe 2007</t>
  </si>
  <si>
    <t>Blatt "Eingaben": Eingabe der installierten Kühlleistung entfernt.</t>
  </si>
  <si>
    <t>Blatt "Eingaben": Neue Eingabe Thermisch wirksamer Luftwechsel</t>
  </si>
  <si>
    <t>Blatt "Eingaben", Zusätzliches Eingabefeld für therm. wirsksamen Luftwechsel (Übertrag aus SIA 380/4-Tool)</t>
  </si>
  <si>
    <t>Blatt "Standardwerte", Zellen Q10-Q21:  Neue Grenzwerte für Sanierung</t>
  </si>
  <si>
    <t xml:space="preserve">EFH = 60 kWh/m2  / MFH = 60 kWh/m2  </t>
  </si>
  <si>
    <t>Blatt "Standardwerte", Zellen J60-J63:  Primäranforderung Neubau von 80% auf 60% gesenkt</t>
  </si>
  <si>
    <t xml:space="preserve">Blatt "Standardwerte", Zellen J60-J63:  Primäranforderung Neubau Minergie-P angepasst  </t>
  </si>
  <si>
    <t xml:space="preserve">Blatt "Standardwerte", Zellen BI42-BR54:  Anforderungen Minergie-P angepasst  </t>
  </si>
  <si>
    <t>Blatt "Antrag": Löschen der Zeile 56</t>
  </si>
  <si>
    <t>Blatt "Antrag": Einfügen zusätzlicher Zeile 47 mit Text</t>
  </si>
  <si>
    <t>Name des Gebäudetyps</t>
  </si>
  <si>
    <t>Dropdown Standarwertre</t>
  </si>
  <si>
    <t>Automatisch auf nein wenn nicht Wohnbau</t>
  </si>
  <si>
    <t>Ausblenden, wenn keine einfache Berechnung zulässig</t>
  </si>
  <si>
    <t>Beilage von Berechnungsblättern</t>
  </si>
  <si>
    <t>0: keine Süd-Ausrichtung der Haupt-Fensterfassade;  1: Süd-Ausrichtung der Haupt-Fensterfassade</t>
  </si>
  <si>
    <t>0: keine West-Ausrichtung der Haupt-Fensterfassade;  1: West-Ausrichtung der Haupt-Fensterfassade</t>
  </si>
  <si>
    <t>1: leer;  2: MFH;  3: EFH;  4: Verwaltung;  5: Schule;  6: Verkauf;  7: Restaurant;  8: Versammlungslokal;  9: Spital;  10: Industrie; 11: Lager;  12: Sportbau;  13: Hallenbad</t>
  </si>
  <si>
    <t>1: leer;  2: Neubau;  3:  Altbau</t>
  </si>
  <si>
    <t>Ospedali</t>
  </si>
  <si>
    <t xml:space="preserve">Zona2 = </t>
  </si>
  <si>
    <t xml:space="preserve">SRE2 = </t>
  </si>
  <si>
    <t xml:space="preserve">SREo2 = </t>
  </si>
  <si>
    <t xml:space="preserve">Zona3 = </t>
  </si>
  <si>
    <t xml:space="preserve">SRE3 = </t>
  </si>
  <si>
    <t xml:space="preserve">SREo3 = </t>
  </si>
  <si>
    <t>Sciaffusa</t>
  </si>
  <si>
    <t>San Gallo</t>
  </si>
  <si>
    <t>Solarenergie Heizung und Warmwasser, maximaler Deckungsgrad bei individueller Eingabe</t>
  </si>
  <si>
    <t>Maximum von 80% auf 100% gesetzt</t>
  </si>
  <si>
    <t>MINERGIE-P: Vth auf Blatt "Lüftung" nicht identisch mit Blatt "Eingabe"</t>
  </si>
  <si>
    <t>Bei MINERGIE-P übernimmt Blatt "Lüftung" neu Wert von Blatt "Eingabe"</t>
  </si>
  <si>
    <t>Fehlermeldung bei Kategorie "Schwimmbad" und Wärmepumpe für Warmwasser</t>
  </si>
  <si>
    <t>Anpassungen Zusatzanforderungen nach Vorgaben A. Baumgartner ("Eingaben", "Standartwerte")</t>
  </si>
  <si>
    <t>Photovoltaik geprüft</t>
  </si>
  <si>
    <t>ok</t>
  </si>
  <si>
    <t>generell</t>
  </si>
  <si>
    <t>1-1.5m tief, 20-35m lang, &gt;8m unter Haus</t>
  </si>
  <si>
    <t xml:space="preserve">Portata volumetrica dell'aria esterna attraverso l'involucro dell'edificio </t>
  </si>
  <si>
    <t xml:space="preserve"> - quando l'impianto d'aerazione è attivato:</t>
  </si>
  <si>
    <t xml:space="preserve"> - quando l'impianto d'aerazione è fermo:</t>
  </si>
  <si>
    <t>Scambiatori di calore dell'aerazione standard</t>
  </si>
  <si>
    <t>Nessun recupero di calore</t>
  </si>
  <si>
    <t>Scambiatore di calore a correnti incrociate</t>
  </si>
  <si>
    <t>Scambiatore di calore rotativo</t>
  </si>
  <si>
    <t xml:space="preserve">Text ist von Lüftungssystem abhängig. </t>
  </si>
  <si>
    <t>Blatt Lueftung: Wirkungsgrad WRG</t>
  </si>
  <si>
    <t>Wahl</t>
  </si>
  <si>
    <t>Reihenfolge</t>
  </si>
  <si>
    <t>in Pulldown</t>
  </si>
  <si>
    <t>Text in Pulldown (eff. Reihenf.)</t>
  </si>
  <si>
    <t>Deckungsgrad [%]</t>
  </si>
  <si>
    <t>Heizung</t>
  </si>
  <si>
    <t>Warmwasser</t>
  </si>
  <si>
    <t>1.5-2m tief, &gt;40m lang, &gt;8m unter Haus</t>
  </si>
  <si>
    <t>Standard-LER, 1-1.5m tief, ca. 40m lang</t>
  </si>
  <si>
    <t>Scambiatore termico controcorrente</t>
  </si>
  <si>
    <t>Zert. Lüftung</t>
  </si>
  <si>
    <t>Luftheizung?</t>
  </si>
  <si>
    <t>Estraz. aria e bocchette immiss. aria est.</t>
  </si>
  <si>
    <t>Estraz. aria con PAC sull'aspirazione</t>
  </si>
  <si>
    <t>Aerazione controllata per locale</t>
  </si>
  <si>
    <t>Aerazione automatica tramite le finestre</t>
  </si>
  <si>
    <t>Ventilazione controllata con PAC sull'aspirazione</t>
  </si>
  <si>
    <t>Perdite di carico</t>
  </si>
  <si>
    <t>scamb. geotermico</t>
  </si>
  <si>
    <t>Sistema gestione</t>
  </si>
  <si>
    <t>Grado di rendimento (valore standard)</t>
  </si>
  <si>
    <t>Grado di rendimento calcol. (allegato)</t>
  </si>
  <si>
    <t>Produzione riscald. a legna annua</t>
  </si>
  <si>
    <t>spezifische Ventilatorleistung in W/(m3/h)</t>
  </si>
  <si>
    <t>Befeuchtung</t>
  </si>
  <si>
    <r>
      <t>A</t>
    </r>
    <r>
      <rPr>
        <vertAlign val="subscript"/>
        <sz val="8"/>
        <rFont val="Arial"/>
        <family val="2"/>
      </rPr>
      <t>th</t>
    </r>
    <r>
      <rPr>
        <sz val="8"/>
        <rFont val="Arial"/>
        <family val="2"/>
      </rPr>
      <t>/A</t>
    </r>
    <r>
      <rPr>
        <vertAlign val="subscript"/>
        <sz val="8"/>
        <rFont val="Arial"/>
        <family val="2"/>
      </rPr>
      <t>E</t>
    </r>
  </si>
  <si>
    <r>
      <t>A</t>
    </r>
    <r>
      <rPr>
        <vertAlign val="subscript"/>
        <sz val="8"/>
        <rFont val="Arial"/>
        <family val="2"/>
      </rPr>
      <t>E</t>
    </r>
  </si>
  <si>
    <r>
      <t>V'/A</t>
    </r>
    <r>
      <rPr>
        <vertAlign val="subscript"/>
        <sz val="8"/>
        <rFont val="Arial"/>
        <family val="2"/>
      </rPr>
      <t>E</t>
    </r>
  </si>
  <si>
    <t>1) non è attivato poiché è stato selezionato 'sì' nel foglio "Dati d'inserimento" in "Piccoli impianti con valori standard" (E15).</t>
  </si>
  <si>
    <t>AussenluftvolumLuftdurchlässigkeit der Gebäudehülle in (m3/h)/m3</t>
  </si>
  <si>
    <t>v0</t>
  </si>
  <si>
    <t>vx</t>
  </si>
  <si>
    <t>Calcolo esterno, p.es. tramite Tool SIA TEC 382</t>
  </si>
  <si>
    <t>Variante 3: calcolo tramite Tool SIA TEC 382</t>
  </si>
  <si>
    <t>Presentare la selezione dei valori standard</t>
  </si>
  <si>
    <t>Selezione dei valori standard</t>
  </si>
  <si>
    <t>Messaggio inerente l'aerazione standard</t>
  </si>
  <si>
    <t>Dati edificio, aerazione e valore limite:</t>
  </si>
  <si>
    <t>- nessuna armatura con perdita di carico superiore a 30 Pa (p.es. regolatore di portata volumetrica)</t>
  </si>
  <si>
    <t>- Perdita di carico scambiatore geotermico max. 10 Pa</t>
  </si>
  <si>
    <t>Apporto termico scambiatore geotermico</t>
  </si>
  <si>
    <t>Recupero mediante</t>
  </si>
  <si>
    <t>Sistema di gestione</t>
  </si>
  <si>
    <t>Portata aria esterna term. determinante</t>
  </si>
  <si>
    <t>1: E-Planer; 2: Berater; 3: GU</t>
  </si>
  <si>
    <t>1: keine Einzelanwendung; 2: &lt; 500m2;  3: &lt; 2000m2;  4: &lt; 5000m2;  5:  &gt; 5000m2</t>
  </si>
  <si>
    <t>1: keine Mehrfachanwendung; 2: &lt; 2000m2;  3: &gt; 2000m2;</t>
  </si>
  <si>
    <t>Blatt "Erzeugung": Fehlermeldung Solar (Heizung+WW) ändern</t>
  </si>
  <si>
    <t>Edificio costruito dopo il 2000</t>
  </si>
  <si>
    <t>Blatt "Rechnung": Q455, X455, AE455, AL455 angepasst</t>
  </si>
  <si>
    <t>Categoria di edificio:</t>
  </si>
  <si>
    <t>Sistema d'aerazione</t>
  </si>
  <si>
    <t xml:space="preserve">Valore standard </t>
  </si>
  <si>
    <t xml:space="preserve">Valore previsto </t>
  </si>
  <si>
    <t>Perdita di pressione</t>
  </si>
  <si>
    <t>nur ital.: Blatt "Lueftung", Zellen J54, H66-69, J71, J73 und analoge unten Zellenformat. auf gelb</t>
  </si>
  <si>
    <t>Neue Meldung: "Einfache Berechnung und externe Berechnung beilegen"</t>
  </si>
  <si>
    <t>Auf Blatt "Lueftung" kann Anzahl Zimmer mit Zuluft nicht verändert werden.</t>
  </si>
  <si>
    <t>Hinweis in Tag auf Eingabemöglichkeit auf Blatt "Eingaben"</t>
  </si>
  <si>
    <t>UFC (a legna) - parte termica + elettrica</t>
  </si>
  <si>
    <t>UFC a legna - parte termica+elettrica</t>
  </si>
  <si>
    <t>Auswahl Ja / Nein</t>
  </si>
  <si>
    <t>Blatt "Antrag", Abstand Kästchen / Himmelsrichtung</t>
  </si>
  <si>
    <t>grösser gemacht</t>
  </si>
  <si>
    <t>Zell-Nr. 7</t>
  </si>
  <si>
    <t>1 = hellgelb</t>
  </si>
  <si>
    <t>"Erzeugung": Anpassen der hell- und dunkelgelben Felder je nach Erzeugung</t>
  </si>
  <si>
    <t>o.k.</t>
  </si>
  <si>
    <t>ebf1</t>
  </si>
  <si>
    <t>ebf2</t>
  </si>
  <si>
    <t>ebf3</t>
  </si>
  <si>
    <t>PAC acque di scarico (diretta), AC</t>
  </si>
  <si>
    <t>Pompa di calore ad acqua, riscaldamento</t>
  </si>
  <si>
    <t>Pompa di calore ad acqua, AC</t>
  </si>
  <si>
    <t>Wärmeabgabe</t>
  </si>
  <si>
    <t>"Eingaben": Zeile eingefügt mit Pulldown zur Wärmeerzeugung pro Zone</t>
  </si>
  <si>
    <t>"Wärmeerzeugung": WKK thermisch + elektrisch wieder zusammengefügt: bei 2 Eingabeblöcken ergaben sich Schwierigkeiten wegen Deckungsgrad</t>
  </si>
  <si>
    <t>o.k.; Änderung in "Antrag" noch nicht gemacht</t>
  </si>
  <si>
    <t>"Eingaben": Zeilennummerierung angepasst (ebenso in Wegleitung)</t>
  </si>
  <si>
    <t>kWh/kWp</t>
  </si>
  <si>
    <t>kWp</t>
  </si>
  <si>
    <t>Verknüpfung zu Index in Standardwerte ergänzt</t>
  </si>
  <si>
    <t>Berechnung der Zonensummen im Eingabeblatt</t>
  </si>
  <si>
    <t>OK</t>
  </si>
  <si>
    <t>Wärmeerzeugung mit WKK geprüft</t>
  </si>
  <si>
    <t>generell faktor 2 für Gewichtung Strom im Nachweisblatt eingefügt</t>
  </si>
  <si>
    <t>Wärmeerzeugung mit Holz geprüft</t>
  </si>
  <si>
    <t>Warnung für Speicher entfernt</t>
  </si>
  <si>
    <t xml:space="preserve"> www.minergie.ch</t>
  </si>
  <si>
    <t>Wird neu gemäss Tabelle auf "Standardwerte" berücksichtigt</t>
  </si>
  <si>
    <t>Uri</t>
  </si>
  <si>
    <t>&lt; 500 m2</t>
  </si>
  <si>
    <t>&lt; 2000 m2</t>
  </si>
  <si>
    <t>Formel J19 korrigiert</t>
  </si>
  <si>
    <t>Blatt "Nachweis": F40: Neuer Text</t>
  </si>
  <si>
    <t>Blatt "Nachweis": F44: Formel geändert</t>
  </si>
  <si>
    <t>Blatt "Standardwerte":AC6: Formel geändert</t>
  </si>
  <si>
    <t>Blatt "Antrag":Diverse Zeilen eingefügt und gelöscht</t>
  </si>
  <si>
    <t>Zona</t>
  </si>
  <si>
    <t>Totale</t>
  </si>
  <si>
    <t>(media)</t>
  </si>
  <si>
    <t>SRE0</t>
  </si>
  <si>
    <t>Rapporto di forma</t>
  </si>
  <si>
    <t>Distribuzione di calore</t>
  </si>
  <si>
    <t>Wert auf 55% geändert (vorher 50%)</t>
  </si>
  <si>
    <t>WWBonus</t>
  </si>
  <si>
    <t>Zermatt</t>
  </si>
  <si>
    <t>Schuls</t>
  </si>
  <si>
    <t>TI</t>
  </si>
  <si>
    <t>Locarno-Monti</t>
  </si>
  <si>
    <t>Fehler Primäranforderung Neubau / Altbau, Zone2-4</t>
  </si>
  <si>
    <t>Korrigiert</t>
  </si>
  <si>
    <t>Fehler Grenzwert SIA, AEBF falsch in Zone 2-4</t>
  </si>
  <si>
    <t>Version geändert</t>
  </si>
  <si>
    <t>Fehler Holzheizung, wenn Deckungsgrad und Produktion eingegeben wird</t>
  </si>
  <si>
    <t>Auswahl Lüftung:</t>
  </si>
  <si>
    <t>Kein WW-Bonus</t>
  </si>
  <si>
    <t>Bonus Eingeführt, hm auf Eingabe ersetzt mit WW-Frage</t>
  </si>
  <si>
    <t>Blatt "Eingaben": Kommastelle bei Eingabe wird abgeschnitten</t>
  </si>
  <si>
    <t>Formnatierung auf Standard gesetzt</t>
  </si>
  <si>
    <t>Holzheizung: ####-Fehlermeldung, wenn noch nichts weiter ausgefüllt; Kontrolle Deckungsgrad ###</t>
  </si>
  <si>
    <t>Fehler im Deckungsgrad bei WP, wenn elektrische Leistungsaufnahme eingegeben wird</t>
  </si>
  <si>
    <t>Blatt "Rechnung": Q-R229, X-Y229, AE-AF229, AL-AM229 etc. bei allen WP gelöscht</t>
  </si>
  <si>
    <t>Eingabefeld gelb =1</t>
  </si>
  <si>
    <t>Blatt Lueftung, Fehler mit EBF</t>
  </si>
  <si>
    <t>Name EBFox auf die vier Zonen angepasst, andere zonenabhängige Namen überprüft</t>
  </si>
  <si>
    <t>Blatt Eingabe, Meldung in Zelle B40 zu lang</t>
  </si>
  <si>
    <t>Schriftgrösse auf 7 verkleinert</t>
  </si>
  <si>
    <t>Blatt Rechnung, Nummerierung falsch</t>
  </si>
  <si>
    <t>Numerierung angepasst</t>
  </si>
  <si>
    <t>Blatt Erzeugung, Text in Dropdown wenn nur Heizung oder Warmwasser nicht eineutig</t>
  </si>
  <si>
    <t>Text in Blatt Standardwerte angepasst</t>
  </si>
  <si>
    <t>Wenn Gesamtdeckungsgrad nicht 100%, dann "nein" anzeigen</t>
  </si>
  <si>
    <t>Wärmeerzeugung mit WP geprüft</t>
  </si>
  <si>
    <t>F</t>
  </si>
  <si>
    <t>G</t>
  </si>
  <si>
    <t>H</t>
  </si>
  <si>
    <t>J</t>
  </si>
  <si>
    <t>Vo</t>
  </si>
  <si>
    <t>Vx</t>
  </si>
  <si>
    <t>Wohnen MFH</t>
  </si>
  <si>
    <t>Luftmengen pro Einheit</t>
  </si>
  <si>
    <t>n</t>
  </si>
  <si>
    <t>Pers.</t>
  </si>
  <si>
    <t>Standardwert für Solar WW und Solar WW + Heizung - nicht sichtbar</t>
  </si>
  <si>
    <t>Korrigiert bei Holzheizung, Elektro-Zentral, El-Zimmerofen, El.-WW</t>
  </si>
  <si>
    <t>PW</t>
  </si>
  <si>
    <t>"Nachweis": keine Meldung, wenn Deckungsgrade &gt; 100, Minergie -&gt; "erfüllt"</t>
  </si>
  <si>
    <t>Blatt "Eingaben": Tag B43: Textergänzung ZA Beleuchtung</t>
  </si>
  <si>
    <t>Teleriscaldamento (min. 50% di energie rinnovabili)</t>
  </si>
  <si>
    <t>Teleriscaldamento (&gt;50% rinnovabili)</t>
  </si>
  <si>
    <t>Deckungsgrad Wärmeerzeugung</t>
  </si>
  <si>
    <t>a pavimento</t>
  </si>
  <si>
    <t>architetto</t>
  </si>
  <si>
    <t>consulente</t>
  </si>
  <si>
    <t>Begrenzt auf max nicht erfüllte Punktzahl, wenn Standardwert, dann 4 Punkte nicht erfüllt (index 5)</t>
  </si>
  <si>
    <t>Bei Standardwerten keine Nutzung des Luftregisters</t>
  </si>
  <si>
    <t>Thermisch wirksamern Aussenl. Volstr.</t>
  </si>
  <si>
    <t>ZH</t>
  </si>
  <si>
    <t>LU</t>
  </si>
  <si>
    <t>GE</t>
  </si>
  <si>
    <t>VD</t>
  </si>
  <si>
    <t>Neuchâtel</t>
  </si>
  <si>
    <t>GL</t>
  </si>
  <si>
    <t>Altdorf</t>
  </si>
  <si>
    <t>UR</t>
  </si>
  <si>
    <t>Engelberg</t>
  </si>
  <si>
    <t>si/no</t>
  </si>
  <si>
    <t>Werte werden ausgeblendet, wernn sie nicht dargestellt werden dürfen</t>
  </si>
  <si>
    <t>qh/3.6 durch qw ersetzt und /100 durch /EBF ersetzt. Neu Max. 80%</t>
  </si>
  <si>
    <t>ersetzt durch "Wirkungsgrad Wärmerückgewinnung"</t>
  </si>
  <si>
    <t>Blatt "Nachweis": ZA Abwärmenutzung: F42-44 und Tag B44 geändert. Steuerelement E42/E43 neu</t>
  </si>
  <si>
    <t>Blatt "Eingaben": Zusätzlicher Text in Tag auf Zelle B45</t>
  </si>
  <si>
    <t>Grenzwert ohne Warmwasser berechnen, wenn so angewählt</t>
  </si>
  <si>
    <t>Blatt "Standardwerte", Formeln in Zellen J74-J77 geändert</t>
  </si>
  <si>
    <t>Blatt "Nachweis": ZA Beleuchtung: Begründung Ausnahme Beleuchtung fällt weg, wenn Anforderung nicht erfüllt</t>
  </si>
  <si>
    <t>Blatt "Nachweis": F40 geändert</t>
  </si>
  <si>
    <t>Blatt "Antrag": Vergleich EBF stimmt bei Badmisch nicht: Fehlermeldung ausblenden</t>
  </si>
  <si>
    <t>Blatt "Standardwerte", Formeln in Zellen BG6 geändert</t>
  </si>
  <si>
    <t>Blatt "Antrag": J15 (Summe EBF) ausblenden bei Badmisch</t>
  </si>
  <si>
    <t>Se&gt;10kWh/m2: 20% con energia rinnov.</t>
  </si>
  <si>
    <t>Zell-Nr. 8</t>
  </si>
  <si>
    <t>Zell-Nr. 9</t>
  </si>
  <si>
    <t>Farbe von F</t>
  </si>
  <si>
    <t>(1=hellgelb</t>
  </si>
  <si>
    <t xml:space="preserve"> 2=dunkegelb</t>
  </si>
  <si>
    <t>Grado di rendimento termico (annesso)</t>
  </si>
  <si>
    <t>Grado di rendimento termico selezionato</t>
  </si>
  <si>
    <t>Grado di rendimento elettrico (annesso)</t>
  </si>
  <si>
    <t>- nessun filtro nelle condotte d'espulsione dell'aria</t>
  </si>
  <si>
    <t>- nessuna armatura con perdita di carico superiore a 30 Pa (per es. regolatore di portata volumetrica)</t>
  </si>
  <si>
    <t>OW</t>
  </si>
  <si>
    <t>Texte für Erdreich-Wärmeübertrager</t>
  </si>
  <si>
    <t>Reduktionsfaktor Lüftungsverluste</t>
  </si>
  <si>
    <t>Neuste Werte aus Tabelle vom 7.6.2002 eingesetzt - ACHTUNG: es sind noch nicht alle WP-Typen eingefügt!</t>
  </si>
  <si>
    <t>Nutzungsgrad und Gewichtung Fernwärme und WKK angepasst</t>
  </si>
  <si>
    <t>Korrigiert nach Tabelle vom 7.6.02 - Achtung: je 2 Fernwärmetypen + WKK elektrisch fehlen noch</t>
  </si>
  <si>
    <t>Nennleistung Photovoltaik, Standartwerte neu abhängig von Höhe</t>
  </si>
  <si>
    <t>eingefügt</t>
  </si>
  <si>
    <r>
      <t>Q</t>
    </r>
    <r>
      <rPr>
        <vertAlign val="subscript"/>
        <sz val="9"/>
        <rFont val="Arial"/>
        <family val="2"/>
      </rPr>
      <t>ww</t>
    </r>
  </si>
  <si>
    <r>
      <t>Q</t>
    </r>
    <r>
      <rPr>
        <vertAlign val="subscript"/>
        <sz val="9"/>
        <rFont val="Arial"/>
        <family val="2"/>
      </rPr>
      <t>e</t>
    </r>
  </si>
  <si>
    <t>Elettricità condotta (non ponderata)</t>
  </si>
  <si>
    <t>Zona2:</t>
  </si>
  <si>
    <t>Zona3:</t>
  </si>
  <si>
    <t>Zona4:</t>
  </si>
  <si>
    <t>Zona3</t>
  </si>
  <si>
    <t>Zona4</t>
  </si>
  <si>
    <t>Valori limite:</t>
  </si>
  <si>
    <t>Wohnen EFH</t>
  </si>
  <si>
    <t>Verwaltung</t>
  </si>
  <si>
    <t>III</t>
  </si>
  <si>
    <t>IV</t>
  </si>
  <si>
    <t>V</t>
  </si>
  <si>
    <t>VI</t>
  </si>
  <si>
    <t>VII</t>
  </si>
  <si>
    <t>VIII</t>
  </si>
  <si>
    <t>IX</t>
  </si>
  <si>
    <t>X</t>
  </si>
  <si>
    <t>XI</t>
  </si>
  <si>
    <t>XII</t>
  </si>
  <si>
    <t>Kurztext</t>
  </si>
  <si>
    <t>[m3/m2/h]</t>
  </si>
  <si>
    <t>Einzelraum-Komfortlüftung</t>
  </si>
  <si>
    <t xml:space="preserve"> </t>
  </si>
  <si>
    <t>(inserire portata aria esterna termica determinante nel calcolo fabbisogno termico per il risc. (SIA 380/1) come da valore alla riga E28).</t>
  </si>
  <si>
    <t>Blatt " Nachweis" Fehlermeldung bei Prüfung Primäranforderung</t>
  </si>
  <si>
    <t>Meldung, wenn im Blatt Eingaben 'Kleinanlagen mit Standardwerten' gewählt ist.</t>
  </si>
  <si>
    <t>43a</t>
  </si>
  <si>
    <t>Wert wird von "Eingaben" übernommen</t>
  </si>
  <si>
    <t>Blatt Lüftung: Auswahl Luftvolumenstrom</t>
  </si>
  <si>
    <t>Bei Standardwerdte = Ja Standardwert auswählen</t>
  </si>
  <si>
    <t>Komfortlüftung mit Abluft-WP</t>
  </si>
  <si>
    <t>Index</t>
  </si>
  <si>
    <t>Erhöhung Energieverbrauch Luftförderung</t>
  </si>
  <si>
    <t>max Index</t>
  </si>
  <si>
    <r>
      <t>Verein MINERGIE</t>
    </r>
    <r>
      <rPr>
        <vertAlign val="superscript"/>
        <sz val="12"/>
        <rFont val="Symbol"/>
        <family val="1"/>
        <charset val="2"/>
      </rPr>
      <t>â</t>
    </r>
    <r>
      <rPr>
        <b/>
        <sz val="9"/>
        <rFont val="Arial"/>
        <family val="2"/>
      </rPr>
      <t xml:space="preserve"> (AMI)</t>
    </r>
  </si>
  <si>
    <t>committente</t>
  </si>
  <si>
    <t>Recupero di calore mediante</t>
  </si>
  <si>
    <t>Azionamento ventilatore mediante</t>
  </si>
  <si>
    <t>Modo operativo</t>
  </si>
  <si>
    <t>Blatt "Antrag": B29, Wohneinheiten statt Wohnungen</t>
  </si>
  <si>
    <t>Gebührenberechnung: Blatt "Standardwerte", Zellen BN5-BQ5 geändert</t>
  </si>
  <si>
    <t>Blatt "Antrag": H29 kein Text, wenn Wohneinheiten =1</t>
  </si>
  <si>
    <t>Übersetzungen gemäss Blatt Vers9pb8 angepasst</t>
  </si>
  <si>
    <t>Deckungsgrad WW neu 0 falls qw=0 und WP für WW auf Blatt "Rechnung"</t>
  </si>
  <si>
    <t>Fehlermeldung bei Kategorie "Schwimmbad" und Wärmepumpe für Heizung</t>
  </si>
  <si>
    <t>Metodo di produzione di calore B</t>
  </si>
  <si>
    <t>Metodo di produzione di calore C</t>
  </si>
  <si>
    <t>Metodo di produzione di calore D</t>
  </si>
  <si>
    <t>Eingabebereich Pulldown Planer2 neu Standardwerte!$BC$17:$BC$19</t>
  </si>
  <si>
    <t>Reduktion Lüftungswärmeverluste</t>
  </si>
  <si>
    <t>gute Wert nur bei Angabe des Typs</t>
  </si>
  <si>
    <t>Total / Mittel</t>
  </si>
  <si>
    <t>Wenn Zelle leer dann Standard, sonst kleinerer Wert</t>
  </si>
  <si>
    <t xml:space="preserve">Einzelanwendung EFH: </t>
  </si>
  <si>
    <t>EFH / MFH:</t>
  </si>
  <si>
    <t>REFH:</t>
  </si>
  <si>
    <t>Blatt "Rechnung", Formeln R131, Y131, AF131, AM131 angepasst</t>
  </si>
  <si>
    <t>Blatt "Erzeugung": Div 0 bei Holzfeuerung und Nutzungen ohne Warmwasser</t>
  </si>
  <si>
    <t>Blatt "Erzeugung": Div 0 bei Solaranlage und Nutzungen ohne Warmwasser</t>
  </si>
  <si>
    <t>Blatt "Rechnung", Formeln R453, Y453, AF453, AM453 angepasst</t>
  </si>
  <si>
    <t>Blatt "Antrag": I29 Bedingte Formatierung ändern, wenn Wohneinheiten =1</t>
  </si>
  <si>
    <t>Blatt "Antrag",Zellen C7, D11, D14, D17 und D20 Komentar eingefüght.</t>
  </si>
  <si>
    <t>Blatt "Eingabe", Zelle J2 Verwendungsdatum auf 31. märz 2011 ändern</t>
  </si>
  <si>
    <t>Blatt "Sommer", Zelle B15 Komentar ergänzt</t>
  </si>
  <si>
    <t>Blatt "Sommer", Zelle B45 Komentar geändert</t>
  </si>
  <si>
    <t>Blatt "Lueftung", Zellen AC22, AC63, AC104 und AC 145 noch ein Logisch UND eigeführt</t>
  </si>
  <si>
    <t>Blatt "Standardwerte", Zellen BF26/27 ein Versionsnummer für Online Nachweis eingeführt</t>
  </si>
  <si>
    <t>Portata vol. nominale dell'impianto</t>
  </si>
  <si>
    <t>Lösung suchen mit der automatisch auf 100% ergänzt wird (z.B. Deckungsgrad WE1 = 100% - Deckungsgrad weiterer WE)</t>
  </si>
  <si>
    <t>Nachweisblatt Minergie erfüllt</t>
  </si>
  <si>
    <t>L3</t>
  </si>
  <si>
    <t>Vmin</t>
  </si>
  <si>
    <t>L4</t>
  </si>
  <si>
    <t xml:space="preserve"> 'Aerazione', 'Produzione', 'Verifica'.  Altri allegati necessari sono menzionati nella rubrica 'Verifica'.</t>
  </si>
  <si>
    <t>Blatt "Eingaben": EBF&gt;2000m2 oder Volumenstrom &gt;1000m3/h: Auswahl von Standardlüftung</t>
  </si>
  <si>
    <t>Fehlermeldung eingefügt.</t>
  </si>
  <si>
    <t>ok Standardwert entfernt. Eingabe für Quadratmeter wenn PV dann dunkelgelb formatieren (Formatierung integriert ms)</t>
  </si>
  <si>
    <t>Formel korrigiert: Neu Qe * D29</t>
  </si>
  <si>
    <t>AH</t>
  </si>
  <si>
    <r>
      <t>P</t>
    </r>
    <r>
      <rPr>
        <vertAlign val="subscript"/>
        <sz val="9"/>
        <rFont val="Arial"/>
        <family val="2"/>
      </rPr>
      <t>e</t>
    </r>
  </si>
  <si>
    <t>L14</t>
  </si>
  <si>
    <t>SIA 380/1</t>
  </si>
  <si>
    <t>"Wärmeerzeugung": Photovoltaik - Bezeichnungen verwechselt -&gt; muss gerade umgekehrt sein</t>
  </si>
  <si>
    <t>wird nur für MINERGIE-P benötigt</t>
  </si>
  <si>
    <t>für Minergie-P</t>
  </si>
  <si>
    <t>MJ/m2</t>
  </si>
  <si>
    <t>Suppl.climat [kWh/m2]</t>
  </si>
  <si>
    <t>Riqu. prim. MINERGIE  [kWh/m2]</t>
  </si>
  <si>
    <t>Suppl. ombr. [kWh/m2]</t>
  </si>
  <si>
    <t>Rend. annuo netto per kWp (standard)</t>
  </si>
  <si>
    <t>Potenza nominale</t>
  </si>
  <si>
    <t>WRG gewählt</t>
  </si>
  <si>
    <t>Abluft-WP gewählt</t>
  </si>
  <si>
    <t>Produzione di calore dell'impianto</t>
  </si>
  <si>
    <t>Produzione di corrente dell'impianto</t>
  </si>
  <si>
    <t xml:space="preserve">Fehlermeldung von Zelle D34 auf Zelle E32 verschoben. </t>
  </si>
  <si>
    <t>Blatt "Nachweis", Fehlermeldung wenn bei Mischnutzung WW nicht 100%</t>
  </si>
  <si>
    <t>Temp.</t>
  </si>
  <si>
    <t>WRG</t>
  </si>
  <si>
    <t>kWh/m2a</t>
  </si>
  <si>
    <t>Thermischer Komfort im Sommer</t>
  </si>
  <si>
    <t>Text in Auswahl</t>
  </si>
  <si>
    <t>PAC sonda geoterm., riscaldamento</t>
  </si>
  <si>
    <t>PAC sonda geoterm., acqua calda</t>
  </si>
  <si>
    <t>A1</t>
  </si>
  <si>
    <t>A2</t>
  </si>
  <si>
    <t>A3</t>
  </si>
  <si>
    <t>A4</t>
  </si>
  <si>
    <t>A5</t>
  </si>
  <si>
    <t>A6</t>
  </si>
  <si>
    <t>A7</t>
  </si>
  <si>
    <t>A8</t>
  </si>
  <si>
    <t>A9</t>
  </si>
  <si>
    <t>E1</t>
  </si>
  <si>
    <t>E2</t>
  </si>
  <si>
    <t>E3</t>
  </si>
  <si>
    <t>E4</t>
  </si>
  <si>
    <t>E5</t>
  </si>
  <si>
    <t>E6</t>
  </si>
  <si>
    <t>E7</t>
  </si>
  <si>
    <t>E8</t>
  </si>
  <si>
    <t>E9</t>
  </si>
  <si>
    <t>E10</t>
  </si>
  <si>
    <t>E11</t>
  </si>
  <si>
    <t>E12</t>
  </si>
  <si>
    <t>E13</t>
  </si>
  <si>
    <t>E17</t>
  </si>
  <si>
    <t>E18</t>
  </si>
  <si>
    <t>E19</t>
  </si>
  <si>
    <t>E20</t>
  </si>
  <si>
    <t>E21</t>
  </si>
  <si>
    <t>E22</t>
  </si>
  <si>
    <t>E23</t>
  </si>
  <si>
    <t>E24</t>
  </si>
  <si>
    <t>E25</t>
  </si>
  <si>
    <t>E26</t>
  </si>
  <si>
    <t>E29</t>
  </si>
  <si>
    <t>E30</t>
  </si>
  <si>
    <t>E31</t>
  </si>
  <si>
    <t>E32</t>
  </si>
  <si>
    <t>E33</t>
  </si>
  <si>
    <t>E34</t>
  </si>
  <si>
    <t>E35</t>
  </si>
  <si>
    <t>E36</t>
  </si>
  <si>
    <t>N1</t>
  </si>
  <si>
    <t>N2</t>
  </si>
  <si>
    <t>N3</t>
  </si>
  <si>
    <t>N4</t>
  </si>
  <si>
    <t>N5</t>
  </si>
  <si>
    <t>N6</t>
  </si>
  <si>
    <t>N7</t>
  </si>
  <si>
    <t>N8</t>
  </si>
  <si>
    <t>N9</t>
  </si>
  <si>
    <t>N10</t>
  </si>
  <si>
    <t>N11</t>
  </si>
  <si>
    <t>N12</t>
  </si>
  <si>
    <t>N13</t>
  </si>
  <si>
    <t>N14</t>
  </si>
  <si>
    <t>N15</t>
  </si>
  <si>
    <t>N16</t>
  </si>
  <si>
    <t>N17</t>
  </si>
  <si>
    <t>N18</t>
  </si>
  <si>
    <t>N19</t>
  </si>
  <si>
    <t>N20</t>
  </si>
  <si>
    <t>N21</t>
  </si>
  <si>
    <t>N22</t>
  </si>
  <si>
    <t>N23</t>
  </si>
  <si>
    <t>N25</t>
  </si>
  <si>
    <t>N26</t>
  </si>
  <si>
    <t>N27</t>
  </si>
  <si>
    <t>N28</t>
  </si>
  <si>
    <t>N29</t>
  </si>
  <si>
    <t>N30</t>
  </si>
  <si>
    <t>N31</t>
  </si>
  <si>
    <t>N32</t>
  </si>
  <si>
    <t>N33</t>
  </si>
  <si>
    <t>N34</t>
  </si>
  <si>
    <t>N35</t>
  </si>
  <si>
    <t>N36</t>
  </si>
  <si>
    <t>N37</t>
  </si>
  <si>
    <t>N38</t>
  </si>
  <si>
    <t>N39</t>
  </si>
  <si>
    <t>N40</t>
  </si>
  <si>
    <t>1: leer;  2: Bodenheizung;  3: Deckenheizung;  4: Heizkörper;  5: Bauteilheizung;  6:  Luftheizung;  7: Kombination</t>
  </si>
  <si>
    <t>Verschattungsfaktor</t>
  </si>
  <si>
    <t>fs1</t>
  </si>
  <si>
    <t>hlicht1</t>
  </si>
  <si>
    <t>Lichte Raumhöhe</t>
  </si>
  <si>
    <t>Heizwärmebedarf mit Standardluftwechsel</t>
  </si>
  <si>
    <t>Heizwärmebedarf mit effektivem Luftwechsel</t>
  </si>
  <si>
    <t>qheff1</t>
  </si>
  <si>
    <t>qheff4</t>
  </si>
  <si>
    <t>hlicht4</t>
  </si>
  <si>
    <t>fs4</t>
  </si>
  <si>
    <t>qheff3</t>
  </si>
  <si>
    <t>hlicht3</t>
  </si>
  <si>
    <t>fs3</t>
  </si>
  <si>
    <t>qheff2</t>
  </si>
  <si>
    <t>hlicht2</t>
  </si>
  <si>
    <t>fs2</t>
  </si>
  <si>
    <t>RC</t>
  </si>
  <si>
    <t>Ventilatore</t>
  </si>
  <si>
    <t>Tipo RC</t>
  </si>
  <si>
    <t>Valori</t>
  </si>
  <si>
    <t>1 point n'est pas rempli</t>
  </si>
  <si>
    <t>nessun pozzo canadese</t>
  </si>
  <si>
    <t>2 punti non sono stati rispettati</t>
  </si>
  <si>
    <t>3 punti non sono stati rispettati</t>
  </si>
  <si>
    <t>4 punti non sono stati rispettati</t>
  </si>
  <si>
    <t>5 punti non sono stati rispettati</t>
  </si>
  <si>
    <t>bau4</t>
  </si>
  <si>
    <t>abgabe1</t>
  </si>
  <si>
    <t>abgabe2</t>
  </si>
  <si>
    <t>Klima nach SIA 2028</t>
  </si>
  <si>
    <t>Klimastation:</t>
  </si>
  <si>
    <t>m.ü.M.</t>
  </si>
  <si>
    <t>Station</t>
  </si>
  <si>
    <t>Kt.</t>
  </si>
  <si>
    <t>Klima-</t>
  </si>
  <si>
    <t>Klimazuschlag</t>
  </si>
  <si>
    <t>Höhe</t>
  </si>
  <si>
    <t>zone</t>
  </si>
  <si>
    <t>Jahresmittel</t>
  </si>
  <si>
    <t>Adelboden</t>
  </si>
  <si>
    <t>Aigle</t>
  </si>
  <si>
    <t>Basel-Binningen</t>
  </si>
  <si>
    <t>Bern  Liebefeld</t>
  </si>
  <si>
    <t>Buchs Aarau</t>
  </si>
  <si>
    <t>Chur</t>
  </si>
  <si>
    <t>Genève</t>
  </si>
  <si>
    <t>Glarus</t>
  </si>
  <si>
    <t>Gr. St. Bernhard</t>
  </si>
  <si>
    <t>Güttingen</t>
  </si>
  <si>
    <t>Dettagli per zona 1</t>
  </si>
  <si>
    <t>Blatt "Nachweis", Zeile G29, Strombedarf Lüftungsanlagen, falscher Wert übernommen</t>
  </si>
  <si>
    <t>"Erzeugung" -&gt; bei WE B verschiedentlich Standardwerte von WE A übernommen</t>
  </si>
  <si>
    <t>B</t>
  </si>
  <si>
    <t>C</t>
  </si>
  <si>
    <t>D</t>
  </si>
  <si>
    <t>E</t>
  </si>
  <si>
    <t>Gebäudekategorie</t>
  </si>
  <si>
    <r>
      <t>H</t>
    </r>
    <r>
      <rPr>
        <vertAlign val="subscript"/>
        <sz val="9"/>
        <rFont val="Arial"/>
        <family val="2"/>
      </rPr>
      <t>g0</t>
    </r>
  </si>
  <si>
    <r>
      <t>D</t>
    </r>
    <r>
      <rPr>
        <sz val="9"/>
        <rFont val="Arial"/>
        <family val="2"/>
      </rPr>
      <t>H</t>
    </r>
    <r>
      <rPr>
        <vertAlign val="subscript"/>
        <sz val="9"/>
        <rFont val="Arial"/>
        <family val="2"/>
      </rPr>
      <t>g</t>
    </r>
  </si>
  <si>
    <t>Aerazione automatica dalle finestre</t>
  </si>
  <si>
    <t>Azionamento delle finestre</t>
  </si>
  <si>
    <t>Metodo di produzione di calore A</t>
  </si>
  <si>
    <t>Tasso di copertura [%]</t>
  </si>
  <si>
    <t>Riscaldamento</t>
  </si>
  <si>
    <t>Acqua calda</t>
  </si>
  <si>
    <t>Pompa di calore ad aria, riscaldamento</t>
  </si>
  <si>
    <t>Pompa di calore ad aria, acqua calda</t>
  </si>
  <si>
    <t>Blatt "Antrag", I44: Fehlermeldung zu Minergie-Eco einbauen</t>
  </si>
  <si>
    <t>Blatt "Nachweis", Zeile einfügen unter B49; G48: Nicht für ME-P</t>
  </si>
  <si>
    <t>La Chaux-de-Fonds</t>
  </si>
  <si>
    <t>La Frêtaz</t>
  </si>
  <si>
    <t>Luzern</t>
  </si>
  <si>
    <t>Magadino</t>
  </si>
  <si>
    <t>Payerne</t>
  </si>
  <si>
    <t>Piotta</t>
  </si>
  <si>
    <t>Pully</t>
  </si>
  <si>
    <t>Rünenberg</t>
  </si>
  <si>
    <t>Samedan</t>
  </si>
  <si>
    <t>San Bernardino</t>
  </si>
  <si>
    <t>St. Gallen</t>
  </si>
  <si>
    <t>Schaffhausen</t>
  </si>
  <si>
    <t>Ulrichen</t>
  </si>
  <si>
    <t>BS</t>
  </si>
  <si>
    <t>Vaduz</t>
  </si>
  <si>
    <t>FL</t>
  </si>
  <si>
    <t>Wynau</t>
  </si>
  <si>
    <t>Zürich-Kloten</t>
  </si>
  <si>
    <t>Zürich SMA</t>
  </si>
  <si>
    <t>Kanton</t>
  </si>
  <si>
    <t>abgabe3</t>
  </si>
  <si>
    <t>abgabe4</t>
  </si>
  <si>
    <t>minergie</t>
  </si>
  <si>
    <t>Ausrichtung Fensterfläche Ost</t>
  </si>
  <si>
    <t>Osservazione (abbreviata)</t>
  </si>
  <si>
    <t>Formulario di domanda</t>
  </si>
  <si>
    <t>Argovia</t>
  </si>
  <si>
    <t>Appenzello-Interno</t>
  </si>
  <si>
    <t>Appenzello-Esterno</t>
  </si>
  <si>
    <t>Basilea-Campagna</t>
  </si>
  <si>
    <t>Basilea-Città</t>
  </si>
  <si>
    <t>Grigioni</t>
  </si>
  <si>
    <t>Giura</t>
  </si>
  <si>
    <t>NE</t>
  </si>
  <si>
    <t>BE</t>
  </si>
  <si>
    <t>AG</t>
  </si>
  <si>
    <t>TG</t>
  </si>
  <si>
    <t>SH</t>
  </si>
  <si>
    <t>SG</t>
  </si>
  <si>
    <t xml:space="preserve">Zona4 = </t>
  </si>
  <si>
    <t xml:space="preserve">SRE4 = </t>
  </si>
  <si>
    <t xml:space="preserve">SREo4 = </t>
  </si>
  <si>
    <t>Utiliz.misto</t>
  </si>
  <si>
    <t>AC teor.</t>
  </si>
  <si>
    <t>Valore limite</t>
  </si>
  <si>
    <t>Superficie per persona</t>
  </si>
  <si>
    <t>Aerazione</t>
  </si>
  <si>
    <t>Ricamb. aria std</t>
  </si>
  <si>
    <t>MINERGIE (nuovo)</t>
  </si>
  <si>
    <t>MINERGIE (vecchio)</t>
  </si>
  <si>
    <t>Bonus AC</t>
  </si>
  <si>
    <t>possibile?</t>
  </si>
  <si>
    <t>con AC</t>
  </si>
  <si>
    <t>Aerazione standard</t>
  </si>
  <si>
    <t>Zona1</t>
  </si>
  <si>
    <t>Ricambio d'aria standard</t>
  </si>
  <si>
    <t>Zona2</t>
  </si>
  <si>
    <t>No</t>
  </si>
  <si>
    <t>Si</t>
  </si>
  <si>
    <t>Categoria:</t>
  </si>
  <si>
    <t>Aerazione:</t>
  </si>
  <si>
    <t>Aerazione Zona3:</t>
  </si>
  <si>
    <t>Aerazione Zona4:</t>
  </si>
  <si>
    <t>Sel. menu a tendina:</t>
  </si>
  <si>
    <t>Nuova costruzione:</t>
  </si>
  <si>
    <t>AC</t>
  </si>
  <si>
    <t xml:space="preserve">Riporto altri metodi di produzione di calore </t>
  </si>
  <si>
    <t>mediante calcolo</t>
  </si>
  <si>
    <t>Velocità dell'aria massimo 2 m/s e profondità media di posa minimo 1,5 m</t>
  </si>
  <si>
    <t>Rendimento RC</t>
  </si>
  <si>
    <t>Lunghezza lista</t>
  </si>
  <si>
    <t>Liste di selezione</t>
  </si>
  <si>
    <t>Tutti i punti sono stati rispettati</t>
  </si>
  <si>
    <t>1 punto non è stato rispettato</t>
  </si>
  <si>
    <t>plan1</t>
  </si>
  <si>
    <t>plan2</t>
  </si>
  <si>
    <t>telplan</t>
  </si>
  <si>
    <t>faxplan</t>
  </si>
  <si>
    <t>funkeplan</t>
  </si>
  <si>
    <t>eplan1</t>
  </si>
  <si>
    <t>eplan2</t>
  </si>
  <si>
    <t>teleplan</t>
  </si>
  <si>
    <t>faxeplan</t>
  </si>
  <si>
    <t>rechnung</t>
  </si>
  <si>
    <t>Osservazioni sulla verifica esterna (genere, allegati, p.es. criteri di scelta secondo la guida all'uso):</t>
  </si>
  <si>
    <t>Copertura delle perdite di calore per ventilazione</t>
  </si>
  <si>
    <t>Somma di tutte le lunghezze dei tubi</t>
  </si>
  <si>
    <t>1: keine Wahl; 2: Aarau ;..; 28: FL; 29: Spezial  (gemäss Liste auf Blatt Standardwerte, A97 - A125)</t>
  </si>
  <si>
    <t>Version</t>
  </si>
  <si>
    <t>Industrienutzung:</t>
  </si>
  <si>
    <t>kanton</t>
  </si>
  <si>
    <r>
      <t>A</t>
    </r>
    <r>
      <rPr>
        <vertAlign val="subscript"/>
        <sz val="9"/>
        <rFont val="Arial"/>
        <family val="2"/>
      </rPr>
      <t>E</t>
    </r>
  </si>
  <si>
    <r>
      <t>A</t>
    </r>
    <r>
      <rPr>
        <vertAlign val="subscript"/>
        <sz val="10"/>
        <rFont val="Arial"/>
        <family val="2"/>
      </rPr>
      <t>E</t>
    </r>
    <r>
      <rPr>
        <sz val="10"/>
        <rFont val="Arial"/>
        <family val="2"/>
      </rPr>
      <t xml:space="preserve"> totale per:</t>
    </r>
  </si>
  <si>
    <t>Valevole solo per SIA 380/1: 2009</t>
  </si>
  <si>
    <t>Produzione di calore B</t>
  </si>
  <si>
    <t>Cantone:</t>
  </si>
  <si>
    <t>1: keine Wahl; 2: Ja; 3: Nein</t>
  </si>
  <si>
    <t>Minergie Eco</t>
  </si>
  <si>
    <t>Nachweis</t>
  </si>
  <si>
    <t>Blatt "Antrag": Neue Zeile für Abfrage Minergie-Eco eingefügt, Zeilennr. angepasst</t>
  </si>
  <si>
    <t>Variablenname "mineco" definiert; auch als Schnittstelle verwendbar</t>
  </si>
  <si>
    <t>Blatt "Nachweis", Zeile 30 (Zelle F44): Textänderung</t>
  </si>
  <si>
    <t>Text neu: "Nachweis mit Prinzipschema, Deklaration Kälte"</t>
  </si>
  <si>
    <t>Valore calcolato</t>
  </si>
  <si>
    <t>Fabbisogno termico standard per il riscaldamento qhs:</t>
  </si>
  <si>
    <t>Errori di zona:</t>
  </si>
  <si>
    <t>(0: ancora nessun valore valido)</t>
  </si>
  <si>
    <t>Impermeabilità all'aria dell'involucro</t>
  </si>
  <si>
    <t>Blatt "Nachweis", Zelle B17, ME-P: Ergänzung mit " / Kühlung"</t>
  </si>
  <si>
    <t>Il rispetto di questi criteri viene descritto e documentato negli allegati</t>
  </si>
  <si>
    <t>SIA 382/1 cifra</t>
  </si>
  <si>
    <t>I requisiti per la protezione termica sono soddisfatti</t>
  </si>
  <si>
    <t>I requisiti per la capacità d'accumulo termico sono soddisfatti. Calcolo secondo Tool SIA 382/1 capacità termica (www.energycodes.ch)</t>
  </si>
  <si>
    <t>I carichi interni sono così bassi da poter essere allontanati con ventilazione tramite finestre</t>
  </si>
  <si>
    <t>Le temperature estive dell'aria interna sono calcolate tramite SIA 382/1, cifra 4.4.4. La curva dei valori limite non viene oltrepassata per più di 100 h senza raffreddamento</t>
  </si>
  <si>
    <t>Secondo quanto dichiarato, le esigenze per la protezione termica estiva sono soddisfatte</t>
  </si>
  <si>
    <t>Terreno-aria (regola del pollice)</t>
  </si>
  <si>
    <t>Blatt "Erzeugung": Keine Fehlermeldungen Warmwasser, wenn Warmwasser = falsch</t>
  </si>
  <si>
    <t>Zellen N18, N32, N46, N60 = 0, wenn Warmwasser = falsch</t>
  </si>
  <si>
    <t>Blatt "Eingaben": Strich nicht fett unter Zeile 28</t>
  </si>
  <si>
    <t>Blatt "Eingaben": Kollonnen F und G muss gelb erscheinen, wenn Zusatzanforderung</t>
  </si>
  <si>
    <t>Blatt "Eingaben": Neue Tags bei Zusatzanforderung</t>
  </si>
  <si>
    <t>Blatt "Antrag": Neuer Tag Zelle B5, B8, neuer Text Zelle B6</t>
  </si>
  <si>
    <t>Blatt "Antrag": Zusatzfragen "Anzahl Wohnungen" und "Anzahl Zusatzgebäude"</t>
  </si>
  <si>
    <t>Aeraz.+PAC</t>
  </si>
  <si>
    <t>Scambiatore di calore per il recupero</t>
  </si>
  <si>
    <t>rotativo</t>
  </si>
  <si>
    <t>corr. incrociate</t>
  </si>
  <si>
    <t>nessun RC</t>
  </si>
  <si>
    <t>Azionamento ventilatori con motore</t>
  </si>
  <si>
    <t>altern.(AC)</t>
  </si>
  <si>
    <t>fino a</t>
  </si>
  <si>
    <t>Testo d'errore</t>
  </si>
  <si>
    <t>Doppio dato: possibile solo una scelta!</t>
  </si>
  <si>
    <t>Selezionato nella domanda:</t>
  </si>
  <si>
    <t>Selezione nel dato d'inserimento</t>
  </si>
  <si>
    <t>Messaggio d'errore</t>
  </si>
  <si>
    <t>Funzione:</t>
  </si>
  <si>
    <t>Pubblicazione:</t>
  </si>
  <si>
    <t>d'accordo</t>
  </si>
  <si>
    <t>non d'accordo</t>
  </si>
  <si>
    <t>Calcolo della tassa</t>
  </si>
  <si>
    <t>Abitazioni plurifamiliari</t>
  </si>
  <si>
    <t>Abitazioni monofamiliari</t>
  </si>
  <si>
    <t>Negozi</t>
  </si>
  <si>
    <t>Ristoranti</t>
  </si>
  <si>
    <t>Locali pubblici</t>
  </si>
  <si>
    <t xml:space="preserve">&gt;1 </t>
  </si>
  <si>
    <t>Pulldown:</t>
  </si>
  <si>
    <t>Einwirkseiten</t>
  </si>
  <si>
    <t>Neubau</t>
  </si>
  <si>
    <t>Altbau</t>
  </si>
  <si>
    <t>Categorie:</t>
  </si>
  <si>
    <t>Categoria</t>
  </si>
  <si>
    <t xml:space="preserve">Zona1 = </t>
  </si>
  <si>
    <t xml:space="preserve">SRE1 = </t>
  </si>
  <si>
    <t xml:space="preserve">SREo1 = </t>
  </si>
  <si>
    <t>Terreno-aria, calcolo separato</t>
  </si>
  <si>
    <t>Terreno-salamoia</t>
  </si>
  <si>
    <t>Velocità aria max. 2 m/s, profondità di posa media 1.5 m e diametro interno 110-200 mm</t>
  </si>
  <si>
    <t xml:space="preserve">Più potenza pompa di circolazione scambiatore di calore geotermico </t>
  </si>
  <si>
    <t>Allegare calcolo esterno</t>
  </si>
  <si>
    <t>Sonda geotermica</t>
  </si>
  <si>
    <t>Einzel-</t>
  </si>
  <si>
    <t>Version in BF27 auf 13 gesetzt</t>
  </si>
  <si>
    <t>Neue Gebühren für 2012 eingegeben</t>
  </si>
  <si>
    <t>Gültigkeitsdatum auf Ende 2012 gesetzt</t>
  </si>
  <si>
    <t>Korrektur der Primäranfoderungen für Hallenbad von 0.6 auf 0.9 gesetzt</t>
  </si>
  <si>
    <t>Neues Dropdown Menue Rollläden usw.</t>
  </si>
  <si>
    <t>Blatt "Sommer"</t>
  </si>
  <si>
    <t>Korrektur, dass bei minergiea=1 keine n.a. bei den leeren Feldens des Sommerlichen Wärmeschutz</t>
  </si>
  <si>
    <t>La verifica della protezione termica estiva, si basa sull'auto-dichiarazione del richiedente. Il centro di certificazione MINERGIE, nell'ambito della certificazione o durante le verifiche a campione, può richiedere ulteriori documenti di dettaglio. La quota di vetro si riferisce sempre alla superficie della facciata e NON alla AE. Le superfici vetrate sono inferiori alle superfici delle finestre (pari alla parte di telaio).</t>
  </si>
  <si>
    <t>S10</t>
  </si>
  <si>
    <t>lamella</t>
  </si>
  <si>
    <t>tramite tapparella</t>
  </si>
  <si>
    <t>MINERGIE-Modulo</t>
  </si>
  <si>
    <t>altro</t>
  </si>
  <si>
    <t>Abitazioni (mono- e plurifamiliari) con 1 facciata e con locale orientato a sud:
- ombreggiamento mediante balcone con minimo 1 m di profondità;
- soletta in calcestruzzo libera oltre l’80% o betoncino con min. 6 cm di spessore o anidrite con 5 cm di spessore;
- percentuale di vetro &lt; 100%</t>
  </si>
  <si>
    <t>Schermatura solare esterna mobile. Se "altro" specificare qui:</t>
  </si>
  <si>
    <t>Für Online Plattform</t>
  </si>
  <si>
    <t>Neue Gültigkeitsdauer und neue Versionsnummer</t>
  </si>
  <si>
    <t>Blatt "Eingabe"</t>
  </si>
  <si>
    <t>fd</t>
  </si>
  <si>
    <t>Primäranforderungen für MINERGIE-A Modernisierung aufgehoben</t>
  </si>
  <si>
    <t>Blatt "Standardeingaben", Zellen Q85 und Q86</t>
  </si>
  <si>
    <r>
      <t>kWh/m</t>
    </r>
    <r>
      <rPr>
        <vertAlign val="superscript"/>
        <sz val="9"/>
        <rFont val="Arial"/>
        <family val="2"/>
      </rPr>
      <t>2</t>
    </r>
  </si>
  <si>
    <t>Feld G/N26, Verrechnung mit Kennzahl Wärme kleiner Null nur, wenn der Wert von 50 kWh/m2 überschritten ist, nicht wie bisher wenn die KZW kleiner Null ist. Wird der Ausgleich mit PV-Überproduktion gemacht, so ist die resultierende Graue Energie auf 50 kWh zu setzen, auch wenn deutlich mehr Überproduktion zur Verfügung steht</t>
  </si>
  <si>
    <t>Blatt "Standardeingaben", Zelle BR76</t>
  </si>
  <si>
    <t>Neues Dropdown Menue für Doppelantrag A/P</t>
  </si>
  <si>
    <t>Blatt "Eingaben", sowie Input und 380</t>
  </si>
  <si>
    <t>doppel</t>
  </si>
  <si>
    <t>Doppelantrag MINERGIE-A/-P</t>
  </si>
  <si>
    <t>Verkauf</t>
  </si>
  <si>
    <t>Doppelantag</t>
  </si>
  <si>
    <t>Ökolog. MW</t>
  </si>
  <si>
    <t>ME-A / ME-P</t>
  </si>
  <si>
    <t>MINERGIE-ECO: è stata inoltrata o è previsto l'inoltro di una verifica per MINERGIE-ECO?</t>
  </si>
  <si>
    <t>Biomassa , impianto idraulico integrato</t>
  </si>
  <si>
    <t>Fabb. el. aeraz. + protezione antigelo</t>
  </si>
  <si>
    <t>Portata d'aria esterna termica det.</t>
  </si>
  <si>
    <t>Fabb. el. raffr. + umidificazione</t>
  </si>
  <si>
    <t>Locale (abitazione mono- e plurifamiliari) con soletta in calcestruzzo libera oltre l'80%:
- 1 facciata e percentuale di vetro &lt; 70 %</t>
  </si>
  <si>
    <t>Locale (abitazione mono- e plurifamiliari)  con soletta in calcestruzzo libera oltre l'80%: 
 - camere ad angolo e percentuale di vetro per facciata &lt; 50 %</t>
  </si>
  <si>
    <t>Locale (abitazione mono- e plurifamiliari)  con 1 facciata o locale ad angolo: 
- soletta in legno e betoncino con minimo 6 cm di spessore o anidrite con 5 cm di spessore;
- percentuale di vetro &lt;40%</t>
  </si>
  <si>
    <t>Variante 2: verifica esterna dei criteri secondo SIA 382/1 (senza raffreddamento) "allegare for. Prot. termica estiva"</t>
  </si>
  <si>
    <t>La protezione contro il giaccio deve essere garantita</t>
  </si>
  <si>
    <t>Compilare la casella E25</t>
  </si>
  <si>
    <t>Adressfelder und Unterschriften vorausfüllen mit rotem Text "Nur ausfüllen bei Nichtonline"</t>
  </si>
  <si>
    <r>
      <rPr>
        <sz val="7"/>
        <rFont val="Times New Roman"/>
        <family val="1"/>
      </rPr>
      <t xml:space="preserve"> </t>
    </r>
    <r>
      <rPr>
        <sz val="10"/>
        <rFont val="Arial"/>
        <family val="2"/>
      </rPr>
      <t>Lüftung MINERIE-P auf MINERGIE Niveau</t>
    </r>
  </si>
  <si>
    <t>Anzeige der %-Zahl vom Grenzwert</t>
  </si>
  <si>
    <t>Hilfstext S14 abgeschnitten</t>
  </si>
  <si>
    <t>Vx und Vo (0.1) den Luftdichtigkeitsanforderungen anpassen</t>
  </si>
  <si>
    <t>In den Dokumenten zu den Standardlösungen (S. 21 im Nutzungsreglement resp. im EXCEL) wird noch immer auf das D-A-CH-Gütesiegel verwiesen, auf EHPA umpolen</t>
  </si>
  <si>
    <r>
      <rPr>
        <sz val="7"/>
        <rFont val="Times New Roman"/>
        <family val="1"/>
      </rPr>
      <t xml:space="preserve"> </t>
    </r>
    <r>
      <rPr>
        <sz val="10"/>
        <rFont val="Arial"/>
        <family val="2"/>
      </rPr>
      <t>Zone Schule: Kleinanlage Auswahl Nein/Nein</t>
    </r>
  </si>
  <si>
    <r>
      <rPr>
        <sz val="7"/>
        <rFont val="Times New Roman"/>
        <family val="1"/>
      </rPr>
      <t xml:space="preserve"> </t>
    </r>
    <r>
      <rPr>
        <sz val="10"/>
        <rFont val="Arial"/>
        <family val="2"/>
      </rPr>
      <t>Kommentar "Windfestigkeit" in Sommer!B19 löschen</t>
    </r>
  </si>
  <si>
    <t>GE in fr, it</t>
  </si>
  <si>
    <t>Pull Down gespert</t>
  </si>
  <si>
    <t>RIC: annunciato o retribuito mediante la RIC</t>
  </si>
  <si>
    <t>Eingaben A2 bis A6 gelöscht, Ist in der MOP</t>
  </si>
  <si>
    <t>Blatt "Antrag"</t>
  </si>
  <si>
    <t>Keine Anzeige mehr der Gebühren. Ist in der MOP</t>
  </si>
  <si>
    <t>Keine Unterschrieftenfelder mehr</t>
  </si>
  <si>
    <t>Blatt "Antrag" und Blatt "Nachweis"</t>
  </si>
  <si>
    <t>ID progetto:</t>
  </si>
  <si>
    <t>Formulario di verifica per la domanda MINERGIE</t>
  </si>
  <si>
    <t>Formulario di verifica per la domanda MINERGIE - P</t>
  </si>
  <si>
    <t>Formulario di verifica per la domanda MINERGIE - A</t>
  </si>
  <si>
    <t>Il formulario di verifica Minergie debitamente compilato va caricato sulla piattaforma Minergie Online nella sezione “Documenti”. Se l’oggetto corrispondente non è ancora stato inserito sulla piattaforma online è necessario aprire un nuovo progetto tramite https://online.minergie.ch. Dopo aver caricato il formulario di verifica viene generato automaticamente il modulo per la domanda Minergie. Tale documento va firmato ed inviato al centro di certificazione competente.</t>
  </si>
  <si>
    <t>MINERGIE, versione 2016, da utilizzare fino al 31.12.2016 al più tardi</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</si>
</sst>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quot;SFr.&quot;\ * #,##0.00_ ;_ &quot;SFr.&quot;\ * \-#,##0.00_ ;_ &quot;SFr.&quot;\ * &quot;-&quot;??_ ;_ @_ "/>
    <numFmt numFmtId="165" formatCode="#,##0_ ;[Red]\-#,##0\ "/>
    <numFmt numFmtId="166" formatCode="0.00_ ;[Red]\-0.00\ "/>
    <numFmt numFmtId="167" formatCode="#,##0.00_ ;[Red]\-#,##0.00\ "/>
    <numFmt numFmtId="168" formatCode="0\ \ "/>
    <numFmt numFmtId="169" formatCode="0.0"/>
    <numFmt numFmtId="170" formatCode="#,##0.0_ ;[Red]\-#,##0.0\ "/>
    <numFmt numFmtId="171" formatCode="0.000"/>
    <numFmt numFmtId="172" formatCode="0.0%"/>
    <numFmt numFmtId="173" formatCode=";;"/>
    <numFmt numFmtId="174" formatCode="&quot;Fr.&quot;\ #,##0.00"/>
    <numFmt numFmtId="175" formatCode="&quot;Fr.&quot;\ #,##0"/>
    <numFmt numFmtId="176" formatCode="_ [$_-2]\ * #,##0.00_ ;_ [$_-2]\ * \-#,##0.00_ ;_ [$_-2]\ * &quot;-&quot;??_ "/>
  </numFmts>
  <fonts count="104">
    <font>
      <sz val="10"/>
      <name val="Arial"/>
    </font>
    <font>
      <b/>
      <sz val="10"/>
      <name val="Arial"/>
      <family val="2"/>
    </font>
    <font>
      <sz val="10"/>
      <name val="Arial"/>
      <family val="2"/>
    </font>
    <font>
      <sz val="10"/>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vertAlign val="superscript"/>
      <sz val="9"/>
      <name val="Arial"/>
      <family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8"/>
      <color indexed="10"/>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sz val="9"/>
      <name val="Wingdings"/>
      <charset val="2"/>
    </font>
    <font>
      <b/>
      <i/>
      <sz val="9"/>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12"/>
      <name val="Arial"/>
      <family val="2"/>
    </font>
    <font>
      <sz val="16"/>
      <name val="Arial"/>
      <family val="2"/>
    </font>
    <font>
      <sz val="14"/>
      <name val="Arial"/>
      <family val="2"/>
    </font>
    <font>
      <sz val="10"/>
      <color indexed="56"/>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b/>
      <sz val="11"/>
      <color indexed="9"/>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sz val="7"/>
      <name val="Arial"/>
      <family val="2"/>
    </font>
    <font>
      <vertAlign val="superscript"/>
      <sz val="7"/>
      <name val="Arial"/>
      <family val="2"/>
    </font>
    <font>
      <sz val="6"/>
      <name val="Arial"/>
      <family val="2"/>
    </font>
    <font>
      <sz val="8"/>
      <color indexed="10"/>
      <name val="Tahoma"/>
      <family val="2"/>
    </font>
    <font>
      <b/>
      <sz val="11"/>
      <color indexed="10"/>
      <name val="Arial"/>
      <family val="2"/>
    </font>
    <font>
      <b/>
      <sz val="12"/>
      <name val="Arial"/>
      <family val="2"/>
    </font>
    <font>
      <b/>
      <sz val="8"/>
      <name val="Arial"/>
      <family val="2"/>
    </font>
    <font>
      <sz val="10"/>
      <name val="Arial"/>
      <family val="2"/>
    </font>
    <font>
      <sz val="9"/>
      <color indexed="81"/>
      <name val="Geneva"/>
      <family val="2"/>
    </font>
    <font>
      <b/>
      <sz val="9"/>
      <color indexed="81"/>
      <name val="Geneva"/>
      <family val="2"/>
    </font>
    <font>
      <b/>
      <sz val="11"/>
      <name val="Arial"/>
      <family val="2"/>
    </font>
    <font>
      <b/>
      <i/>
      <sz val="9"/>
      <name val="Arial"/>
      <family val="2"/>
    </font>
    <font>
      <b/>
      <sz val="6"/>
      <name val="Arial"/>
      <family val="2"/>
    </font>
    <font>
      <sz val="9"/>
      <color indexed="10"/>
      <name val="Arial"/>
      <family val="2"/>
    </font>
    <font>
      <vertAlign val="superscript"/>
      <sz val="12"/>
      <name val="Symbol"/>
      <family val="1"/>
      <charset val="2"/>
    </font>
    <font>
      <sz val="7"/>
      <name val="Arial"/>
      <family val="2"/>
    </font>
    <font>
      <b/>
      <sz val="6"/>
      <name val="Arial"/>
      <family val="2"/>
    </font>
    <font>
      <b/>
      <sz val="8"/>
      <color indexed="8"/>
      <name val="Arial"/>
      <family val="2"/>
    </font>
    <font>
      <sz val="10"/>
      <color indexed="10"/>
      <name val="Arial"/>
      <family val="2"/>
    </font>
    <font>
      <b/>
      <sz val="12"/>
      <name val="Arial"/>
      <family val="2"/>
    </font>
    <font>
      <i/>
      <sz val="8"/>
      <color indexed="10"/>
      <name val="Arial"/>
      <family val="2"/>
    </font>
    <font>
      <vertAlign val="subscript"/>
      <sz val="10"/>
      <name val="Arial"/>
      <family val="2"/>
    </font>
    <font>
      <sz val="5"/>
      <color indexed="81"/>
      <name val="Tahoma"/>
      <family val="2"/>
    </font>
    <font>
      <b/>
      <i/>
      <sz val="10"/>
      <name val="Arial"/>
      <family val="2"/>
    </font>
    <font>
      <sz val="11"/>
      <color indexed="10"/>
      <name val="Calibri"/>
      <family val="2"/>
    </font>
    <font>
      <b/>
      <sz val="11"/>
      <color indexed="9"/>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9"/>
      <color indexed="81"/>
      <name val="Tahoma"/>
      <family val="2"/>
    </font>
    <font>
      <sz val="10"/>
      <name val="Arial"/>
    </font>
    <font>
      <sz val="8"/>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7"/>
      <name val="Times New Roman"/>
      <family val="1"/>
    </font>
    <font>
      <b/>
      <sz val="9"/>
      <color indexed="81"/>
      <name val="Tahoma"/>
      <charset val="1"/>
    </font>
    <font>
      <sz val="5.5"/>
      <name val="Arial"/>
      <family val="2"/>
    </font>
  </fonts>
  <fills count="20">
    <fill>
      <patternFill patternType="none"/>
    </fill>
    <fill>
      <patternFill patternType="gray125"/>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solid">
        <fgColor indexed="14"/>
        <bgColor indexed="64"/>
      </patternFill>
    </fill>
    <fill>
      <patternFill patternType="gray0625">
        <fgColor indexed="9"/>
        <bgColor indexed="9"/>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65"/>
        <bgColor indexed="64"/>
      </patternFill>
    </fill>
    <fill>
      <patternFill patternType="solid">
        <fgColor indexed="56"/>
        <bgColor indexed="64"/>
      </patternFill>
    </fill>
    <fill>
      <patternFill patternType="solid">
        <fgColor indexed="29"/>
        <bgColor indexed="64"/>
      </patternFill>
    </fill>
    <fill>
      <patternFill patternType="solid">
        <fgColor indexed="40"/>
        <bgColor indexed="64"/>
      </patternFill>
    </fill>
    <fill>
      <patternFill patternType="solid">
        <fgColor indexed="44"/>
        <bgColor indexed="64"/>
      </patternFill>
    </fill>
    <fill>
      <patternFill patternType="solid">
        <fgColor rgb="FFA5A5A5"/>
      </patternFill>
    </fill>
    <fill>
      <patternFill patternType="solid">
        <fgColor rgb="FFFFFFCC"/>
      </patternFill>
    </fill>
  </fills>
  <borders count="134">
    <border>
      <left/>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bottom/>
      <diagonal/>
    </border>
    <border>
      <left style="hair">
        <color indexed="64"/>
      </left>
      <right style="medium">
        <color indexed="64"/>
      </right>
      <top/>
      <bottom style="hair">
        <color indexed="64"/>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hair">
        <color indexed="64"/>
      </left>
      <right style="medium">
        <color indexed="64"/>
      </right>
      <top/>
      <bottom/>
      <diagonal/>
    </border>
    <border>
      <left style="medium">
        <color indexed="64"/>
      </left>
      <right/>
      <top/>
      <bottom style="thin">
        <color indexed="64"/>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bottom style="hair">
        <color indexed="64"/>
      </bottom>
      <diagonal/>
    </border>
    <border>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22">
    <xf numFmtId="0" fontId="0" fillId="0" borderId="0"/>
    <xf numFmtId="0" fontId="86" fillId="0" borderId="1" applyNumberFormat="0" applyFill="0" applyAlignment="0" applyProtection="0"/>
    <xf numFmtId="0" fontId="85" fillId="3" borderId="2" applyNumberFormat="0" applyAlignment="0" applyProtection="0"/>
    <xf numFmtId="0" fontId="2" fillId="2" borderId="3" applyNumberFormat="0" applyFont="0" applyAlignment="0" applyProtection="0"/>
    <xf numFmtId="9" fontId="2" fillId="0" borderId="0" applyFont="0" applyFill="0" applyBorder="0" applyAlignment="0" applyProtection="0"/>
    <xf numFmtId="0" fontId="2" fillId="0" borderId="0"/>
    <xf numFmtId="0" fontId="84" fillId="0" borderId="0" applyNumberFormat="0" applyFill="0" applyBorder="0" applyAlignment="0" applyProtection="0"/>
    <xf numFmtId="0" fontId="87" fillId="0" borderId="0" applyNumberFormat="0" applyFill="0" applyBorder="0" applyAlignment="0" applyProtection="0"/>
    <xf numFmtId="0" fontId="88" fillId="0" borderId="4" applyNumberFormat="0" applyFill="0" applyAlignment="0" applyProtection="0"/>
    <xf numFmtId="0" fontId="89" fillId="0" borderId="5" applyNumberFormat="0" applyFill="0" applyAlignment="0" applyProtection="0"/>
    <xf numFmtId="0" fontId="90" fillId="0" borderId="6" applyNumberFormat="0" applyFill="0" applyAlignment="0" applyProtection="0"/>
    <xf numFmtId="0" fontId="90" fillId="0" borderId="0" applyNumberFormat="0" applyFill="0" applyBorder="0" applyAlignment="0" applyProtection="0"/>
    <xf numFmtId="164" fontId="2" fillId="0" borderId="0" applyFont="0" applyFill="0" applyBorder="0" applyAlignment="0" applyProtection="0"/>
    <xf numFmtId="0" fontId="94" fillId="0" borderId="0" applyNumberFormat="0" applyFill="0" applyBorder="0" applyAlignment="0" applyProtection="0"/>
    <xf numFmtId="0" fontId="95" fillId="0" borderId="128" applyNumberFormat="0" applyFill="0" applyAlignment="0" applyProtection="0"/>
    <xf numFmtId="0" fontId="96" fillId="0" borderId="129" applyNumberFormat="0" applyFill="0" applyAlignment="0" applyProtection="0"/>
    <xf numFmtId="0" fontId="97" fillId="0" borderId="130" applyNumberFormat="0" applyFill="0" applyAlignment="0" applyProtection="0"/>
    <xf numFmtId="0" fontId="97" fillId="0" borderId="0" applyNumberFormat="0" applyFill="0" applyBorder="0" applyAlignment="0" applyProtection="0"/>
    <xf numFmtId="0" fontId="98" fillId="0" borderId="131" applyNumberFormat="0" applyFill="0" applyAlignment="0" applyProtection="0"/>
    <xf numFmtId="0" fontId="99" fillId="18" borderId="132" applyNumberFormat="0" applyAlignment="0" applyProtection="0"/>
    <xf numFmtId="0" fontId="100" fillId="0" borderId="0" applyNumberFormat="0" applyFill="0" applyBorder="0" applyAlignment="0" applyProtection="0"/>
    <xf numFmtId="0" fontId="92" fillId="19" borderId="133" applyNumberFormat="0" applyFont="0" applyAlignment="0" applyProtection="0"/>
  </cellStyleXfs>
  <cellXfs count="1937">
    <xf numFmtId="0" fontId="0" fillId="0" borderId="0" xfId="0"/>
    <xf numFmtId="0" fontId="8" fillId="0" borderId="7" xfId="0" applyFont="1" applyBorder="1" applyAlignment="1">
      <alignment vertical="center"/>
    </xf>
    <xf numFmtId="0" fontId="8" fillId="0" borderId="8" xfId="0" applyFont="1" applyBorder="1" applyAlignment="1">
      <alignment vertical="center"/>
    </xf>
    <xf numFmtId="0" fontId="13" fillId="0" borderId="7" xfId="0" applyFont="1" applyBorder="1" applyAlignment="1" applyProtection="1">
      <alignment vertical="center"/>
    </xf>
    <xf numFmtId="0" fontId="13" fillId="0" borderId="0" xfId="0" applyFont="1" applyProtection="1"/>
    <xf numFmtId="0" fontId="13" fillId="0" borderId="8" xfId="0" applyFont="1" applyBorder="1" applyProtection="1"/>
    <xf numFmtId="0" fontId="9" fillId="0" borderId="7" xfId="0" applyFont="1" applyBorder="1" applyAlignment="1" applyProtection="1">
      <alignment horizontal="center" vertical="center"/>
    </xf>
    <xf numFmtId="0" fontId="3" fillId="0" borderId="0" xfId="0" applyFont="1"/>
    <xf numFmtId="0" fontId="4" fillId="0" borderId="0" xfId="0" applyFont="1" applyFill="1" applyBorder="1" applyAlignment="1" applyProtection="1">
      <alignment horizontal="left" vertical="center"/>
    </xf>
    <xf numFmtId="0" fontId="8" fillId="0" borderId="7" xfId="0" applyFont="1" applyBorder="1" applyAlignment="1">
      <alignment horizontal="center" vertical="center"/>
    </xf>
    <xf numFmtId="0" fontId="8" fillId="0" borderId="0" xfId="0" applyFont="1" applyBorder="1"/>
    <xf numFmtId="0" fontId="8" fillId="0" borderId="9" xfId="0" applyFont="1" applyBorder="1"/>
    <xf numFmtId="0" fontId="4" fillId="0" borderId="9" xfId="0" applyFont="1" applyBorder="1"/>
    <xf numFmtId="0" fontId="0" fillId="0" borderId="0" xfId="0" applyBorder="1"/>
    <xf numFmtId="0" fontId="0" fillId="0" borderId="8" xfId="0" applyBorder="1"/>
    <xf numFmtId="0" fontId="0" fillId="0" borderId="7" xfId="0" applyBorder="1"/>
    <xf numFmtId="0" fontId="8" fillId="0" borderId="10" xfId="0" applyFont="1" applyBorder="1" applyAlignment="1">
      <alignment vertical="center"/>
    </xf>
    <xf numFmtId="0" fontId="13" fillId="0" borderId="11" xfId="0" applyFont="1" applyBorder="1" applyProtection="1"/>
    <xf numFmtId="165" fontId="8" fillId="0" borderId="7" xfId="0" applyNumberFormat="1" applyFont="1" applyBorder="1" applyAlignment="1">
      <alignment horizontal="center" vertical="center"/>
    </xf>
    <xf numFmtId="165" fontId="8" fillId="0" borderId="8" xfId="0" applyNumberFormat="1" applyFont="1" applyBorder="1" applyAlignment="1">
      <alignment horizontal="center" vertical="center"/>
    </xf>
    <xf numFmtId="0" fontId="13" fillId="0" borderId="7" xfId="0" applyFont="1" applyFill="1" applyBorder="1" applyAlignment="1" applyProtection="1">
      <alignment horizontal="center" vertical="center"/>
    </xf>
    <xf numFmtId="0" fontId="9" fillId="0" borderId="12" xfId="0" applyFont="1" applyBorder="1" applyAlignment="1" applyProtection="1">
      <alignment vertical="center"/>
    </xf>
    <xf numFmtId="0" fontId="13" fillId="0" borderId="7" xfId="0" applyFont="1" applyBorder="1" applyProtection="1"/>
    <xf numFmtId="0" fontId="0" fillId="0" borderId="10" xfId="0" applyBorder="1"/>
    <xf numFmtId="0" fontId="0" fillId="0" borderId="13" xfId="0" applyBorder="1"/>
    <xf numFmtId="165" fontId="9" fillId="0" borderId="7" xfId="0" applyNumberFormat="1" applyFont="1" applyBorder="1" applyAlignment="1">
      <alignment horizontal="center" vertical="center"/>
    </xf>
    <xf numFmtId="167" fontId="13" fillId="0" borderId="8" xfId="0" applyNumberFormat="1" applyFont="1" applyFill="1" applyBorder="1" applyAlignment="1" applyProtection="1">
      <alignment horizontal="center" vertical="center"/>
    </xf>
    <xf numFmtId="0" fontId="0" fillId="0" borderId="0" xfId="0" applyFill="1" applyBorder="1"/>
    <xf numFmtId="165" fontId="8" fillId="4" borderId="9" xfId="0" applyNumberFormat="1" applyFont="1" applyFill="1" applyBorder="1" applyAlignment="1">
      <alignment horizontal="center" vertical="center"/>
    </xf>
    <xf numFmtId="0" fontId="8" fillId="5" borderId="0" xfId="0" applyFont="1" applyFill="1" applyAlignment="1" applyProtection="1">
      <alignment vertical="center"/>
    </xf>
    <xf numFmtId="165" fontId="8" fillId="5" borderId="0" xfId="0" applyNumberFormat="1" applyFont="1" applyFill="1" applyAlignment="1" applyProtection="1">
      <alignment horizontal="right" vertical="center"/>
    </xf>
    <xf numFmtId="0" fontId="8" fillId="5" borderId="0" xfId="0" applyFont="1" applyFill="1" applyProtection="1"/>
    <xf numFmtId="0" fontId="15" fillId="5" borderId="0" xfId="0" applyFont="1" applyFill="1" applyAlignment="1" applyProtection="1">
      <alignment vertical="center"/>
    </xf>
    <xf numFmtId="0" fontId="8" fillId="5" borderId="0" xfId="0" applyFont="1" applyFill="1" applyBorder="1" applyAlignment="1" applyProtection="1">
      <alignment horizontal="left" vertical="center"/>
    </xf>
    <xf numFmtId="0" fontId="8" fillId="5" borderId="0" xfId="0" applyFont="1" applyFill="1" applyBorder="1" applyAlignment="1" applyProtection="1">
      <alignment vertical="center"/>
    </xf>
    <xf numFmtId="0" fontId="15" fillId="5" borderId="12" xfId="0" applyFont="1" applyFill="1" applyBorder="1" applyAlignment="1" applyProtection="1">
      <alignment vertical="center"/>
    </xf>
    <xf numFmtId="0" fontId="8" fillId="5" borderId="14" xfId="0" applyFont="1" applyFill="1" applyBorder="1" applyAlignment="1" applyProtection="1">
      <alignment vertical="center"/>
    </xf>
    <xf numFmtId="0" fontId="8" fillId="5" borderId="15" xfId="0" applyFont="1" applyFill="1" applyBorder="1" applyAlignment="1" applyProtection="1">
      <alignment vertical="center"/>
    </xf>
    <xf numFmtId="0" fontId="8" fillId="5" borderId="16" xfId="0" applyFont="1" applyFill="1" applyBorder="1" applyAlignment="1" applyProtection="1">
      <alignment vertical="center"/>
    </xf>
    <xf numFmtId="0" fontId="8" fillId="5" borderId="11" xfId="0" applyFont="1" applyFill="1" applyBorder="1" applyAlignment="1" applyProtection="1">
      <alignment vertical="center"/>
    </xf>
    <xf numFmtId="0" fontId="9" fillId="5" borderId="17" xfId="0" applyFont="1" applyFill="1" applyBorder="1" applyAlignment="1" applyProtection="1">
      <alignment horizontal="center" vertical="center"/>
    </xf>
    <xf numFmtId="0" fontId="9" fillId="5" borderId="11" xfId="0" applyFont="1" applyFill="1" applyBorder="1" applyAlignment="1" applyProtection="1">
      <alignment vertical="center"/>
    </xf>
    <xf numFmtId="0" fontId="9" fillId="5" borderId="18" xfId="0" applyFont="1" applyFill="1" applyBorder="1" applyAlignment="1" applyProtection="1">
      <alignment horizontal="center" vertical="center"/>
    </xf>
    <xf numFmtId="0" fontId="13" fillId="5" borderId="7" xfId="0" applyFont="1" applyFill="1" applyBorder="1" applyAlignment="1" applyProtection="1">
      <alignment vertical="center"/>
    </xf>
    <xf numFmtId="0" fontId="4" fillId="5" borderId="7" xfId="0" applyFont="1" applyFill="1" applyBorder="1" applyAlignment="1" applyProtection="1">
      <alignment horizontal="right" vertical="center"/>
    </xf>
    <xf numFmtId="0" fontId="4" fillId="5" borderId="7" xfId="0" applyFont="1" applyFill="1" applyBorder="1" applyAlignment="1" applyProtection="1">
      <alignment vertical="center"/>
    </xf>
    <xf numFmtId="0" fontId="4" fillId="5" borderId="8" xfId="0" applyFont="1" applyFill="1" applyBorder="1" applyAlignment="1" applyProtection="1">
      <alignment vertical="center"/>
    </xf>
    <xf numFmtId="0" fontId="13" fillId="5" borderId="14" xfId="0" applyFont="1" applyFill="1" applyBorder="1" applyAlignment="1" applyProtection="1">
      <alignment vertical="center"/>
    </xf>
    <xf numFmtId="0" fontId="4" fillId="5" borderId="14" xfId="0" applyFont="1" applyFill="1" applyBorder="1" applyAlignment="1" applyProtection="1">
      <alignment horizontal="right" vertical="center"/>
    </xf>
    <xf numFmtId="0" fontId="4" fillId="5" borderId="14" xfId="0" applyFont="1" applyFill="1" applyBorder="1" applyAlignment="1" applyProtection="1">
      <alignment horizontal="center" vertical="center"/>
    </xf>
    <xf numFmtId="0" fontId="4" fillId="5" borderId="14" xfId="0" applyFont="1" applyFill="1" applyBorder="1" applyAlignment="1" applyProtection="1">
      <alignment vertical="center"/>
    </xf>
    <xf numFmtId="0" fontId="4" fillId="5" borderId="15" xfId="0" applyFont="1" applyFill="1" applyBorder="1" applyAlignment="1" applyProtection="1">
      <alignment vertical="center"/>
    </xf>
    <xf numFmtId="0" fontId="14" fillId="5" borderId="14" xfId="0" applyFont="1" applyFill="1" applyBorder="1" applyAlignment="1" applyProtection="1">
      <alignment vertical="center"/>
    </xf>
    <xf numFmtId="0" fontId="14" fillId="5" borderId="15" xfId="0" applyFont="1" applyFill="1" applyBorder="1" applyAlignment="1" applyProtection="1">
      <alignment horizontal="center" vertical="center"/>
    </xf>
    <xf numFmtId="0" fontId="8" fillId="5" borderId="19" xfId="0" applyFont="1" applyFill="1" applyBorder="1" applyAlignment="1" applyProtection="1">
      <alignment vertical="center"/>
    </xf>
    <xf numFmtId="0" fontId="8" fillId="5" borderId="20" xfId="0" applyFont="1" applyFill="1" applyBorder="1" applyAlignment="1" applyProtection="1">
      <alignment vertical="center"/>
    </xf>
    <xf numFmtId="0" fontId="13" fillId="5" borderId="21" xfId="0" applyFont="1" applyFill="1" applyBorder="1" applyAlignment="1" applyProtection="1">
      <alignment vertical="center"/>
    </xf>
    <xf numFmtId="0" fontId="13" fillId="5" borderId="0" xfId="0" applyFont="1" applyFill="1" applyAlignment="1" applyProtection="1">
      <alignment vertical="center"/>
    </xf>
    <xf numFmtId="0" fontId="13" fillId="5" borderId="0" xfId="0" applyFont="1" applyFill="1" applyBorder="1" applyAlignment="1" applyProtection="1">
      <alignment vertical="center"/>
    </xf>
    <xf numFmtId="0" fontId="0" fillId="5" borderId="0" xfId="0" applyFill="1"/>
    <xf numFmtId="0" fontId="6" fillId="6" borderId="12" xfId="0" applyFont="1" applyFill="1" applyBorder="1"/>
    <xf numFmtId="0" fontId="6" fillId="7" borderId="12" xfId="0" applyFont="1" applyFill="1" applyBorder="1"/>
    <xf numFmtId="0" fontId="0" fillId="7" borderId="7" xfId="0" applyFill="1" applyBorder="1"/>
    <xf numFmtId="0" fontId="0" fillId="7" borderId="8" xfId="0" applyFill="1" applyBorder="1"/>
    <xf numFmtId="0" fontId="6" fillId="7" borderId="8" xfId="0" applyFont="1" applyFill="1" applyBorder="1"/>
    <xf numFmtId="0" fontId="3" fillId="5" borderId="0" xfId="0" applyFont="1" applyFill="1"/>
    <xf numFmtId="0" fontId="3" fillId="5" borderId="12" xfId="0" applyFont="1" applyFill="1" applyBorder="1"/>
    <xf numFmtId="0" fontId="0" fillId="5" borderId="7" xfId="0" applyFill="1" applyBorder="1"/>
    <xf numFmtId="0" fontId="0" fillId="5" borderId="12" xfId="0" applyFill="1" applyBorder="1"/>
    <xf numFmtId="0" fontId="8" fillId="5" borderId="22" xfId="0" applyFont="1" applyFill="1" applyBorder="1"/>
    <xf numFmtId="0" fontId="8" fillId="5" borderId="22" xfId="0" applyFont="1" applyFill="1" applyBorder="1" applyAlignment="1">
      <alignment horizontal="center"/>
    </xf>
    <xf numFmtId="0" fontId="11" fillId="5" borderId="22" xfId="0" applyFont="1" applyFill="1" applyBorder="1" applyAlignment="1">
      <alignment horizontal="center"/>
    </xf>
    <xf numFmtId="0" fontId="0" fillId="5" borderId="23" xfId="0" applyFill="1" applyBorder="1" applyAlignment="1">
      <alignment horizontal="center"/>
    </xf>
    <xf numFmtId="0" fontId="3" fillId="5" borderId="24" xfId="0" applyFont="1" applyFill="1" applyBorder="1"/>
    <xf numFmtId="0" fontId="0" fillId="5" borderId="0" xfId="0" applyFill="1" applyBorder="1"/>
    <xf numFmtId="0" fontId="0" fillId="5" borderId="24" xfId="0" applyFill="1" applyBorder="1"/>
    <xf numFmtId="0" fontId="0" fillId="5" borderId="25" xfId="0" applyFill="1" applyBorder="1" applyAlignment="1">
      <alignment horizontal="center"/>
    </xf>
    <xf numFmtId="0" fontId="0" fillId="5" borderId="22" xfId="0" applyFill="1" applyBorder="1" applyAlignment="1">
      <alignment horizontal="center"/>
    </xf>
    <xf numFmtId="0" fontId="8" fillId="5" borderId="0" xfId="0" applyFont="1" applyFill="1"/>
    <xf numFmtId="0" fontId="8" fillId="5" borderId="26" xfId="0" applyFont="1" applyFill="1" applyBorder="1"/>
    <xf numFmtId="0" fontId="8" fillId="5" borderId="26" xfId="0" applyFont="1" applyFill="1" applyBorder="1" applyAlignment="1">
      <alignment horizontal="center"/>
    </xf>
    <xf numFmtId="0" fontId="0" fillId="5" borderId="26" xfId="0" applyFill="1" applyBorder="1" applyAlignment="1">
      <alignment horizontal="center"/>
    </xf>
    <xf numFmtId="0" fontId="8" fillId="5" borderId="0" xfId="0" applyFont="1" applyFill="1" applyBorder="1" applyAlignment="1">
      <alignment horizontal="center"/>
    </xf>
    <xf numFmtId="0" fontId="8" fillId="5" borderId="23" xfId="0" applyFont="1" applyFill="1" applyBorder="1" applyAlignment="1">
      <alignment horizontal="center"/>
    </xf>
    <xf numFmtId="0" fontId="13" fillId="5" borderId="25" xfId="0" applyFont="1" applyFill="1" applyBorder="1" applyAlignment="1" applyProtection="1">
      <alignment horizontal="center"/>
    </xf>
    <xf numFmtId="0" fontId="0" fillId="5" borderId="25" xfId="0" applyFill="1" applyBorder="1"/>
    <xf numFmtId="0" fontId="6" fillId="6" borderId="16" xfId="0" applyFont="1" applyFill="1" applyBorder="1"/>
    <xf numFmtId="0" fontId="0" fillId="6" borderId="18" xfId="0" applyFill="1" applyBorder="1"/>
    <xf numFmtId="0" fontId="0" fillId="5" borderId="24" xfId="0" applyFill="1" applyBorder="1" applyAlignment="1">
      <alignment horizontal="center"/>
    </xf>
    <xf numFmtId="0" fontId="0" fillId="5" borderId="24" xfId="0" applyFill="1" applyBorder="1" applyAlignment="1">
      <alignment horizontal="right"/>
    </xf>
    <xf numFmtId="169" fontId="13" fillId="5" borderId="25" xfId="0" applyNumberFormat="1" applyFont="1" applyFill="1" applyBorder="1" applyAlignment="1" applyProtection="1">
      <alignment horizontal="center"/>
    </xf>
    <xf numFmtId="0" fontId="3" fillId="5" borderId="21" xfId="0" applyFont="1" applyFill="1" applyBorder="1"/>
    <xf numFmtId="0" fontId="0" fillId="5" borderId="14" xfId="0" applyFill="1" applyBorder="1"/>
    <xf numFmtId="0" fontId="0" fillId="5" borderId="21" xfId="0" applyFill="1" applyBorder="1" applyAlignment="1">
      <alignment horizontal="right"/>
    </xf>
    <xf numFmtId="0" fontId="3" fillId="5" borderId="0" xfId="0" applyFont="1" applyFill="1" applyBorder="1"/>
    <xf numFmtId="0" fontId="6" fillId="6" borderId="7" xfId="0" applyFont="1" applyFill="1" applyBorder="1"/>
    <xf numFmtId="0" fontId="6" fillId="6" borderId="8" xfId="0" applyFont="1" applyFill="1" applyBorder="1"/>
    <xf numFmtId="0" fontId="21" fillId="6" borderId="21" xfId="0" applyFont="1" applyFill="1" applyBorder="1"/>
    <xf numFmtId="0" fontId="6" fillId="6" borderId="14" xfId="0" applyFont="1" applyFill="1" applyBorder="1"/>
    <xf numFmtId="0" fontId="6" fillId="6" borderId="15" xfId="0" applyFont="1" applyFill="1" applyBorder="1"/>
    <xf numFmtId="0" fontId="13" fillId="5" borderId="15" xfId="0" applyFont="1" applyFill="1" applyBorder="1" applyAlignment="1" applyProtection="1">
      <alignment horizontal="center"/>
    </xf>
    <xf numFmtId="0" fontId="13" fillId="5" borderId="24" xfId="0" applyFont="1" applyFill="1" applyBorder="1" applyAlignment="1" applyProtection="1">
      <alignment vertical="center"/>
    </xf>
    <xf numFmtId="0" fontId="4" fillId="5" borderId="0" xfId="0" applyFont="1" applyFill="1" applyBorder="1" applyAlignment="1" applyProtection="1">
      <alignment horizontal="right" vertical="center"/>
    </xf>
    <xf numFmtId="2" fontId="13" fillId="5" borderId="0" xfId="0" applyNumberFormat="1" applyFont="1" applyFill="1" applyBorder="1" applyAlignment="1" applyProtection="1">
      <alignment horizontal="center" vertical="center"/>
    </xf>
    <xf numFmtId="0" fontId="4" fillId="5" borderId="25" xfId="0" applyFont="1" applyFill="1" applyBorder="1" applyAlignment="1" applyProtection="1">
      <alignment horizontal="left" vertical="center"/>
    </xf>
    <xf numFmtId="2" fontId="13" fillId="5" borderId="14" xfId="0" applyNumberFormat="1" applyFont="1" applyFill="1" applyBorder="1" applyAlignment="1" applyProtection="1">
      <alignment horizontal="center" vertical="center"/>
    </xf>
    <xf numFmtId="0" fontId="4" fillId="5" borderId="15" xfId="0" applyFont="1" applyFill="1" applyBorder="1" applyAlignment="1" applyProtection="1">
      <alignment horizontal="left" vertical="center"/>
    </xf>
    <xf numFmtId="0" fontId="0" fillId="6" borderId="7" xfId="0" applyFill="1" applyBorder="1"/>
    <xf numFmtId="0" fontId="0" fillId="6" borderId="8" xfId="0" applyFill="1" applyBorder="1"/>
    <xf numFmtId="0" fontId="6" fillId="6" borderId="11" xfId="0" applyFont="1" applyFill="1" applyBorder="1"/>
    <xf numFmtId="0" fontId="21" fillId="6" borderId="11" xfId="0" applyFont="1" applyFill="1" applyBorder="1" applyAlignment="1">
      <alignment horizontal="right"/>
    </xf>
    <xf numFmtId="0" fontId="21" fillId="6" borderId="11" xfId="0" applyFont="1" applyFill="1" applyBorder="1"/>
    <xf numFmtId="0" fontId="21" fillId="6" borderId="18" xfId="0" applyFont="1" applyFill="1" applyBorder="1" applyAlignment="1">
      <alignment horizontal="center"/>
    </xf>
    <xf numFmtId="0" fontId="19" fillId="5" borderId="22" xfId="0" applyFont="1" applyFill="1" applyBorder="1" applyAlignment="1">
      <alignment horizontal="left"/>
    </xf>
    <xf numFmtId="0" fontId="19" fillId="5" borderId="22" xfId="0" applyFont="1" applyFill="1" applyBorder="1" applyAlignment="1">
      <alignment horizontal="center"/>
    </xf>
    <xf numFmtId="0" fontId="19" fillId="5" borderId="24" xfId="0" applyFont="1" applyFill="1" applyBorder="1" applyAlignment="1">
      <alignment horizontal="center"/>
    </xf>
    <xf numFmtId="0" fontId="22" fillId="5" borderId="25" xfId="0" applyFont="1" applyFill="1" applyBorder="1" applyAlignment="1">
      <alignment horizontal="center"/>
    </xf>
    <xf numFmtId="0" fontId="0" fillId="5" borderId="0" xfId="0" applyFill="1" applyBorder="1" applyAlignment="1">
      <alignment horizontal="center"/>
    </xf>
    <xf numFmtId="0" fontId="23" fillId="5" borderId="22" xfId="0" applyFont="1" applyFill="1" applyBorder="1" applyAlignment="1">
      <alignment horizontal="left"/>
    </xf>
    <xf numFmtId="0" fontId="19" fillId="5" borderId="25" xfId="0" applyFont="1" applyFill="1" applyBorder="1" applyAlignment="1">
      <alignment horizontal="center"/>
    </xf>
    <xf numFmtId="0" fontId="8" fillId="5" borderId="23" xfId="0" applyFont="1" applyFill="1" applyBorder="1" applyAlignment="1">
      <alignment horizontal="left"/>
    </xf>
    <xf numFmtId="0" fontId="0" fillId="5" borderId="23" xfId="0" applyFill="1" applyBorder="1"/>
    <xf numFmtId="169" fontId="8" fillId="5" borderId="23" xfId="0" applyNumberFormat="1" applyFont="1" applyFill="1" applyBorder="1" applyAlignment="1">
      <alignment horizontal="center"/>
    </xf>
    <xf numFmtId="1" fontId="8" fillId="5" borderId="22" xfId="0" applyNumberFormat="1" applyFont="1" applyFill="1" applyBorder="1" applyAlignment="1">
      <alignment horizontal="left"/>
    </xf>
    <xf numFmtId="1" fontId="8" fillId="5" borderId="22" xfId="0" applyNumberFormat="1" applyFont="1" applyFill="1" applyBorder="1" applyAlignment="1">
      <alignment horizontal="center"/>
    </xf>
    <xf numFmtId="169" fontId="8" fillId="5" borderId="22" xfId="0" applyNumberFormat="1" applyFont="1" applyFill="1" applyBorder="1" applyAlignment="1">
      <alignment horizontal="center"/>
    </xf>
    <xf numFmtId="1" fontId="0" fillId="5" borderId="0" xfId="0" applyNumberFormat="1" applyFill="1" applyBorder="1" applyAlignment="1">
      <alignment horizontal="center"/>
    </xf>
    <xf numFmtId="0" fontId="0" fillId="5" borderId="21" xfId="0" applyFill="1" applyBorder="1"/>
    <xf numFmtId="0" fontId="13" fillId="5" borderId="0" xfId="0" applyFont="1" applyFill="1" applyAlignment="1" applyProtection="1">
      <alignment horizontal="right" vertical="center"/>
    </xf>
    <xf numFmtId="0" fontId="13" fillId="5" borderId="0" xfId="0" applyFont="1" applyFill="1" applyProtection="1"/>
    <xf numFmtId="0" fontId="13" fillId="5" borderId="12" xfId="0" applyFont="1" applyFill="1" applyBorder="1" applyProtection="1"/>
    <xf numFmtId="0" fontId="13" fillId="5" borderId="8" xfId="0" applyFont="1" applyFill="1" applyBorder="1" applyProtection="1"/>
    <xf numFmtId="0" fontId="13" fillId="5" borderId="25" xfId="0" applyFont="1" applyFill="1" applyBorder="1" applyProtection="1"/>
    <xf numFmtId="0" fontId="13" fillId="5" borderId="15" xfId="0" applyFont="1" applyFill="1" applyBorder="1" applyProtection="1"/>
    <xf numFmtId="0" fontId="13" fillId="5" borderId="0" xfId="0" applyFont="1" applyFill="1" applyBorder="1" applyAlignment="1" applyProtection="1">
      <alignment horizontal="center" vertical="center"/>
    </xf>
    <xf numFmtId="165" fontId="13" fillId="5" borderId="0" xfId="0" applyNumberFormat="1" applyFont="1" applyFill="1" applyBorder="1" applyAlignment="1" applyProtection="1">
      <alignment horizontal="center" vertical="center"/>
    </xf>
    <xf numFmtId="167" fontId="13" fillId="5" borderId="0" xfId="0" applyNumberFormat="1" applyFont="1" applyFill="1" applyBorder="1" applyAlignment="1" applyProtection="1">
      <alignment horizontal="center" vertical="center"/>
    </xf>
    <xf numFmtId="170" fontId="13" fillId="5" borderId="0" xfId="0" applyNumberFormat="1" applyFont="1" applyFill="1" applyBorder="1" applyAlignment="1" applyProtection="1">
      <alignment horizontal="center" vertical="center"/>
    </xf>
    <xf numFmtId="0" fontId="15" fillId="5" borderId="0" xfId="0" applyFont="1" applyFill="1" applyBorder="1" applyAlignment="1" applyProtection="1">
      <alignment vertical="center"/>
    </xf>
    <xf numFmtId="0" fontId="4" fillId="5" borderId="0" xfId="0" applyFont="1" applyFill="1" applyBorder="1" applyAlignment="1" applyProtection="1">
      <alignment horizontal="left" vertical="center"/>
    </xf>
    <xf numFmtId="0" fontId="4" fillId="5" borderId="0" xfId="0" applyFont="1" applyFill="1" applyBorder="1" applyAlignment="1" applyProtection="1">
      <alignment vertical="center"/>
    </xf>
    <xf numFmtId="0" fontId="0" fillId="5" borderId="8" xfId="0" applyFill="1" applyBorder="1" applyAlignment="1" applyProtection="1">
      <alignment horizontal="center"/>
      <protection locked="0"/>
    </xf>
    <xf numFmtId="0" fontId="0" fillId="5" borderId="25" xfId="0" applyFill="1" applyBorder="1" applyAlignment="1" applyProtection="1">
      <alignment horizontal="center"/>
      <protection locked="0"/>
    </xf>
    <xf numFmtId="0" fontId="0" fillId="5" borderId="15" xfId="0" applyFill="1" applyBorder="1" applyAlignment="1" applyProtection="1">
      <alignment horizontal="center"/>
      <protection locked="0"/>
    </xf>
    <xf numFmtId="0" fontId="0" fillId="5" borderId="0" xfId="0" applyFill="1" applyAlignment="1">
      <alignment horizontal="left"/>
    </xf>
    <xf numFmtId="0" fontId="13" fillId="4" borderId="9" xfId="0" applyFont="1" applyFill="1" applyBorder="1" applyAlignment="1" applyProtection="1">
      <alignment horizontal="left"/>
    </xf>
    <xf numFmtId="0" fontId="13" fillId="5" borderId="0" xfId="0" applyFont="1" applyFill="1" applyBorder="1" applyProtection="1"/>
    <xf numFmtId="0" fontId="8" fillId="5" borderId="0" xfId="0" applyFont="1" applyFill="1" applyBorder="1" applyAlignment="1">
      <alignment horizontal="center" vertical="center"/>
    </xf>
    <xf numFmtId="0" fontId="8" fillId="5" borderId="0" xfId="0" applyFont="1" applyFill="1" applyBorder="1" applyAlignment="1">
      <alignment horizontal="left"/>
    </xf>
    <xf numFmtId="0" fontId="8" fillId="5" borderId="0" xfId="0" applyFont="1" applyFill="1" applyBorder="1" applyAlignment="1">
      <alignment horizontal="left" vertical="center"/>
    </xf>
    <xf numFmtId="0" fontId="8" fillId="5" borderId="0" xfId="0" applyFont="1" applyFill="1" applyBorder="1" applyAlignment="1">
      <alignment vertical="center"/>
    </xf>
    <xf numFmtId="165" fontId="8" fillId="5" borderId="0" xfId="0" applyNumberFormat="1" applyFont="1" applyFill="1" applyBorder="1" applyAlignment="1">
      <alignment horizontal="center" vertical="center"/>
    </xf>
    <xf numFmtId="0" fontId="8" fillId="5" borderId="7" xfId="0" applyFont="1" applyFill="1" applyBorder="1" applyAlignment="1">
      <alignment vertical="center"/>
    </xf>
    <xf numFmtId="0" fontId="13" fillId="5" borderId="14" xfId="0" applyFont="1" applyFill="1" applyBorder="1" applyProtection="1"/>
    <xf numFmtId="0" fontId="13" fillId="5" borderId="0" xfId="0" applyFont="1" applyFill="1" applyBorder="1" applyAlignment="1" applyProtection="1">
      <alignment horizontal="center"/>
    </xf>
    <xf numFmtId="0" fontId="13" fillId="5" borderId="7" xfId="0" applyFont="1" applyFill="1" applyBorder="1" applyProtection="1"/>
    <xf numFmtId="165" fontId="8" fillId="5" borderId="0" xfId="0" applyNumberFormat="1" applyFont="1" applyFill="1" applyBorder="1" applyAlignment="1">
      <alignment vertical="center"/>
    </xf>
    <xf numFmtId="49" fontId="8" fillId="5" borderId="0" xfId="0" applyNumberFormat="1" applyFont="1" applyFill="1" applyBorder="1" applyAlignment="1">
      <alignment horizontal="center" vertical="center"/>
    </xf>
    <xf numFmtId="0" fontId="18" fillId="5" borderId="12" xfId="0" applyFont="1" applyFill="1" applyBorder="1" applyProtection="1"/>
    <xf numFmtId="0" fontId="8" fillId="5" borderId="7" xfId="0" applyFont="1" applyFill="1" applyBorder="1" applyAlignment="1">
      <alignment horizontal="left" vertical="center"/>
    </xf>
    <xf numFmtId="165" fontId="8" fillId="5" borderId="7" xfId="0" applyNumberFormat="1" applyFont="1" applyFill="1" applyBorder="1" applyAlignment="1">
      <alignment horizontal="center" vertical="center"/>
    </xf>
    <xf numFmtId="0" fontId="17" fillId="5" borderId="7" xfId="0" applyFont="1" applyFill="1" applyBorder="1" applyAlignment="1">
      <alignment horizontal="center"/>
    </xf>
    <xf numFmtId="0" fontId="8" fillId="5" borderId="7" xfId="0" applyFont="1" applyFill="1" applyBorder="1" applyAlignment="1" applyProtection="1">
      <alignment horizontal="left" vertical="center"/>
    </xf>
    <xf numFmtId="0" fontId="6" fillId="7" borderId="23" xfId="0" applyFont="1" applyFill="1" applyBorder="1"/>
    <xf numFmtId="0" fontId="0" fillId="5" borderId="0" xfId="0" applyFill="1" applyAlignment="1">
      <alignment horizontal="right"/>
    </xf>
    <xf numFmtId="0" fontId="8" fillId="5" borderId="24" xfId="0" applyFont="1" applyFill="1" applyBorder="1" applyAlignment="1" applyProtection="1">
      <alignment vertical="center"/>
    </xf>
    <xf numFmtId="0" fontId="13" fillId="5" borderId="27" xfId="0" applyFont="1" applyFill="1" applyBorder="1" applyProtection="1"/>
    <xf numFmtId="0" fontId="13" fillId="5" borderId="28" xfId="0" applyFont="1" applyFill="1" applyBorder="1" applyProtection="1"/>
    <xf numFmtId="0" fontId="13" fillId="5" borderId="10" xfId="0" applyFont="1" applyFill="1" applyBorder="1" applyProtection="1"/>
    <xf numFmtId="0" fontId="13" fillId="5" borderId="13" xfId="0" applyFont="1" applyFill="1" applyBorder="1" applyProtection="1"/>
    <xf numFmtId="0" fontId="8" fillId="5" borderId="29" xfId="0" applyFont="1" applyFill="1" applyBorder="1" applyAlignment="1" applyProtection="1">
      <alignment vertical="center"/>
    </xf>
    <xf numFmtId="0" fontId="0" fillId="5" borderId="24" xfId="0" applyFill="1" applyBorder="1" applyAlignment="1">
      <alignment horizontal="left"/>
    </xf>
    <xf numFmtId="0" fontId="0" fillId="5" borderId="21" xfId="0" applyFill="1" applyBorder="1" applyAlignment="1">
      <alignment horizontal="left"/>
    </xf>
    <xf numFmtId="0" fontId="0" fillId="5" borderId="21" xfId="0" applyFill="1" applyBorder="1" applyAlignment="1">
      <alignment horizontal="center"/>
    </xf>
    <xf numFmtId="0" fontId="0" fillId="5" borderId="15" xfId="0" applyFill="1" applyBorder="1" applyAlignment="1">
      <alignment horizontal="center"/>
    </xf>
    <xf numFmtId="0" fontId="0" fillId="5" borderId="12" xfId="0" applyFill="1" applyBorder="1" applyAlignment="1">
      <alignment horizontal="center"/>
    </xf>
    <xf numFmtId="0" fontId="0" fillId="5" borderId="8" xfId="0" applyFill="1" applyBorder="1" applyAlignment="1">
      <alignment horizontal="center"/>
    </xf>
    <xf numFmtId="0" fontId="13" fillId="8" borderId="9" xfId="0" applyFont="1" applyFill="1" applyBorder="1" applyProtection="1"/>
    <xf numFmtId="0" fontId="0" fillId="8" borderId="9" xfId="0" applyFill="1" applyBorder="1"/>
    <xf numFmtId="0" fontId="13" fillId="5" borderId="30" xfId="0" applyFont="1" applyFill="1" applyBorder="1" applyProtection="1"/>
    <xf numFmtId="0" fontId="13" fillId="5" borderId="31" xfId="0" applyFont="1" applyFill="1" applyBorder="1" applyProtection="1"/>
    <xf numFmtId="0" fontId="13" fillId="5" borderId="32" xfId="0" applyFont="1" applyFill="1" applyBorder="1" applyProtection="1"/>
    <xf numFmtId="0" fontId="8" fillId="5" borderId="7" xfId="0" applyFont="1" applyFill="1" applyBorder="1" applyAlignment="1" applyProtection="1">
      <alignment horizontal="center" vertical="center"/>
    </xf>
    <xf numFmtId="0" fontId="0" fillId="5" borderId="8" xfId="0" applyFill="1" applyBorder="1"/>
    <xf numFmtId="0" fontId="0" fillId="5" borderId="15" xfId="0" applyFill="1" applyBorder="1"/>
    <xf numFmtId="0" fontId="13" fillId="5" borderId="10" xfId="0" applyFont="1" applyFill="1" applyBorder="1" applyAlignment="1" applyProtection="1">
      <alignment horizontal="center"/>
    </xf>
    <xf numFmtId="0" fontId="13" fillId="5" borderId="13" xfId="0" applyFont="1" applyFill="1" applyBorder="1" applyAlignment="1" applyProtection="1">
      <alignment horizontal="center"/>
    </xf>
    <xf numFmtId="0" fontId="8" fillId="5" borderId="25" xfId="0" applyFont="1" applyFill="1" applyBorder="1" applyAlignment="1">
      <alignment horizontal="right" vertical="center"/>
    </xf>
    <xf numFmtId="0" fontId="24" fillId="5" borderId="33" xfId="0" applyFont="1" applyFill="1" applyBorder="1" applyAlignment="1">
      <alignment horizontal="right" vertical="center"/>
    </xf>
    <xf numFmtId="0" fontId="24" fillId="5" borderId="34" xfId="0" applyFont="1" applyFill="1" applyBorder="1" applyAlignment="1">
      <alignment horizontal="right" vertical="center"/>
    </xf>
    <xf numFmtId="0" fontId="0" fillId="5" borderId="10" xfId="0" applyFill="1" applyBorder="1" applyAlignment="1" applyProtection="1">
      <alignment horizontal="right"/>
    </xf>
    <xf numFmtId="0" fontId="13" fillId="5" borderId="35" xfId="0" applyFont="1" applyFill="1" applyBorder="1" applyProtection="1"/>
    <xf numFmtId="0" fontId="13" fillId="5" borderId="36" xfId="0" applyFont="1" applyFill="1" applyBorder="1" applyProtection="1"/>
    <xf numFmtId="0" fontId="13" fillId="5" borderId="37" xfId="0" applyFont="1" applyFill="1" applyBorder="1" applyProtection="1"/>
    <xf numFmtId="165" fontId="8" fillId="5" borderId="28" xfId="0" applyNumberFormat="1" applyFont="1" applyFill="1" applyBorder="1" applyAlignment="1">
      <alignment horizontal="center" vertical="center"/>
    </xf>
    <xf numFmtId="0" fontId="8" fillId="5" borderId="37" xfId="0" applyFont="1" applyFill="1" applyBorder="1" applyAlignment="1">
      <alignment horizontal="center" vertical="center"/>
    </xf>
    <xf numFmtId="0" fontId="8" fillId="5" borderId="37" xfId="0" applyFont="1" applyFill="1" applyBorder="1" applyAlignment="1">
      <alignment vertical="center"/>
    </xf>
    <xf numFmtId="0" fontId="8" fillId="5" borderId="28" xfId="0" applyFont="1" applyFill="1" applyBorder="1" applyAlignment="1">
      <alignment horizontal="right" vertical="center"/>
    </xf>
    <xf numFmtId="0" fontId="13" fillId="5" borderId="28" xfId="0" applyFont="1" applyFill="1" applyBorder="1" applyAlignment="1" applyProtection="1">
      <alignment horizontal="right"/>
    </xf>
    <xf numFmtId="165" fontId="8" fillId="5" borderId="28" xfId="0" applyNumberFormat="1" applyFont="1" applyFill="1" applyBorder="1" applyAlignment="1">
      <alignment horizontal="right" vertical="center"/>
    </xf>
    <xf numFmtId="0" fontId="8" fillId="5" borderId="28" xfId="0" applyFont="1" applyFill="1" applyBorder="1" applyAlignment="1">
      <alignment vertical="center"/>
    </xf>
    <xf numFmtId="0" fontId="13" fillId="5" borderId="37" xfId="0" applyFont="1" applyFill="1" applyBorder="1" applyAlignment="1" applyProtection="1">
      <alignment vertical="center"/>
    </xf>
    <xf numFmtId="0" fontId="13" fillId="5" borderId="28" xfId="0" applyFont="1" applyFill="1" applyBorder="1" applyAlignment="1" applyProtection="1">
      <alignment horizontal="center" vertical="center"/>
    </xf>
    <xf numFmtId="0" fontId="13" fillId="5" borderId="37" xfId="0" applyFont="1" applyFill="1" applyBorder="1" applyAlignment="1" applyProtection="1">
      <alignment horizontal="center" vertical="center"/>
    </xf>
    <xf numFmtId="0" fontId="0" fillId="5" borderId="10" xfId="0" applyFill="1" applyBorder="1" applyAlignment="1">
      <alignment horizontal="right"/>
    </xf>
    <xf numFmtId="0" fontId="8" fillId="5" borderId="10" xfId="0" applyFont="1" applyFill="1" applyBorder="1" applyAlignment="1">
      <alignment vertical="center"/>
    </xf>
    <xf numFmtId="0" fontId="0" fillId="5" borderId="13" xfId="0" applyFill="1" applyBorder="1"/>
    <xf numFmtId="0" fontId="8" fillId="5" borderId="10" xfId="0" applyFont="1" applyFill="1" applyBorder="1" applyAlignment="1" applyProtection="1">
      <alignment horizontal="right"/>
    </xf>
    <xf numFmtId="0" fontId="0" fillId="5" borderId="10" xfId="0" applyFill="1" applyBorder="1"/>
    <xf numFmtId="0" fontId="13" fillId="5" borderId="32" xfId="0" applyFont="1" applyFill="1" applyBorder="1" applyAlignment="1" applyProtection="1">
      <alignment horizontal="center"/>
    </xf>
    <xf numFmtId="169" fontId="13" fillId="5" borderId="32" xfId="0" applyNumberFormat="1" applyFont="1" applyFill="1" applyBorder="1" applyAlignment="1" applyProtection="1">
      <alignment horizontal="center"/>
    </xf>
    <xf numFmtId="0" fontId="13" fillId="5" borderId="17" xfId="0" applyFont="1" applyFill="1" applyBorder="1" applyAlignment="1" applyProtection="1">
      <alignment horizontal="center"/>
    </xf>
    <xf numFmtId="0" fontId="0" fillId="5" borderId="9" xfId="0" applyFill="1" applyBorder="1"/>
    <xf numFmtId="0" fontId="0" fillId="5" borderId="22" xfId="0" applyFill="1" applyBorder="1"/>
    <xf numFmtId="0" fontId="26" fillId="5" borderId="0" xfId="0" applyFont="1" applyFill="1" applyProtection="1"/>
    <xf numFmtId="0" fontId="24" fillId="5" borderId="0" xfId="0" applyFont="1" applyFill="1" applyProtection="1"/>
    <xf numFmtId="169" fontId="8" fillId="5" borderId="38" xfId="0" applyNumberFormat="1" applyFont="1" applyFill="1" applyBorder="1" applyAlignment="1">
      <alignment horizontal="right" vertical="center"/>
    </xf>
    <xf numFmtId="169" fontId="8" fillId="5" borderId="39" xfId="0" applyNumberFormat="1" applyFont="1" applyFill="1" applyBorder="1" applyAlignment="1">
      <alignment horizontal="right" vertical="center"/>
    </xf>
    <xf numFmtId="0" fontId="9" fillId="5" borderId="25" xfId="0" applyFont="1" applyFill="1" applyBorder="1" applyProtection="1"/>
    <xf numFmtId="0" fontId="9" fillId="5" borderId="25" xfId="0" applyFont="1" applyFill="1" applyBorder="1" applyAlignment="1" applyProtection="1">
      <alignment horizontal="center"/>
    </xf>
    <xf numFmtId="49" fontId="8" fillId="5" borderId="0" xfId="0" applyNumberFormat="1" applyFont="1" applyFill="1" applyBorder="1" applyAlignment="1">
      <alignment horizontal="left" vertical="center"/>
    </xf>
    <xf numFmtId="0" fontId="13" fillId="5" borderId="11" xfId="0" applyFont="1" applyFill="1" applyBorder="1" applyProtection="1"/>
    <xf numFmtId="0" fontId="8" fillId="5" borderId="40" xfId="0" applyFont="1" applyFill="1" applyBorder="1" applyAlignment="1">
      <alignment horizontal="center" vertical="center"/>
    </xf>
    <xf numFmtId="0" fontId="8" fillId="5" borderId="32" xfId="0" applyFont="1" applyFill="1" applyBorder="1" applyAlignment="1">
      <alignment horizontal="center"/>
    </xf>
    <xf numFmtId="0" fontId="13" fillId="5" borderId="17" xfId="0" applyFont="1" applyFill="1" applyBorder="1" applyAlignment="1" applyProtection="1">
      <alignment horizontal="center" vertical="center"/>
    </xf>
    <xf numFmtId="0" fontId="0" fillId="5" borderId="17" xfId="0" applyFill="1" applyBorder="1" applyAlignment="1">
      <alignment horizontal="center"/>
    </xf>
    <xf numFmtId="0" fontId="13" fillId="5" borderId="18" xfId="0" applyFont="1" applyFill="1" applyBorder="1" applyAlignment="1" applyProtection="1">
      <alignment horizontal="right"/>
    </xf>
    <xf numFmtId="0" fontId="6" fillId="6" borderId="24" xfId="0" applyFont="1" applyFill="1" applyBorder="1"/>
    <xf numFmtId="0" fontId="0" fillId="5" borderId="11" xfId="0" applyFill="1" applyBorder="1"/>
    <xf numFmtId="0" fontId="0" fillId="5" borderId="16" xfId="0" applyFill="1" applyBorder="1"/>
    <xf numFmtId="169" fontId="8" fillId="5" borderId="32" xfId="0" applyNumberFormat="1" applyFont="1" applyFill="1" applyBorder="1" applyAlignment="1">
      <alignment horizontal="center" vertical="center"/>
    </xf>
    <xf numFmtId="169" fontId="9" fillId="5" borderId="25" xfId="0" applyNumberFormat="1" applyFont="1" applyFill="1" applyBorder="1" applyAlignment="1">
      <alignment horizontal="center" vertical="center"/>
    </xf>
    <xf numFmtId="167" fontId="13" fillId="5" borderId="32" xfId="0" applyNumberFormat="1" applyFont="1" applyFill="1" applyBorder="1" applyAlignment="1" applyProtection="1">
      <alignment horizontal="center" vertical="center"/>
    </xf>
    <xf numFmtId="167" fontId="13" fillId="5" borderId="41" xfId="0" applyNumberFormat="1" applyFont="1" applyFill="1" applyBorder="1" applyAlignment="1" applyProtection="1">
      <alignment horizontal="center" vertical="center"/>
    </xf>
    <xf numFmtId="167" fontId="9" fillId="5" borderId="25" xfId="0" applyNumberFormat="1" applyFont="1" applyFill="1" applyBorder="1" applyAlignment="1" applyProtection="1">
      <alignment horizontal="center" vertical="center"/>
    </xf>
    <xf numFmtId="0" fontId="8" fillId="5" borderId="24" xfId="0" applyFont="1" applyFill="1" applyBorder="1" applyAlignment="1">
      <alignment vertical="center"/>
    </xf>
    <xf numFmtId="169" fontId="9" fillId="5" borderId="25" xfId="0" applyNumberFormat="1" applyFont="1" applyFill="1" applyBorder="1" applyAlignment="1" applyProtection="1">
      <alignment horizontal="center"/>
    </xf>
    <xf numFmtId="0" fontId="4" fillId="5" borderId="42" xfId="0" applyFont="1" applyFill="1" applyBorder="1" applyAlignment="1" applyProtection="1">
      <alignment horizontal="center"/>
    </xf>
    <xf numFmtId="0" fontId="18" fillId="5" borderId="16" xfId="0" applyFont="1" applyFill="1" applyBorder="1" applyProtection="1"/>
    <xf numFmtId="0" fontId="9" fillId="5" borderId="11" xfId="0" applyFont="1" applyFill="1" applyBorder="1" applyProtection="1"/>
    <xf numFmtId="0" fontId="9" fillId="5" borderId="8" xfId="0" applyFont="1" applyFill="1" applyBorder="1" applyAlignment="1" applyProtection="1">
      <alignment horizontal="center"/>
    </xf>
    <xf numFmtId="0" fontId="0" fillId="5" borderId="14" xfId="0" applyFill="1" applyBorder="1" applyAlignment="1">
      <alignment horizontal="center"/>
    </xf>
    <xf numFmtId="0" fontId="0" fillId="5" borderId="9" xfId="0" applyFill="1" applyBorder="1" applyAlignment="1">
      <alignment horizontal="center"/>
    </xf>
    <xf numFmtId="0" fontId="0" fillId="5" borderId="0" xfId="0" applyFill="1" applyBorder="1" applyAlignment="1">
      <alignment horizontal="left"/>
    </xf>
    <xf numFmtId="0" fontId="8" fillId="5" borderId="14" xfId="0" applyFont="1" applyFill="1" applyBorder="1" applyAlignment="1">
      <alignment horizontal="left"/>
    </xf>
    <xf numFmtId="0" fontId="6" fillId="7" borderId="7" xfId="0" applyFont="1" applyFill="1" applyBorder="1" applyAlignment="1">
      <alignment horizontal="left"/>
    </xf>
    <xf numFmtId="0" fontId="28" fillId="7" borderId="23" xfId="0" applyFont="1" applyFill="1" applyBorder="1" applyAlignment="1">
      <alignment horizontal="center"/>
    </xf>
    <xf numFmtId="0" fontId="6" fillId="7" borderId="23" xfId="0" applyFont="1" applyFill="1" applyBorder="1" applyAlignment="1">
      <alignment horizontal="center"/>
    </xf>
    <xf numFmtId="0" fontId="6" fillId="7" borderId="26" xfId="0" applyFont="1" applyFill="1" applyBorder="1" applyAlignment="1">
      <alignment horizontal="center"/>
    </xf>
    <xf numFmtId="0" fontId="6" fillId="7" borderId="14" xfId="0" applyFont="1" applyFill="1" applyBorder="1" applyAlignment="1">
      <alignment horizontal="left"/>
    </xf>
    <xf numFmtId="0" fontId="29" fillId="7" borderId="26" xfId="0" applyFont="1" applyFill="1" applyBorder="1" applyAlignment="1">
      <alignment horizontal="center"/>
    </xf>
    <xf numFmtId="0" fontId="0" fillId="5" borderId="26" xfId="0" applyFill="1" applyBorder="1"/>
    <xf numFmtId="0" fontId="8" fillId="5" borderId="0" xfId="0" applyFont="1" applyFill="1" applyBorder="1" applyProtection="1"/>
    <xf numFmtId="9" fontId="8" fillId="5" borderId="7" xfId="4" applyFont="1" applyFill="1" applyBorder="1" applyAlignment="1" applyProtection="1">
      <alignment horizontal="center" vertical="center"/>
    </xf>
    <xf numFmtId="0" fontId="8" fillId="5" borderId="43" xfId="0" applyFont="1" applyFill="1" applyBorder="1" applyAlignment="1" applyProtection="1">
      <alignment vertical="center"/>
    </xf>
    <xf numFmtId="0" fontId="8" fillId="5" borderId="30" xfId="0" applyFont="1" applyFill="1" applyBorder="1" applyAlignment="1" applyProtection="1">
      <alignment horizontal="center" vertical="center"/>
    </xf>
    <xf numFmtId="9" fontId="8" fillId="9" borderId="10" xfId="4" applyFont="1" applyFill="1" applyBorder="1" applyAlignment="1" applyProtection="1">
      <alignment horizontal="right" vertical="center"/>
    </xf>
    <xf numFmtId="0" fontId="8" fillId="5" borderId="44" xfId="0" applyFont="1" applyFill="1" applyBorder="1" applyAlignment="1" applyProtection="1">
      <alignment vertical="center"/>
    </xf>
    <xf numFmtId="165" fontId="8" fillId="5" borderId="7" xfId="0" applyNumberFormat="1" applyFont="1" applyFill="1" applyBorder="1" applyAlignment="1">
      <alignment vertical="center"/>
    </xf>
    <xf numFmtId="0" fontId="18" fillId="5" borderId="16" xfId="0" applyFont="1" applyFill="1" applyBorder="1" applyAlignment="1">
      <alignment vertical="center"/>
    </xf>
    <xf numFmtId="0" fontId="8" fillId="5" borderId="13" xfId="0" applyFont="1" applyFill="1" applyBorder="1" applyAlignment="1" applyProtection="1">
      <alignment horizontal="right" vertical="center"/>
    </xf>
    <xf numFmtId="1" fontId="0" fillId="5" borderId="0" xfId="0" applyNumberFormat="1" applyFill="1"/>
    <xf numFmtId="0" fontId="9" fillId="5" borderId="16" xfId="0" applyFont="1" applyFill="1" applyBorder="1" applyProtection="1"/>
    <xf numFmtId="0" fontId="13" fillId="5" borderId="18" xfId="0" applyFont="1" applyFill="1" applyBorder="1" applyProtection="1"/>
    <xf numFmtId="0" fontId="13" fillId="5" borderId="45" xfId="0" applyFont="1" applyFill="1" applyBorder="1" applyProtection="1"/>
    <xf numFmtId="0" fontId="0" fillId="5" borderId="46" xfId="0" applyFill="1" applyBorder="1"/>
    <xf numFmtId="0" fontId="13" fillId="5" borderId="47" xfId="0" applyFont="1" applyFill="1" applyBorder="1" applyProtection="1"/>
    <xf numFmtId="0" fontId="0" fillId="5" borderId="48" xfId="0" applyFill="1" applyBorder="1"/>
    <xf numFmtId="0" fontId="8" fillId="5" borderId="18" xfId="0" applyFont="1" applyFill="1" applyBorder="1"/>
    <xf numFmtId="0" fontId="13" fillId="0" borderId="16" xfId="0" applyFont="1" applyBorder="1" applyAlignment="1" applyProtection="1">
      <alignment vertical="center"/>
    </xf>
    <xf numFmtId="0" fontId="8" fillId="0" borderId="18" xfId="0" applyFont="1" applyBorder="1"/>
    <xf numFmtId="0" fontId="8" fillId="4" borderId="9" xfId="0" applyFont="1" applyFill="1" applyBorder="1" applyAlignment="1">
      <alignment horizontal="center"/>
    </xf>
    <xf numFmtId="0" fontId="0" fillId="4" borderId="9" xfId="0" applyFill="1" applyBorder="1" applyAlignment="1">
      <alignment horizontal="center"/>
    </xf>
    <xf numFmtId="0" fontId="0" fillId="7" borderId="26" xfId="0" applyFill="1" applyBorder="1"/>
    <xf numFmtId="0" fontId="4" fillId="5" borderId="9" xfId="0" applyFont="1" applyFill="1" applyBorder="1"/>
    <xf numFmtId="0" fontId="4" fillId="4" borderId="9" xfId="0" applyFont="1" applyFill="1" applyBorder="1"/>
    <xf numFmtId="2" fontId="8" fillId="5" borderId="32" xfId="0" applyNumberFormat="1" applyFont="1" applyFill="1" applyBorder="1" applyAlignment="1">
      <alignment horizontal="center"/>
    </xf>
    <xf numFmtId="0" fontId="8" fillId="5" borderId="12" xfId="0" applyFont="1" applyFill="1" applyBorder="1" applyAlignment="1">
      <alignment vertical="center"/>
    </xf>
    <xf numFmtId="0" fontId="9" fillId="5" borderId="7" xfId="0" applyFont="1" applyFill="1" applyBorder="1" applyAlignment="1">
      <alignment horizontal="center"/>
    </xf>
    <xf numFmtId="0" fontId="31" fillId="5" borderId="7" xfId="0" applyFont="1" applyFill="1" applyBorder="1" applyAlignment="1">
      <alignment horizontal="center"/>
    </xf>
    <xf numFmtId="0" fontId="9" fillId="5" borderId="0" xfId="0" applyFont="1" applyFill="1" applyBorder="1" applyAlignment="1">
      <alignment horizontal="center"/>
    </xf>
    <xf numFmtId="0" fontId="31" fillId="5" borderId="0" xfId="0" applyFont="1" applyFill="1" applyBorder="1" applyAlignment="1">
      <alignment horizontal="center"/>
    </xf>
    <xf numFmtId="0" fontId="8" fillId="5" borderId="21" xfId="0" applyFont="1" applyFill="1" applyBorder="1" applyAlignment="1">
      <alignment vertical="center"/>
    </xf>
    <xf numFmtId="0" fontId="9" fillId="5" borderId="14" xfId="0" applyFont="1" applyFill="1" applyBorder="1" applyAlignment="1">
      <alignment horizontal="center"/>
    </xf>
    <xf numFmtId="0" fontId="8" fillId="5" borderId="14" xfId="0" applyFont="1" applyFill="1" applyBorder="1" applyAlignment="1">
      <alignment horizontal="left" vertical="center"/>
    </xf>
    <xf numFmtId="0" fontId="31" fillId="5" borderId="14" xfId="0" applyFont="1" applyFill="1" applyBorder="1" applyAlignment="1">
      <alignment horizontal="center"/>
    </xf>
    <xf numFmtId="0" fontId="8" fillId="5" borderId="14" xfId="0" applyFont="1" applyFill="1" applyBorder="1" applyProtection="1"/>
    <xf numFmtId="169" fontId="9" fillId="5" borderId="49" xfId="0" applyNumberFormat="1" applyFont="1" applyFill="1" applyBorder="1" applyProtection="1"/>
    <xf numFmtId="0" fontId="8" fillId="5" borderId="7" xfId="0" applyFont="1" applyFill="1" applyBorder="1" applyAlignment="1" applyProtection="1">
      <alignment horizontal="left"/>
    </xf>
    <xf numFmtId="0" fontId="28" fillId="5" borderId="0" xfId="0" applyFont="1" applyFill="1" applyProtection="1"/>
    <xf numFmtId="0" fontId="0" fillId="5" borderId="0" xfId="0" applyFill="1" applyAlignment="1">
      <alignment horizontal="center"/>
    </xf>
    <xf numFmtId="0" fontId="4" fillId="5" borderId="32" xfId="0" applyFont="1" applyFill="1" applyBorder="1" applyAlignment="1">
      <alignment horizontal="center" vertical="center"/>
    </xf>
    <xf numFmtId="2" fontId="9" fillId="5" borderId="25" xfId="0" applyNumberFormat="1" applyFont="1" applyFill="1" applyBorder="1" applyAlignment="1" applyProtection="1">
      <alignment horizontal="center" vertical="center"/>
    </xf>
    <xf numFmtId="2" fontId="8" fillId="5" borderId="32" xfId="0" applyNumberFormat="1" applyFont="1" applyFill="1" applyBorder="1" applyAlignment="1">
      <alignment horizontal="center" vertical="center"/>
    </xf>
    <xf numFmtId="172" fontId="8" fillId="5" borderId="32" xfId="4" applyNumberFormat="1" applyFont="1" applyFill="1" applyBorder="1" applyAlignment="1">
      <alignment horizontal="center" vertical="center"/>
    </xf>
    <xf numFmtId="169" fontId="13" fillId="5" borderId="32" xfId="0" applyNumberFormat="1" applyFont="1" applyFill="1" applyBorder="1" applyAlignment="1" applyProtection="1">
      <alignment horizontal="center" vertical="center"/>
    </xf>
    <xf numFmtId="169" fontId="13" fillId="5" borderId="32" xfId="4" applyNumberFormat="1" applyFont="1" applyFill="1" applyBorder="1" applyAlignment="1" applyProtection="1">
      <alignment horizontal="center" vertical="center"/>
    </xf>
    <xf numFmtId="0" fontId="24" fillId="5" borderId="0" xfId="0" applyFont="1" applyFill="1" applyProtection="1">
      <protection locked="0"/>
    </xf>
    <xf numFmtId="165" fontId="9" fillId="10" borderId="0" xfId="0" applyNumberFormat="1" applyFont="1" applyFill="1" applyAlignment="1" applyProtection="1">
      <alignment horizontal="right" vertical="center"/>
      <protection locked="0"/>
    </xf>
    <xf numFmtId="0" fontId="18" fillId="10" borderId="9" xfId="0" applyFont="1" applyFill="1" applyBorder="1" applyProtection="1">
      <protection locked="0"/>
    </xf>
    <xf numFmtId="0" fontId="13" fillId="10" borderId="37" xfId="0" applyFont="1" applyFill="1" applyBorder="1" applyProtection="1"/>
    <xf numFmtId="0" fontId="13" fillId="10" borderId="50" xfId="0" applyFont="1" applyFill="1" applyBorder="1" applyProtection="1"/>
    <xf numFmtId="0" fontId="9" fillId="10" borderId="10" xfId="0" applyFont="1" applyFill="1" applyBorder="1" applyAlignment="1" applyProtection="1">
      <alignment horizontal="right" vertical="center"/>
      <protection locked="0"/>
    </xf>
    <xf numFmtId="0" fontId="8" fillId="11" borderId="37" xfId="0" applyFont="1" applyFill="1" applyBorder="1" applyAlignment="1">
      <alignment vertical="center"/>
    </xf>
    <xf numFmtId="0" fontId="9" fillId="11" borderId="28" xfId="0" applyFont="1" applyFill="1" applyBorder="1" applyAlignment="1">
      <alignment horizontal="right" vertical="center"/>
    </xf>
    <xf numFmtId="169" fontId="9" fillId="11" borderId="28" xfId="0" applyNumberFormat="1" applyFont="1" applyFill="1" applyBorder="1" applyAlignment="1">
      <alignment horizontal="right" vertical="center"/>
    </xf>
    <xf numFmtId="0" fontId="8" fillId="11" borderId="50" xfId="0" applyFont="1" applyFill="1" applyBorder="1" applyAlignment="1">
      <alignment vertical="center"/>
    </xf>
    <xf numFmtId="169" fontId="9" fillId="11" borderId="51" xfId="0" applyNumberFormat="1" applyFont="1" applyFill="1" applyBorder="1" applyAlignment="1">
      <alignment horizontal="right" vertical="center"/>
    </xf>
    <xf numFmtId="0" fontId="9" fillId="10" borderId="10" xfId="0" applyFont="1" applyFill="1" applyBorder="1" applyAlignment="1" applyProtection="1">
      <alignment horizontal="right"/>
      <protection locked="0"/>
    </xf>
    <xf numFmtId="0" fontId="13" fillId="11" borderId="37" xfId="0" applyFont="1" applyFill="1" applyBorder="1" applyAlignment="1" applyProtection="1">
      <alignment horizontal="center" vertical="center"/>
    </xf>
    <xf numFmtId="0" fontId="13" fillId="11" borderId="37" xfId="0" applyFont="1" applyFill="1" applyBorder="1" applyProtection="1"/>
    <xf numFmtId="165" fontId="8" fillId="10" borderId="0" xfId="0" applyNumberFormat="1" applyFont="1" applyFill="1" applyBorder="1" applyAlignment="1" applyProtection="1">
      <alignment horizontal="right" vertical="center"/>
      <protection locked="0"/>
    </xf>
    <xf numFmtId="0" fontId="13" fillId="10" borderId="35" xfId="0" applyFont="1" applyFill="1" applyBorder="1" applyProtection="1"/>
    <xf numFmtId="0" fontId="0" fillId="10" borderId="45" xfId="0" applyFill="1" applyBorder="1" applyAlignment="1">
      <alignment horizontal="center"/>
    </xf>
    <xf numFmtId="0" fontId="0" fillId="10" borderId="37" xfId="0" applyFill="1" applyBorder="1" applyAlignment="1">
      <alignment horizontal="center"/>
    </xf>
    <xf numFmtId="0" fontId="0" fillId="10" borderId="9" xfId="0" applyFill="1" applyBorder="1"/>
    <xf numFmtId="0" fontId="13" fillId="11" borderId="28" xfId="0" applyFont="1" applyFill="1" applyBorder="1" applyAlignment="1" applyProtection="1">
      <alignment horizontal="left"/>
    </xf>
    <xf numFmtId="0" fontId="8" fillId="11" borderId="28" xfId="0" applyFont="1" applyFill="1" applyBorder="1" applyAlignment="1">
      <alignment horizontal="left" vertical="center"/>
    </xf>
    <xf numFmtId="165" fontId="8" fillId="11" borderId="28" xfId="0" applyNumberFormat="1" applyFont="1" applyFill="1" applyBorder="1" applyAlignment="1">
      <alignment horizontal="left" vertical="center"/>
    </xf>
    <xf numFmtId="0" fontId="0" fillId="11" borderId="14" xfId="0" applyFill="1" applyBorder="1"/>
    <xf numFmtId="0" fontId="0" fillId="11" borderId="15" xfId="0" applyFill="1" applyBorder="1"/>
    <xf numFmtId="0" fontId="8" fillId="11" borderId="9" xfId="0" applyFont="1" applyFill="1" applyBorder="1" applyAlignment="1">
      <alignment vertical="center"/>
    </xf>
    <xf numFmtId="0" fontId="13" fillId="11" borderId="9" xfId="0" applyFont="1" applyFill="1" applyBorder="1" applyAlignment="1" applyProtection="1">
      <alignment horizontal="left"/>
    </xf>
    <xf numFmtId="0" fontId="8" fillId="11" borderId="9" xfId="0" applyFont="1" applyFill="1" applyBorder="1" applyAlignment="1">
      <alignment horizontal="left" vertical="center"/>
    </xf>
    <xf numFmtId="165" fontId="8" fillId="11" borderId="9" xfId="0" applyNumberFormat="1" applyFont="1" applyFill="1" applyBorder="1" applyAlignment="1">
      <alignment horizontal="left" vertical="center"/>
    </xf>
    <xf numFmtId="0" fontId="0" fillId="11" borderId="9" xfId="0" applyFill="1" applyBorder="1"/>
    <xf numFmtId="0" fontId="0" fillId="11" borderId="52" xfId="0" applyFill="1" applyBorder="1"/>
    <xf numFmtId="0" fontId="0" fillId="11" borderId="53" xfId="0" applyFill="1" applyBorder="1"/>
    <xf numFmtId="165" fontId="8" fillId="11" borderId="51" xfId="0" applyNumberFormat="1" applyFont="1" applyFill="1" applyBorder="1" applyAlignment="1">
      <alignment horizontal="left" vertical="center"/>
    </xf>
    <xf numFmtId="169" fontId="0" fillId="11" borderId="9" xfId="0" applyNumberFormat="1" applyFill="1" applyBorder="1"/>
    <xf numFmtId="1" fontId="8" fillId="11" borderId="9" xfId="0" applyNumberFormat="1" applyFont="1" applyFill="1" applyBorder="1" applyAlignment="1">
      <alignment horizontal="right" vertical="center"/>
    </xf>
    <xf numFmtId="0" fontId="8" fillId="11" borderId="15" xfId="0" applyFont="1" applyFill="1" applyBorder="1" applyAlignment="1">
      <alignment horizontal="left"/>
    </xf>
    <xf numFmtId="0" fontId="17" fillId="5" borderId="11" xfId="0" applyFont="1" applyFill="1" applyBorder="1" applyAlignment="1">
      <alignment horizontal="center"/>
    </xf>
    <xf numFmtId="0" fontId="24" fillId="5" borderId="11" xfId="0" applyFont="1" applyFill="1" applyBorder="1" applyProtection="1"/>
    <xf numFmtId="0" fontId="8" fillId="5" borderId="11" xfId="0" applyFont="1" applyFill="1" applyBorder="1" applyAlignment="1">
      <alignment vertical="center"/>
    </xf>
    <xf numFmtId="165" fontId="8" fillId="5" borderId="11" xfId="0" applyNumberFormat="1" applyFont="1" applyFill="1" applyBorder="1" applyAlignment="1">
      <alignment vertical="center"/>
    </xf>
    <xf numFmtId="0" fontId="0" fillId="5" borderId="32" xfId="0" applyFill="1" applyBorder="1"/>
    <xf numFmtId="0" fontId="8" fillId="5" borderId="54" xfId="0" applyFont="1" applyFill="1" applyBorder="1" applyAlignment="1" applyProtection="1">
      <alignment vertical="center"/>
    </xf>
    <xf numFmtId="0" fontId="9" fillId="5" borderId="47" xfId="0" applyFont="1" applyFill="1" applyBorder="1" applyProtection="1"/>
    <xf numFmtId="169" fontId="9" fillId="5" borderId="13" xfId="0" applyNumberFormat="1" applyFont="1" applyFill="1" applyBorder="1" applyAlignment="1" applyProtection="1">
      <alignment horizontal="center" vertical="center"/>
    </xf>
    <xf numFmtId="0" fontId="9" fillId="5" borderId="0" xfId="0" applyFont="1" applyFill="1" applyBorder="1" applyAlignment="1" applyProtection="1">
      <alignment horizontal="left" vertical="center"/>
    </xf>
    <xf numFmtId="0" fontId="4" fillId="0" borderId="0" xfId="0" applyFont="1" applyBorder="1" applyAlignment="1">
      <alignment horizontal="center"/>
    </xf>
    <xf numFmtId="0" fontId="16" fillId="5" borderId="0" xfId="0" quotePrefix="1" applyFont="1" applyFill="1" applyBorder="1" applyAlignment="1" applyProtection="1">
      <alignment horizontal="right" vertical="center"/>
    </xf>
    <xf numFmtId="0" fontId="4" fillId="5" borderId="0" xfId="0" applyFont="1" applyFill="1" applyBorder="1" applyAlignment="1" applyProtection="1">
      <alignment horizontal="center" vertical="center"/>
    </xf>
    <xf numFmtId="0" fontId="13" fillId="5" borderId="55" xfId="0" applyFont="1" applyFill="1" applyBorder="1" applyAlignment="1" applyProtection="1">
      <alignment vertical="center"/>
    </xf>
    <xf numFmtId="0" fontId="32" fillId="0" borderId="56" xfId="0" applyFont="1" applyFill="1" applyBorder="1" applyAlignment="1" applyProtection="1">
      <alignment vertical="center"/>
    </xf>
    <xf numFmtId="171" fontId="4" fillId="0" borderId="55" xfId="0" applyNumberFormat="1" applyFont="1" applyFill="1" applyBorder="1" applyAlignment="1" applyProtection="1">
      <alignment horizontal="center" vertical="center"/>
    </xf>
    <xf numFmtId="0" fontId="4" fillId="0" borderId="57" xfId="0" applyFont="1" applyFill="1" applyBorder="1" applyAlignment="1" applyProtection="1">
      <alignment horizontal="left" vertical="center"/>
    </xf>
    <xf numFmtId="0" fontId="32" fillId="0" borderId="58" xfId="0" applyFont="1" applyFill="1" applyBorder="1"/>
    <xf numFmtId="171" fontId="8" fillId="0" borderId="11" xfId="0" applyNumberFormat="1" applyFont="1" applyFill="1" applyBorder="1" applyAlignment="1" applyProtection="1">
      <alignment horizontal="center" vertical="center"/>
    </xf>
    <xf numFmtId="0" fontId="8" fillId="0" borderId="59" xfId="0" applyFont="1" applyFill="1" applyBorder="1" applyAlignment="1" applyProtection="1">
      <alignment horizontal="left" vertical="center"/>
    </xf>
    <xf numFmtId="0" fontId="8" fillId="0" borderId="30" xfId="0" applyFont="1" applyBorder="1" applyAlignment="1">
      <alignment horizontal="center"/>
    </xf>
    <xf numFmtId="0" fontId="4" fillId="5" borderId="0" xfId="0" applyFont="1" applyFill="1" applyBorder="1" applyAlignment="1" applyProtection="1">
      <alignment horizontal="center"/>
      <protection hidden="1"/>
    </xf>
    <xf numFmtId="0" fontId="8" fillId="5" borderId="7" xfId="0" applyFont="1" applyFill="1" applyBorder="1" applyProtection="1">
      <protection hidden="1"/>
    </xf>
    <xf numFmtId="0" fontId="8" fillId="5" borderId="60" xfId="0" applyFont="1" applyFill="1" applyBorder="1" applyProtection="1">
      <protection hidden="1"/>
    </xf>
    <xf numFmtId="0" fontId="8" fillId="5" borderId="0" xfId="0" applyFont="1" applyFill="1" applyBorder="1" applyProtection="1">
      <protection hidden="1"/>
    </xf>
    <xf numFmtId="0" fontId="8" fillId="5" borderId="61" xfId="0" applyFont="1" applyFill="1" applyBorder="1" applyAlignment="1" applyProtection="1">
      <alignment horizontal="left"/>
      <protection hidden="1"/>
    </xf>
    <xf numFmtId="0" fontId="8" fillId="5" borderId="52" xfId="0" applyFont="1" applyFill="1" applyBorder="1" applyAlignment="1" applyProtection="1">
      <alignment horizontal="right"/>
      <protection hidden="1"/>
    </xf>
    <xf numFmtId="0" fontId="8" fillId="5" borderId="62" xfId="0" applyFont="1" applyFill="1" applyBorder="1" applyAlignment="1" applyProtection="1">
      <alignment horizontal="right"/>
      <protection hidden="1"/>
    </xf>
    <xf numFmtId="0" fontId="8" fillId="5" borderId="41" xfId="0" applyFont="1" applyFill="1" applyBorder="1" applyProtection="1">
      <protection hidden="1"/>
    </xf>
    <xf numFmtId="0" fontId="8" fillId="5" borderId="63" xfId="0" applyFont="1" applyFill="1" applyBorder="1" applyProtection="1">
      <protection hidden="1"/>
    </xf>
    <xf numFmtId="0" fontId="8" fillId="5" borderId="14" xfId="0" applyFont="1" applyFill="1" applyBorder="1" applyProtection="1">
      <protection hidden="1"/>
    </xf>
    <xf numFmtId="0" fontId="8" fillId="5" borderId="64" xfId="0" applyFont="1" applyFill="1" applyBorder="1" applyProtection="1">
      <protection hidden="1"/>
    </xf>
    <xf numFmtId="0" fontId="4" fillId="5" borderId="0" xfId="0" applyFont="1" applyFill="1" applyBorder="1" applyAlignment="1" applyProtection="1">
      <alignment horizontal="center" vertical="center"/>
      <protection hidden="1"/>
    </xf>
    <xf numFmtId="0" fontId="8" fillId="0" borderId="7" xfId="0" applyFont="1" applyFill="1" applyBorder="1" applyAlignment="1" applyProtection="1">
      <alignment vertical="center"/>
      <protection hidden="1"/>
    </xf>
    <xf numFmtId="0" fontId="8" fillId="5" borderId="0" xfId="0" applyFont="1" applyFill="1" applyBorder="1" applyAlignment="1" applyProtection="1">
      <alignment vertical="center"/>
      <protection hidden="1"/>
    </xf>
    <xf numFmtId="0" fontId="8" fillId="5" borderId="63" xfId="0" applyFont="1" applyFill="1" applyBorder="1" applyAlignment="1" applyProtection="1">
      <alignment vertical="center"/>
      <protection hidden="1"/>
    </xf>
    <xf numFmtId="168" fontId="4" fillId="5" borderId="0" xfId="0" applyNumberFormat="1" applyFont="1" applyFill="1" applyBorder="1" applyAlignment="1" applyProtection="1">
      <alignment horizontal="center"/>
      <protection hidden="1"/>
    </xf>
    <xf numFmtId="168" fontId="4" fillId="5" borderId="0" xfId="0" applyNumberFormat="1" applyFont="1" applyFill="1" applyBorder="1" applyAlignment="1" applyProtection="1">
      <alignment horizontal="center" vertical="center"/>
      <protection hidden="1"/>
    </xf>
    <xf numFmtId="0" fontId="8" fillId="0" borderId="0" xfId="0" applyFont="1" applyFill="1" applyBorder="1" applyProtection="1"/>
    <xf numFmtId="0" fontId="8" fillId="5" borderId="65" xfId="0" applyFont="1" applyFill="1" applyBorder="1" applyAlignment="1" applyProtection="1">
      <alignment horizontal="center"/>
      <protection hidden="1"/>
    </xf>
    <xf numFmtId="1" fontId="9" fillId="0" borderId="62" xfId="0" applyNumberFormat="1" applyFont="1" applyFill="1" applyBorder="1" applyAlignment="1" applyProtection="1">
      <alignment horizontal="center"/>
      <protection hidden="1"/>
    </xf>
    <xf numFmtId="0" fontId="11" fillId="5" borderId="66" xfId="0" applyFont="1" applyFill="1" applyBorder="1" applyAlignment="1" applyProtection="1">
      <alignment horizontal="center" vertical="center"/>
    </xf>
    <xf numFmtId="0" fontId="8" fillId="5" borderId="66" xfId="0" applyFont="1" applyFill="1" applyBorder="1" applyAlignment="1" applyProtection="1">
      <alignment horizontal="center"/>
      <protection hidden="1"/>
    </xf>
    <xf numFmtId="0" fontId="8" fillId="0" borderId="32" xfId="0" applyFont="1" applyFill="1" applyBorder="1" applyAlignment="1" applyProtection="1">
      <alignment horizontal="center"/>
    </xf>
    <xf numFmtId="0" fontId="8" fillId="5" borderId="32" xfId="0" applyFont="1" applyFill="1" applyBorder="1" applyAlignment="1" applyProtection="1">
      <alignment horizontal="center"/>
      <protection hidden="1"/>
    </xf>
    <xf numFmtId="1" fontId="9" fillId="0" borderId="63" xfId="0" applyNumberFormat="1" applyFont="1" applyFill="1" applyBorder="1" applyAlignment="1" applyProtection="1">
      <alignment horizontal="center"/>
      <protection hidden="1"/>
    </xf>
    <xf numFmtId="0" fontId="8" fillId="0" borderId="42" xfId="0" applyFont="1" applyFill="1" applyBorder="1" applyAlignment="1" applyProtection="1">
      <alignment horizontal="center"/>
    </xf>
    <xf numFmtId="0" fontId="8" fillId="5" borderId="42" xfId="0" applyFont="1" applyFill="1" applyBorder="1" applyAlignment="1" applyProtection="1">
      <alignment horizontal="center"/>
      <protection hidden="1"/>
    </xf>
    <xf numFmtId="0" fontId="18" fillId="0" borderId="67" xfId="0" applyFont="1" applyFill="1" applyBorder="1" applyProtection="1"/>
    <xf numFmtId="0" fontId="18" fillId="0" borderId="0" xfId="0" applyFont="1" applyFill="1" applyBorder="1" applyProtection="1"/>
    <xf numFmtId="2" fontId="9" fillId="0" borderId="68" xfId="0" applyNumberFormat="1" applyFont="1" applyFill="1" applyBorder="1" applyAlignment="1" applyProtection="1">
      <alignment horizontal="center"/>
      <protection hidden="1"/>
    </xf>
    <xf numFmtId="0" fontId="18" fillId="0" borderId="69" xfId="0" applyFont="1" applyFill="1" applyBorder="1" applyProtection="1"/>
    <xf numFmtId="0" fontId="13" fillId="5" borderId="70" xfId="0" applyFont="1" applyFill="1" applyBorder="1" applyAlignment="1" applyProtection="1">
      <alignment horizontal="center" vertical="center"/>
    </xf>
    <xf numFmtId="0" fontId="8" fillId="5" borderId="70" xfId="0" applyFont="1" applyFill="1" applyBorder="1" applyAlignment="1" applyProtection="1">
      <alignment horizontal="center"/>
      <protection hidden="1"/>
    </xf>
    <xf numFmtId="169" fontId="9" fillId="0" borderId="71" xfId="0" applyNumberFormat="1" applyFont="1" applyFill="1" applyBorder="1" applyAlignment="1" applyProtection="1">
      <alignment horizontal="center"/>
      <protection hidden="1"/>
    </xf>
    <xf numFmtId="0" fontId="4" fillId="0" borderId="0" xfId="0" applyFont="1" applyBorder="1"/>
    <xf numFmtId="0" fontId="4" fillId="0" borderId="23" xfId="0" applyFont="1" applyBorder="1"/>
    <xf numFmtId="0" fontId="33" fillId="7" borderId="23" xfId="0" applyFont="1" applyFill="1" applyBorder="1"/>
    <xf numFmtId="0" fontId="5" fillId="0" borderId="0" xfId="0" applyFont="1" applyBorder="1"/>
    <xf numFmtId="0" fontId="4" fillId="0" borderId="22" xfId="0" applyFont="1" applyBorder="1"/>
    <xf numFmtId="0" fontId="4" fillId="5" borderId="23" xfId="0" applyFont="1" applyFill="1" applyBorder="1"/>
    <xf numFmtId="0" fontId="16" fillId="0" borderId="0" xfId="0" quotePrefix="1" applyFont="1" applyFill="1" applyBorder="1" applyAlignment="1" applyProtection="1">
      <alignment horizontal="right" vertical="center"/>
    </xf>
    <xf numFmtId="0" fontId="4" fillId="5" borderId="22" xfId="0" applyFont="1" applyFill="1" applyBorder="1"/>
    <xf numFmtId="0" fontId="4" fillId="5" borderId="0" xfId="0" applyFont="1" applyFill="1" applyBorder="1"/>
    <xf numFmtId="0" fontId="9" fillId="0" borderId="0" xfId="0" applyFont="1" applyFill="1" applyBorder="1" applyAlignment="1" applyProtection="1">
      <alignment horizontal="left" vertical="center"/>
    </xf>
    <xf numFmtId="0" fontId="4" fillId="0" borderId="8" xfId="0" applyFont="1" applyBorder="1"/>
    <xf numFmtId="0" fontId="34" fillId="0" borderId="0" xfId="0" applyFont="1" applyBorder="1"/>
    <xf numFmtId="0" fontId="4" fillId="0" borderId="15" xfId="0" applyFont="1" applyBorder="1"/>
    <xf numFmtId="0" fontId="5" fillId="0" borderId="12" xfId="0" applyFont="1" applyBorder="1"/>
    <xf numFmtId="0" fontId="5" fillId="0" borderId="7" xfId="0" applyFont="1" applyBorder="1"/>
    <xf numFmtId="0" fontId="5" fillId="0" borderId="7" xfId="0" applyFont="1" applyFill="1" applyBorder="1"/>
    <xf numFmtId="0" fontId="5" fillId="0" borderId="8" xfId="0" applyFont="1" applyFill="1" applyBorder="1"/>
    <xf numFmtId="0" fontId="5" fillId="0" borderId="16" xfId="0" applyFont="1" applyBorder="1"/>
    <xf numFmtId="0" fontId="5" fillId="0" borderId="11" xfId="0" applyFont="1" applyBorder="1"/>
    <xf numFmtId="0" fontId="5" fillId="0" borderId="11" xfId="0" applyFont="1" applyFill="1" applyBorder="1"/>
    <xf numFmtId="0" fontId="5" fillId="0" borderId="18" xfId="0" applyFont="1" applyFill="1" applyBorder="1"/>
    <xf numFmtId="0" fontId="8" fillId="0" borderId="0" xfId="0" applyFont="1" applyFill="1" applyBorder="1" applyAlignment="1" applyProtection="1">
      <alignment horizontal="left" vertical="center"/>
    </xf>
    <xf numFmtId="0" fontId="4" fillId="0" borderId="18" xfId="0" applyFont="1" applyBorder="1"/>
    <xf numFmtId="0" fontId="34" fillId="0" borderId="72" xfId="0" applyFont="1" applyBorder="1"/>
    <xf numFmtId="0" fontId="4" fillId="0" borderId="73" xfId="0" applyFont="1" applyBorder="1"/>
    <xf numFmtId="0" fontId="4" fillId="0" borderId="74" xfId="0" applyFont="1" applyBorder="1"/>
    <xf numFmtId="0" fontId="25" fillId="5" borderId="75" xfId="0" applyFont="1" applyFill="1" applyBorder="1" applyAlignment="1" applyProtection="1">
      <alignment vertical="center"/>
    </xf>
    <xf numFmtId="0" fontId="34" fillId="5" borderId="7" xfId="0" applyFont="1" applyFill="1" applyBorder="1" applyAlignment="1" applyProtection="1">
      <alignment vertical="center"/>
    </xf>
    <xf numFmtId="0" fontId="4" fillId="0" borderId="7" xfId="0" applyFont="1" applyBorder="1"/>
    <xf numFmtId="0" fontId="4" fillId="0" borderId="30" xfId="0" applyFont="1" applyBorder="1" applyAlignment="1">
      <alignment horizontal="center"/>
    </xf>
    <xf numFmtId="0" fontId="4" fillId="5" borderId="30" xfId="0" applyFont="1" applyFill="1" applyBorder="1" applyAlignment="1" applyProtection="1">
      <alignment horizontal="center" vertical="center"/>
    </xf>
    <xf numFmtId="0" fontId="4" fillId="0" borderId="60" xfId="0" applyFont="1" applyBorder="1"/>
    <xf numFmtId="0" fontId="4" fillId="0" borderId="67" xfId="0" applyFont="1" applyBorder="1"/>
    <xf numFmtId="0" fontId="34" fillId="5" borderId="0" xfId="0" applyFont="1" applyFill="1" applyBorder="1" applyAlignment="1" applyProtection="1">
      <alignment vertical="center"/>
    </xf>
    <xf numFmtId="171" fontId="4" fillId="5" borderId="10" xfId="0" applyNumberFormat="1" applyFont="1" applyFill="1" applyBorder="1" applyAlignment="1" applyProtection="1">
      <alignment horizontal="center" vertical="center"/>
    </xf>
    <xf numFmtId="0" fontId="4" fillId="0" borderId="10" xfId="0" applyFont="1" applyBorder="1" applyAlignment="1">
      <alignment horizontal="center"/>
    </xf>
    <xf numFmtId="0" fontId="4" fillId="0" borderId="76" xfId="0" applyFont="1" applyBorder="1"/>
    <xf numFmtId="0" fontId="4" fillId="0" borderId="77" xfId="0" applyFont="1" applyBorder="1"/>
    <xf numFmtId="0" fontId="34" fillId="5" borderId="14" xfId="0" applyFont="1" applyFill="1" applyBorder="1" applyAlignment="1" applyProtection="1">
      <alignment vertical="center"/>
    </xf>
    <xf numFmtId="0" fontId="4" fillId="0" borderId="14" xfId="0" applyFont="1" applyBorder="1"/>
    <xf numFmtId="0" fontId="4" fillId="0" borderId="13" xfId="0" applyFont="1" applyBorder="1" applyAlignment="1">
      <alignment horizontal="center"/>
    </xf>
    <xf numFmtId="0" fontId="4" fillId="0" borderId="78" xfId="0" applyFont="1" applyBorder="1"/>
    <xf numFmtId="0" fontId="34" fillId="0" borderId="73" xfId="0" applyFont="1" applyBorder="1"/>
    <xf numFmtId="0" fontId="8" fillId="0" borderId="0" xfId="0" applyFont="1" applyFill="1" applyBorder="1"/>
    <xf numFmtId="1" fontId="4" fillId="0" borderId="9" xfId="0" applyNumberFormat="1" applyFont="1" applyBorder="1"/>
    <xf numFmtId="0" fontId="4" fillId="0" borderId="16" xfId="0" applyFont="1" applyBorder="1"/>
    <xf numFmtId="0" fontId="8" fillId="0" borderId="0" xfId="0" applyFont="1" applyFill="1" applyBorder="1" applyAlignment="1">
      <alignment horizontal="center"/>
    </xf>
    <xf numFmtId="0" fontId="4" fillId="0" borderId="0" xfId="0" quotePrefix="1" applyFont="1" applyBorder="1"/>
    <xf numFmtId="0" fontId="4" fillId="0" borderId="63" xfId="0" applyFont="1" applyBorder="1"/>
    <xf numFmtId="0" fontId="8" fillId="0" borderId="0" xfId="0" applyFont="1" applyFill="1" applyBorder="1" applyAlignment="1" applyProtection="1">
      <alignment horizontal="center" vertical="center"/>
    </xf>
    <xf numFmtId="2" fontId="4" fillId="0" borderId="9" xfId="0" applyNumberFormat="1" applyFont="1" applyBorder="1"/>
    <xf numFmtId="0" fontId="4" fillId="0" borderId="79" xfId="0" applyFont="1" applyBorder="1"/>
    <xf numFmtId="0" fontId="8" fillId="0" borderId="0" xfId="0" applyFont="1" applyFill="1" applyBorder="1" applyProtection="1">
      <protection hidden="1"/>
    </xf>
    <xf numFmtId="0" fontId="4" fillId="5" borderId="26" xfId="0" applyFont="1" applyFill="1" applyBorder="1"/>
    <xf numFmtId="0" fontId="34" fillId="0" borderId="80" xfId="0" applyFont="1" applyBorder="1"/>
    <xf numFmtId="0" fontId="4" fillId="0" borderId="55" xfId="0" applyFont="1" applyBorder="1"/>
    <xf numFmtId="0" fontId="4" fillId="0" borderId="57" xfId="0" applyFont="1" applyBorder="1"/>
    <xf numFmtId="0" fontId="4" fillId="5" borderId="67" xfId="0" applyFont="1" applyFill="1" applyBorder="1" applyProtection="1">
      <protection hidden="1"/>
    </xf>
    <xf numFmtId="0" fontId="4" fillId="5" borderId="0" xfId="0" applyFont="1" applyFill="1" applyBorder="1" applyProtection="1">
      <protection hidden="1"/>
    </xf>
    <xf numFmtId="0" fontId="4" fillId="5" borderId="0" xfId="0" applyFont="1" applyFill="1" applyBorder="1" applyAlignment="1" applyProtection="1">
      <alignment horizontal="left"/>
      <protection hidden="1"/>
    </xf>
    <xf numFmtId="0" fontId="4" fillId="5" borderId="0" xfId="0" applyFont="1" applyFill="1" applyBorder="1" applyAlignment="1" applyProtection="1">
      <alignment horizontal="right"/>
      <protection hidden="1"/>
    </xf>
    <xf numFmtId="0" fontId="4" fillId="5" borderId="67" xfId="0" quotePrefix="1" applyFont="1" applyFill="1" applyBorder="1" applyProtection="1">
      <protection hidden="1"/>
    </xf>
    <xf numFmtId="0" fontId="4" fillId="5" borderId="81" xfId="0" applyFont="1" applyFill="1" applyBorder="1" applyProtection="1">
      <protection hidden="1"/>
    </xf>
    <xf numFmtId="0" fontId="4" fillId="0" borderId="67" xfId="0" quotePrefix="1" applyFont="1" applyBorder="1"/>
    <xf numFmtId="0" fontId="4" fillId="5" borderId="77" xfId="0" quotePrefix="1" applyFont="1" applyFill="1" applyBorder="1" applyProtection="1">
      <protection hidden="1"/>
    </xf>
    <xf numFmtId="0" fontId="4" fillId="5" borderId="14" xfId="0" applyFont="1" applyFill="1" applyBorder="1" applyProtection="1">
      <protection hidden="1"/>
    </xf>
    <xf numFmtId="0" fontId="4" fillId="0" borderId="64" xfId="0" applyFont="1" applyBorder="1"/>
    <xf numFmtId="0" fontId="25" fillId="5" borderId="75" xfId="0" applyFont="1" applyFill="1" applyBorder="1" applyAlignment="1" applyProtection="1">
      <alignment vertical="center"/>
      <protection hidden="1"/>
    </xf>
    <xf numFmtId="0" fontId="4" fillId="5" borderId="7" xfId="0" applyFont="1" applyFill="1" applyBorder="1" applyProtection="1">
      <protection hidden="1"/>
    </xf>
    <xf numFmtId="0" fontId="4" fillId="5" borderId="7" xfId="0" applyFont="1" applyFill="1" applyBorder="1" applyAlignment="1" applyProtection="1">
      <alignment vertical="center"/>
      <protection hidden="1"/>
    </xf>
    <xf numFmtId="0" fontId="4" fillId="5" borderId="0" xfId="0" applyFont="1" applyFill="1" applyBorder="1" applyAlignment="1" applyProtection="1">
      <alignment vertical="center"/>
      <protection hidden="1"/>
    </xf>
    <xf numFmtId="0" fontId="25" fillId="5" borderId="75" xfId="0" applyFont="1" applyFill="1" applyBorder="1" applyAlignment="1" applyProtection="1">
      <alignment vertical="top"/>
      <protection hidden="1"/>
    </xf>
    <xf numFmtId="0" fontId="4" fillId="5" borderId="7" xfId="0" applyFont="1" applyFill="1" applyBorder="1" applyAlignment="1" applyProtection="1">
      <alignment horizontal="left" vertical="center"/>
      <protection hidden="1"/>
    </xf>
    <xf numFmtId="0" fontId="4" fillId="0" borderId="7" xfId="0" applyFont="1" applyFill="1" applyBorder="1" applyAlignment="1" applyProtection="1">
      <alignment vertical="center"/>
      <protection hidden="1"/>
    </xf>
    <xf numFmtId="0" fontId="4" fillId="0" borderId="35" xfId="0" applyFont="1" applyFill="1" applyBorder="1" applyAlignment="1" applyProtection="1">
      <alignment vertical="center"/>
      <protection hidden="1"/>
    </xf>
    <xf numFmtId="0" fontId="4" fillId="0" borderId="82" xfId="0" applyFont="1" applyFill="1" applyBorder="1" applyAlignment="1" applyProtection="1">
      <alignment vertical="center"/>
      <protection hidden="1"/>
    </xf>
    <xf numFmtId="0" fontId="4" fillId="0" borderId="60" xfId="0" applyFont="1" applyFill="1" applyBorder="1" applyAlignment="1" applyProtection="1">
      <alignment vertical="center"/>
      <protection hidden="1"/>
    </xf>
    <xf numFmtId="0" fontId="4" fillId="5" borderId="37" xfId="0" applyFont="1" applyFill="1" applyBorder="1" applyProtection="1">
      <protection hidden="1"/>
    </xf>
    <xf numFmtId="0" fontId="4" fillId="5" borderId="27" xfId="0" applyFont="1" applyFill="1" applyBorder="1" applyProtection="1">
      <protection hidden="1"/>
    </xf>
    <xf numFmtId="0" fontId="4" fillId="5" borderId="83" xfId="0" applyFont="1" applyFill="1" applyBorder="1" applyProtection="1">
      <protection hidden="1"/>
    </xf>
    <xf numFmtId="0" fontId="4" fillId="5" borderId="84" xfId="0" applyFont="1" applyFill="1" applyBorder="1" applyProtection="1">
      <protection hidden="1"/>
    </xf>
    <xf numFmtId="0" fontId="4" fillId="0" borderId="0" xfId="0" applyFont="1" applyFill="1" applyBorder="1" applyProtection="1"/>
    <xf numFmtId="0" fontId="4" fillId="5" borderId="31" xfId="0" applyFont="1" applyFill="1" applyBorder="1" applyProtection="1">
      <protection hidden="1"/>
    </xf>
    <xf numFmtId="0" fontId="36" fillId="5" borderId="10" xfId="0" applyFont="1" applyFill="1" applyBorder="1" applyAlignment="1" applyProtection="1">
      <alignment horizontal="center" vertical="center"/>
    </xf>
    <xf numFmtId="0" fontId="4" fillId="5" borderId="10" xfId="0" applyFont="1" applyFill="1" applyBorder="1" applyAlignment="1" applyProtection="1">
      <alignment horizontal="center"/>
      <protection hidden="1"/>
    </xf>
    <xf numFmtId="1" fontId="25" fillId="0" borderId="84" xfId="0" applyNumberFormat="1" applyFont="1" applyFill="1" applyBorder="1" applyAlignment="1" applyProtection="1">
      <alignment horizontal="center"/>
      <protection hidden="1"/>
    </xf>
    <xf numFmtId="0" fontId="4" fillId="0" borderId="67" xfId="0" applyFont="1" applyFill="1" applyBorder="1" applyProtection="1"/>
    <xf numFmtId="1" fontId="25" fillId="0" borderId="63" xfId="0" applyNumberFormat="1" applyFont="1" applyFill="1" applyBorder="1" applyAlignment="1" applyProtection="1">
      <alignment horizontal="center"/>
      <protection hidden="1"/>
    </xf>
    <xf numFmtId="1" fontId="25" fillId="0" borderId="31" xfId="0" applyNumberFormat="1" applyFont="1" applyFill="1" applyBorder="1" applyAlignment="1" applyProtection="1">
      <alignment horizontal="center"/>
      <protection hidden="1"/>
    </xf>
    <xf numFmtId="0" fontId="4" fillId="0" borderId="10" xfId="0" applyFont="1" applyFill="1" applyBorder="1" applyAlignment="1" applyProtection="1">
      <alignment horizontal="center"/>
    </xf>
    <xf numFmtId="0" fontId="4" fillId="0" borderId="32" xfId="0" applyFont="1" applyFill="1" applyBorder="1" applyAlignment="1" applyProtection="1">
      <alignment horizontal="center"/>
    </xf>
    <xf numFmtId="0" fontId="4" fillId="5" borderId="32" xfId="0" applyFont="1" applyFill="1" applyBorder="1" applyAlignment="1" applyProtection="1">
      <alignment horizontal="center"/>
      <protection hidden="1"/>
    </xf>
    <xf numFmtId="0" fontId="34" fillId="0" borderId="75" xfId="0" applyFont="1" applyBorder="1"/>
    <xf numFmtId="0" fontId="34" fillId="0" borderId="67" xfId="0" applyFont="1" applyBorder="1"/>
    <xf numFmtId="0" fontId="5" fillId="0" borderId="63" xfId="0" applyFont="1" applyBorder="1"/>
    <xf numFmtId="0" fontId="34" fillId="0" borderId="0" xfId="0" applyFont="1" applyFill="1" applyBorder="1"/>
    <xf numFmtId="0" fontId="5" fillId="0" borderId="85" xfId="0" applyFont="1" applyBorder="1"/>
    <xf numFmtId="0" fontId="5" fillId="0" borderId="7" xfId="0" applyFont="1" applyBorder="1" applyAlignment="1">
      <alignment horizontal="left"/>
    </xf>
    <xf numFmtId="0" fontId="5" fillId="0" borderId="23" xfId="0" applyFont="1" applyBorder="1"/>
    <xf numFmtId="0" fontId="5" fillId="0" borderId="8" xfId="0" applyFont="1" applyBorder="1"/>
    <xf numFmtId="9" fontId="4" fillId="0" borderId="8" xfId="0" applyNumberFormat="1" applyFont="1" applyBorder="1"/>
    <xf numFmtId="0" fontId="5" fillId="0" borderId="86" xfId="0" applyFont="1" applyBorder="1"/>
    <xf numFmtId="0" fontId="5" fillId="0" borderId="14" xfId="0" applyFont="1" applyBorder="1" applyAlignment="1">
      <alignment horizontal="left"/>
    </xf>
    <xf numFmtId="0" fontId="5" fillId="0" borderId="22" xfId="0" applyFont="1" applyBorder="1"/>
    <xf numFmtId="0" fontId="5" fillId="0" borderId="15" xfId="0" applyFont="1" applyBorder="1"/>
    <xf numFmtId="0" fontId="5" fillId="0" borderId="15" xfId="0" applyFont="1" applyFill="1" applyBorder="1"/>
    <xf numFmtId="9" fontId="4" fillId="0" borderId="25" xfId="4" applyFont="1" applyBorder="1"/>
    <xf numFmtId="0" fontId="4" fillId="0" borderId="26" xfId="0" applyFont="1" applyBorder="1"/>
    <xf numFmtId="9" fontId="4" fillId="0" borderId="15" xfId="4" applyFont="1" applyBorder="1"/>
    <xf numFmtId="0" fontId="5" fillId="0" borderId="87" xfId="0" applyFont="1" applyBorder="1"/>
    <xf numFmtId="0" fontId="4" fillId="0" borderId="69" xfId="0" applyFont="1" applyBorder="1"/>
    <xf numFmtId="0" fontId="34" fillId="0" borderId="55" xfId="0" applyFont="1" applyBorder="1"/>
    <xf numFmtId="0" fontId="8" fillId="0" borderId="0" xfId="0" applyFont="1" applyFill="1" applyBorder="1" applyAlignment="1" applyProtection="1">
      <alignment horizontal="right"/>
      <protection hidden="1"/>
    </xf>
    <xf numFmtId="0" fontId="4" fillId="5" borderId="12" xfId="0" applyFont="1" applyFill="1" applyBorder="1" applyProtection="1">
      <protection hidden="1"/>
    </xf>
    <xf numFmtId="0" fontId="4" fillId="5" borderId="52" xfId="0" applyFont="1" applyFill="1" applyBorder="1" applyAlignment="1" applyProtection="1">
      <alignment horizontal="right"/>
      <protection hidden="1"/>
    </xf>
    <xf numFmtId="0" fontId="4" fillId="0" borderId="24" xfId="0" applyFont="1" applyBorder="1"/>
    <xf numFmtId="0" fontId="37" fillId="0" borderId="63" xfId="0" applyFont="1" applyBorder="1"/>
    <xf numFmtId="0" fontId="34" fillId="0" borderId="63" xfId="0" applyFont="1" applyBorder="1"/>
    <xf numFmtId="0" fontId="4" fillId="0" borderId="21" xfId="0" applyFont="1" applyBorder="1"/>
    <xf numFmtId="0" fontId="4" fillId="5" borderId="14" xfId="0" quotePrefix="1" applyFont="1" applyFill="1" applyBorder="1" applyProtection="1">
      <protection hidden="1"/>
    </xf>
    <xf numFmtId="0" fontId="8" fillId="0" borderId="0" xfId="0" applyFont="1" applyFill="1" applyBorder="1" applyAlignment="1" applyProtection="1">
      <alignment vertical="center"/>
      <protection hidden="1"/>
    </xf>
    <xf numFmtId="0" fontId="4" fillId="5" borderId="23" xfId="0" applyFont="1" applyFill="1" applyBorder="1" applyProtection="1">
      <protection hidden="1"/>
    </xf>
    <xf numFmtId="0" fontId="4" fillId="0" borderId="8" xfId="0" applyFont="1" applyBorder="1" applyAlignment="1">
      <alignment horizontal="left"/>
    </xf>
    <xf numFmtId="0" fontId="4" fillId="5" borderId="0" xfId="0" applyFont="1" applyFill="1"/>
    <xf numFmtId="0" fontId="4" fillId="0" borderId="75" xfId="0" applyFont="1" applyBorder="1"/>
    <xf numFmtId="0" fontId="4" fillId="0" borderId="15" xfId="0" applyFont="1" applyBorder="1" applyAlignment="1">
      <alignment horizontal="left"/>
    </xf>
    <xf numFmtId="0" fontId="4" fillId="5" borderId="14" xfId="0" applyFont="1" applyFill="1" applyBorder="1" applyAlignment="1" applyProtection="1">
      <alignment horizontal="right"/>
      <protection hidden="1"/>
    </xf>
    <xf numFmtId="0" fontId="4" fillId="5" borderId="14" xfId="0" applyFont="1" applyFill="1" applyBorder="1" applyAlignment="1" applyProtection="1">
      <alignment horizontal="left"/>
      <protection hidden="1"/>
    </xf>
    <xf numFmtId="9" fontId="4" fillId="0" borderId="23" xfId="0" applyNumberFormat="1" applyFont="1" applyBorder="1"/>
    <xf numFmtId="0" fontId="4" fillId="5" borderId="88" xfId="0" applyFont="1" applyFill="1" applyBorder="1" applyProtection="1">
      <protection hidden="1"/>
    </xf>
    <xf numFmtId="9" fontId="4" fillId="0" borderId="22" xfId="0" applyNumberFormat="1" applyFont="1" applyBorder="1"/>
    <xf numFmtId="9" fontId="4" fillId="0" borderId="26" xfId="0" applyNumberFormat="1" applyFont="1" applyBorder="1"/>
    <xf numFmtId="2" fontId="9" fillId="0" borderId="0" xfId="0" applyNumberFormat="1" applyFont="1" applyFill="1" applyBorder="1" applyAlignment="1" applyProtection="1">
      <alignment horizontal="center"/>
      <protection hidden="1"/>
    </xf>
    <xf numFmtId="0" fontId="4" fillId="0" borderId="25" xfId="0" applyFont="1" applyBorder="1"/>
    <xf numFmtId="1" fontId="4" fillId="0" borderId="9" xfId="0" applyNumberFormat="1" applyFont="1" applyFill="1" applyBorder="1" applyProtection="1"/>
    <xf numFmtId="0" fontId="4" fillId="0" borderId="9" xfId="0" applyFont="1" applyFill="1" applyBorder="1" applyProtection="1"/>
    <xf numFmtId="0" fontId="8" fillId="0" borderId="9" xfId="0" applyFont="1" applyFill="1" applyBorder="1" applyProtection="1"/>
    <xf numFmtId="1" fontId="34" fillId="0" borderId="84" xfId="0" applyNumberFormat="1" applyFont="1" applyFill="1" applyBorder="1" applyAlignment="1" applyProtection="1">
      <alignment horizontal="center"/>
      <protection hidden="1"/>
    </xf>
    <xf numFmtId="1" fontId="8" fillId="0" borderId="9" xfId="0" applyNumberFormat="1" applyFont="1" applyFill="1" applyBorder="1" applyProtection="1"/>
    <xf numFmtId="0" fontId="36" fillId="5" borderId="32" xfId="0" applyFont="1" applyFill="1" applyBorder="1" applyAlignment="1" applyProtection="1">
      <alignment horizontal="center" vertical="center"/>
    </xf>
    <xf numFmtId="1" fontId="34" fillId="0" borderId="63" xfId="0" applyNumberFormat="1" applyFont="1" applyFill="1" applyBorder="1" applyAlignment="1" applyProtection="1">
      <alignment horizontal="center"/>
      <protection hidden="1"/>
    </xf>
    <xf numFmtId="1" fontId="9" fillId="0" borderId="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xf>
    <xf numFmtId="0" fontId="25" fillId="0" borderId="0" xfId="0" applyFont="1" applyFill="1" applyBorder="1" applyAlignment="1" applyProtection="1">
      <alignment horizontal="center"/>
    </xf>
    <xf numFmtId="2" fontId="9" fillId="0" borderId="0" xfId="0" applyNumberFormat="1" applyFont="1" applyFill="1" applyBorder="1" applyProtection="1">
      <protection hidden="1"/>
    </xf>
    <xf numFmtId="0" fontId="4" fillId="0" borderId="15" xfId="0" applyFont="1" applyFill="1" applyBorder="1"/>
    <xf numFmtId="0" fontId="4" fillId="0" borderId="11" xfId="0" applyFont="1" applyBorder="1"/>
    <xf numFmtId="0" fontId="8" fillId="0" borderId="11" xfId="0" applyFont="1" applyFill="1" applyBorder="1" applyProtection="1"/>
    <xf numFmtId="171" fontId="8" fillId="0" borderId="9" xfId="0" applyNumberFormat="1" applyFont="1" applyBorder="1"/>
    <xf numFmtId="0" fontId="4" fillId="0" borderId="12" xfId="0" applyFont="1" applyBorder="1"/>
    <xf numFmtId="1" fontId="4" fillId="0" borderId="16" xfId="0" applyNumberFormat="1" applyFont="1" applyBorder="1"/>
    <xf numFmtId="9" fontId="4" fillId="0" borderId="18" xfId="0" applyNumberFormat="1" applyFont="1" applyBorder="1"/>
    <xf numFmtId="0" fontId="5" fillId="0" borderId="12" xfId="0" applyFont="1" applyBorder="1" applyAlignment="1">
      <alignment horizontal="left"/>
    </xf>
    <xf numFmtId="0" fontId="5" fillId="0" borderId="25" xfId="0" applyFont="1" applyBorder="1"/>
    <xf numFmtId="0" fontId="5" fillId="0" borderId="21" xfId="0" applyFont="1" applyBorder="1" applyAlignment="1">
      <alignment horizontal="left"/>
    </xf>
    <xf numFmtId="0" fontId="5" fillId="0" borderId="26" xfId="0" applyFont="1" applyBorder="1"/>
    <xf numFmtId="0" fontId="5" fillId="0" borderId="89" xfId="0" applyFont="1" applyBorder="1"/>
    <xf numFmtId="0" fontId="34" fillId="0" borderId="69" xfId="0" applyFont="1" applyBorder="1"/>
    <xf numFmtId="0" fontId="34" fillId="0" borderId="87" xfId="0" applyFont="1" applyBorder="1"/>
    <xf numFmtId="0" fontId="4" fillId="0" borderId="26" xfId="0" applyFont="1" applyFill="1" applyBorder="1"/>
    <xf numFmtId="0" fontId="4" fillId="0" borderId="8" xfId="0" applyFont="1" applyFill="1" applyBorder="1" applyProtection="1"/>
    <xf numFmtId="0" fontId="4" fillId="0" borderId="15" xfId="0" applyFont="1" applyFill="1" applyBorder="1" applyProtection="1"/>
    <xf numFmtId="0" fontId="4" fillId="0" borderId="7" xfId="0" applyFont="1" applyFill="1" applyBorder="1"/>
    <xf numFmtId="0" fontId="4" fillId="0" borderId="21"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8" xfId="0" applyFont="1" applyBorder="1" applyAlignment="1">
      <alignment horizontal="right"/>
    </xf>
    <xf numFmtId="0" fontId="4" fillId="0" borderId="12"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1" fontId="4" fillId="0" borderId="24" xfId="0" applyNumberFormat="1" applyFont="1" applyBorder="1" applyAlignment="1">
      <alignment horizontal="center"/>
    </xf>
    <xf numFmtId="1" fontId="4" fillId="0" borderId="0" xfId="0" applyNumberFormat="1" applyFont="1" applyBorder="1" applyAlignment="1">
      <alignment horizontal="center"/>
    </xf>
    <xf numFmtId="0" fontId="4" fillId="0" borderId="25" xfId="0" applyFont="1" applyBorder="1" applyAlignment="1">
      <alignment horizontal="center"/>
    </xf>
    <xf numFmtId="0" fontId="4" fillId="0" borderId="25" xfId="0" applyFont="1" applyBorder="1" applyAlignment="1">
      <alignment horizontal="right"/>
    </xf>
    <xf numFmtId="0" fontId="4" fillId="0" borderId="24" xfId="0" applyFont="1" applyBorder="1" applyAlignment="1">
      <alignment horizontal="center"/>
    </xf>
    <xf numFmtId="0" fontId="4" fillId="0" borderId="25" xfId="0" applyFont="1" applyFill="1" applyBorder="1" applyAlignment="1">
      <alignment horizontal="right"/>
    </xf>
    <xf numFmtId="0" fontId="4" fillId="0" borderId="15" xfId="0" applyFont="1" applyFill="1" applyBorder="1" applyAlignment="1">
      <alignment horizontal="right"/>
    </xf>
    <xf numFmtId="1" fontId="4" fillId="0" borderId="21" xfId="0" applyNumberFormat="1" applyFont="1" applyBorder="1" applyAlignment="1">
      <alignment horizontal="center"/>
    </xf>
    <xf numFmtId="1" fontId="4" fillId="0" borderId="14" xfId="0" applyNumberFormat="1" applyFont="1" applyBorder="1" applyAlignment="1">
      <alignment horizontal="center"/>
    </xf>
    <xf numFmtId="0" fontId="34" fillId="0" borderId="0" xfId="0" applyFont="1" applyFill="1" applyBorder="1" applyAlignment="1">
      <alignment horizontal="left"/>
    </xf>
    <xf numFmtId="1" fontId="4" fillId="0" borderId="12" xfId="0" applyNumberFormat="1" applyFont="1" applyBorder="1" applyAlignment="1">
      <alignment horizontal="center"/>
    </xf>
    <xf numFmtId="1" fontId="4" fillId="0" borderId="7" xfId="0" applyNumberFormat="1" applyFont="1" applyBorder="1" applyAlignment="1">
      <alignment horizontal="center"/>
    </xf>
    <xf numFmtId="1" fontId="4" fillId="0" borderId="8" xfId="0" applyNumberFormat="1" applyFont="1" applyBorder="1" applyAlignment="1">
      <alignment horizontal="center"/>
    </xf>
    <xf numFmtId="1" fontId="4" fillId="0" borderId="25" xfId="0" applyNumberFormat="1" applyFont="1" applyBorder="1" applyAlignment="1">
      <alignment horizontal="center"/>
    </xf>
    <xf numFmtId="1" fontId="4" fillId="0" borderId="0" xfId="0" applyNumberFormat="1" applyFont="1" applyFill="1" applyBorder="1" applyAlignment="1">
      <alignment horizontal="center"/>
    </xf>
    <xf numFmtId="1" fontId="4" fillId="0" borderId="15" xfId="0" applyNumberFormat="1" applyFont="1" applyBorder="1" applyAlignment="1">
      <alignment horizontal="center"/>
    </xf>
    <xf numFmtId="2" fontId="4" fillId="0" borderId="16" xfId="0" applyNumberFormat="1" applyFont="1" applyBorder="1" applyAlignment="1">
      <alignment horizontal="center"/>
    </xf>
    <xf numFmtId="0" fontId="4" fillId="0" borderId="11" xfId="0" applyFont="1" applyFill="1" applyBorder="1" applyAlignment="1">
      <alignment horizontal="center"/>
    </xf>
    <xf numFmtId="0" fontId="4" fillId="0" borderId="18" xfId="0" applyFont="1" applyBorder="1" applyAlignment="1">
      <alignment horizontal="center"/>
    </xf>
    <xf numFmtId="2" fontId="4" fillId="0" borderId="12" xfId="0" applyNumberFormat="1" applyFont="1" applyBorder="1" applyAlignment="1">
      <alignment horizontal="center"/>
    </xf>
    <xf numFmtId="2" fontId="4" fillId="0" borderId="7" xfId="0" applyNumberFormat="1" applyFont="1" applyBorder="1" applyAlignment="1">
      <alignment horizontal="center"/>
    </xf>
    <xf numFmtId="2" fontId="4" fillId="0" borderId="8" xfId="0" applyNumberFormat="1" applyFont="1" applyBorder="1" applyAlignment="1">
      <alignment horizontal="center"/>
    </xf>
    <xf numFmtId="2" fontId="4" fillId="0" borderId="24" xfId="0" applyNumberFormat="1" applyFont="1" applyBorder="1" applyAlignment="1">
      <alignment horizontal="center"/>
    </xf>
    <xf numFmtId="2" fontId="4" fillId="0" borderId="0" xfId="0" applyNumberFormat="1" applyFont="1" applyBorder="1" applyAlignment="1">
      <alignment horizontal="center"/>
    </xf>
    <xf numFmtId="2" fontId="4" fillId="0" borderId="25" xfId="0" applyNumberFormat="1" applyFont="1" applyBorder="1" applyAlignment="1">
      <alignment horizontal="center"/>
    </xf>
    <xf numFmtId="2" fontId="4" fillId="0" borderId="0" xfId="0" applyNumberFormat="1" applyFont="1" applyFill="1" applyBorder="1" applyAlignment="1">
      <alignment horizontal="center"/>
    </xf>
    <xf numFmtId="2" fontId="4" fillId="0" borderId="21" xfId="0" applyNumberFormat="1" applyFont="1" applyBorder="1" applyAlignment="1">
      <alignment horizontal="center"/>
    </xf>
    <xf numFmtId="2" fontId="4" fillId="0" borderId="14" xfId="0" applyNumberFormat="1" applyFont="1" applyBorder="1" applyAlignment="1">
      <alignment horizontal="center"/>
    </xf>
    <xf numFmtId="2" fontId="4" fillId="0" borderId="15" xfId="0" applyNumberFormat="1" applyFont="1" applyBorder="1" applyAlignment="1">
      <alignment horizontal="center"/>
    </xf>
    <xf numFmtId="2" fontId="4" fillId="0" borderId="11" xfId="0" applyNumberFormat="1" applyFont="1" applyFill="1" applyBorder="1" applyAlignment="1">
      <alignment horizontal="center"/>
    </xf>
    <xf numFmtId="2" fontId="4" fillId="0" borderId="18" xfId="0" applyNumberFormat="1" applyFont="1" applyBorder="1" applyAlignment="1">
      <alignment horizontal="center"/>
    </xf>
    <xf numFmtId="0" fontId="24" fillId="5" borderId="0" xfId="0" applyFont="1" applyFill="1" applyAlignment="1" applyProtection="1">
      <alignment horizontal="right" vertical="center"/>
    </xf>
    <xf numFmtId="0" fontId="13" fillId="5" borderId="24" xfId="0" applyFont="1" applyFill="1" applyBorder="1"/>
    <xf numFmtId="0" fontId="8" fillId="5" borderId="90" xfId="0" applyFont="1" applyFill="1" applyBorder="1" applyAlignment="1" applyProtection="1">
      <alignment horizontal="center"/>
      <protection hidden="1"/>
    </xf>
    <xf numFmtId="0" fontId="4" fillId="0" borderId="23" xfId="0" applyFont="1" applyBorder="1" applyProtection="1">
      <protection locked="0"/>
    </xf>
    <xf numFmtId="1" fontId="9" fillId="4" borderId="83" xfId="0" applyNumberFormat="1" applyFont="1" applyFill="1" applyBorder="1" applyAlignment="1" applyProtection="1">
      <alignment horizontal="center"/>
      <protection locked="0" hidden="1"/>
    </xf>
    <xf numFmtId="1" fontId="9" fillId="4" borderId="64" xfId="0" applyNumberFormat="1" applyFont="1" applyFill="1" applyBorder="1" applyAlignment="1" applyProtection="1">
      <alignment horizontal="center"/>
      <protection locked="0" hidden="1"/>
    </xf>
    <xf numFmtId="0" fontId="0" fillId="12" borderId="9" xfId="0" applyFill="1" applyBorder="1"/>
    <xf numFmtId="0" fontId="6" fillId="6" borderId="24" xfId="0" applyFont="1" applyFill="1" applyBorder="1" applyAlignment="1">
      <alignment horizontal="left"/>
    </xf>
    <xf numFmtId="0" fontId="21" fillId="6" borderId="7" xfId="0" applyFont="1" applyFill="1" applyBorder="1"/>
    <xf numFmtId="0" fontId="0" fillId="5" borderId="91" xfId="0" applyFill="1" applyBorder="1"/>
    <xf numFmtId="0" fontId="38" fillId="10" borderId="12" xfId="0" applyFont="1" applyFill="1" applyBorder="1" applyAlignment="1">
      <alignment horizontal="left"/>
    </xf>
    <xf numFmtId="0" fontId="40" fillId="6" borderId="7" xfId="0" applyFont="1" applyFill="1" applyBorder="1"/>
    <xf numFmtId="0" fontId="6" fillId="6" borderId="7" xfId="0" applyFont="1" applyFill="1" applyBorder="1" applyAlignment="1">
      <alignment horizontal="center"/>
    </xf>
    <xf numFmtId="0" fontId="34" fillId="0" borderId="0" xfId="0" applyFont="1" applyBorder="1" applyAlignment="1">
      <alignment horizontal="center"/>
    </xf>
    <xf numFmtId="0" fontId="5" fillId="0" borderId="14" xfId="0" applyFont="1" applyFill="1" applyBorder="1"/>
    <xf numFmtId="9" fontId="4" fillId="0" borderId="25" xfId="0" applyNumberFormat="1" applyFont="1" applyBorder="1"/>
    <xf numFmtId="9" fontId="4" fillId="0" borderId="15" xfId="0" applyNumberFormat="1" applyFont="1" applyBorder="1"/>
    <xf numFmtId="0" fontId="2" fillId="0" borderId="0" xfId="5" applyNumberFormat="1" applyFont="1" applyAlignment="1">
      <alignment horizontal="left"/>
    </xf>
    <xf numFmtId="0" fontId="9" fillId="4" borderId="10" xfId="0" applyFont="1" applyFill="1" applyBorder="1" applyAlignment="1" applyProtection="1">
      <alignment horizontal="right" vertical="center"/>
      <protection locked="0"/>
    </xf>
    <xf numFmtId="0" fontId="0" fillId="5" borderId="14" xfId="0" applyFill="1" applyBorder="1" applyAlignment="1">
      <alignment horizontal="left"/>
    </xf>
    <xf numFmtId="0" fontId="0" fillId="5" borderId="15" xfId="0" applyFill="1" applyBorder="1" applyAlignment="1">
      <alignment horizontal="left"/>
    </xf>
    <xf numFmtId="0" fontId="0" fillId="5" borderId="25" xfId="0" applyFill="1" applyBorder="1" applyAlignment="1">
      <alignment horizontal="left"/>
    </xf>
    <xf numFmtId="0" fontId="0" fillId="5" borderId="12" xfId="0" applyFill="1" applyBorder="1" applyAlignment="1">
      <alignment horizontal="left"/>
    </xf>
    <xf numFmtId="0" fontId="0" fillId="5" borderId="7" xfId="0" applyFill="1" applyBorder="1" applyAlignment="1">
      <alignment horizontal="left"/>
    </xf>
    <xf numFmtId="0" fontId="13" fillId="5" borderId="24" xfId="0" applyFont="1" applyFill="1" applyBorder="1" applyAlignment="1">
      <alignment horizontal="left"/>
    </xf>
    <xf numFmtId="0" fontId="13" fillId="5" borderId="0" xfId="0" applyFont="1" applyFill="1" applyBorder="1" applyAlignment="1">
      <alignment horizontal="left"/>
    </xf>
    <xf numFmtId="0" fontId="13" fillId="5" borderId="25" xfId="0" applyFont="1" applyFill="1" applyBorder="1" applyAlignment="1">
      <alignment horizontal="left"/>
    </xf>
    <xf numFmtId="0" fontId="0" fillId="5" borderId="91" xfId="0" applyFill="1" applyBorder="1" applyAlignment="1">
      <alignment horizontal="left"/>
    </xf>
    <xf numFmtId="0" fontId="0" fillId="5" borderId="69" xfId="0" applyFill="1" applyBorder="1" applyAlignment="1">
      <alignment horizontal="left"/>
    </xf>
    <xf numFmtId="0" fontId="0" fillId="5" borderId="89" xfId="0" applyFill="1" applyBorder="1" applyAlignment="1">
      <alignment horizontal="left"/>
    </xf>
    <xf numFmtId="0" fontId="6" fillId="6" borderId="22" xfId="0" applyFont="1" applyFill="1" applyBorder="1" applyAlignment="1">
      <alignment horizontal="right"/>
    </xf>
    <xf numFmtId="0" fontId="6" fillId="6" borderId="26" xfId="0" applyFont="1" applyFill="1" applyBorder="1" applyAlignment="1">
      <alignment horizontal="right"/>
    </xf>
    <xf numFmtId="0" fontId="6" fillId="6" borderId="12" xfId="0" applyFont="1" applyFill="1" applyBorder="1" applyAlignment="1">
      <alignment horizontal="left"/>
    </xf>
    <xf numFmtId="0" fontId="6" fillId="6" borderId="7" xfId="0" applyFont="1" applyFill="1" applyBorder="1" applyAlignment="1">
      <alignment horizontal="left"/>
    </xf>
    <xf numFmtId="0" fontId="6" fillId="6" borderId="8" xfId="0" applyFont="1" applyFill="1" applyBorder="1" applyAlignment="1">
      <alignment horizontal="right"/>
    </xf>
    <xf numFmtId="0" fontId="13" fillId="5" borderId="12" xfId="0" applyFont="1" applyFill="1" applyBorder="1" applyAlignment="1">
      <alignment horizontal="left"/>
    </xf>
    <xf numFmtId="0" fontId="13" fillId="5" borderId="8" xfId="0" applyFont="1" applyFill="1" applyBorder="1" applyAlignment="1">
      <alignment horizontal="left"/>
    </xf>
    <xf numFmtId="0" fontId="4" fillId="0" borderId="0" xfId="0" applyFont="1" applyBorder="1" applyAlignment="1">
      <alignment horizontal="left"/>
    </xf>
    <xf numFmtId="0" fontId="4" fillId="0" borderId="25" xfId="0" applyFont="1" applyFill="1" applyBorder="1" applyAlignment="1" applyProtection="1">
      <alignment horizontal="left" vertical="center"/>
    </xf>
    <xf numFmtId="0" fontId="4" fillId="5" borderId="0" xfId="0" applyFont="1" applyFill="1" applyBorder="1" applyAlignment="1" applyProtection="1">
      <alignment horizontal="left" vertical="center"/>
      <protection hidden="1"/>
    </xf>
    <xf numFmtId="168" fontId="4" fillId="5" borderId="0" xfId="0" applyNumberFormat="1" applyFont="1" applyFill="1" applyBorder="1" applyAlignment="1" applyProtection="1">
      <alignment horizontal="left"/>
      <protection hidden="1"/>
    </xf>
    <xf numFmtId="168" fontId="4" fillId="5" borderId="0" xfId="0" applyNumberFormat="1" applyFont="1" applyFill="1" applyBorder="1" applyAlignment="1" applyProtection="1">
      <alignment horizontal="left" vertical="center"/>
      <protection hidden="1"/>
    </xf>
    <xf numFmtId="0" fontId="4" fillId="0" borderId="26" xfId="0" applyFont="1" applyFill="1" applyBorder="1" applyProtection="1"/>
    <xf numFmtId="170" fontId="8" fillId="5" borderId="0" xfId="0" applyNumberFormat="1" applyFont="1" applyFill="1" applyBorder="1" applyAlignment="1" applyProtection="1">
      <alignment horizontal="center" vertical="center"/>
    </xf>
    <xf numFmtId="0" fontId="9" fillId="5" borderId="42" xfId="0" applyFont="1" applyFill="1" applyBorder="1" applyAlignment="1" applyProtection="1">
      <alignment horizontal="center" vertical="center"/>
    </xf>
    <xf numFmtId="0" fontId="8" fillId="10" borderId="30" xfId="0" applyFont="1" applyFill="1" applyBorder="1" applyAlignment="1" applyProtection="1">
      <alignment horizontal="center" vertical="center"/>
      <protection locked="0"/>
    </xf>
    <xf numFmtId="0" fontId="25" fillId="5" borderId="0" xfId="0" applyFont="1" applyFill="1" applyBorder="1" applyAlignment="1" applyProtection="1">
      <alignment vertical="center"/>
    </xf>
    <xf numFmtId="0" fontId="4" fillId="5" borderId="27" xfId="0" applyFont="1" applyFill="1" applyBorder="1" applyAlignment="1" applyProtection="1">
      <alignment horizontal="center" vertical="center"/>
    </xf>
    <xf numFmtId="0" fontId="4" fillId="5" borderId="27" xfId="0" applyFont="1" applyFill="1" applyBorder="1" applyAlignment="1" applyProtection="1">
      <alignment vertical="center"/>
    </xf>
    <xf numFmtId="165" fontId="4" fillId="5" borderId="10" xfId="0" applyNumberFormat="1" applyFont="1" applyFill="1" applyBorder="1" applyAlignment="1" applyProtection="1">
      <alignment horizontal="center" vertical="center"/>
      <protection locked="0"/>
    </xf>
    <xf numFmtId="0" fontId="4" fillId="5" borderId="37" xfId="0" applyFont="1" applyFill="1" applyBorder="1" applyAlignment="1" applyProtection="1">
      <alignment horizontal="center" vertical="center"/>
    </xf>
    <xf numFmtId="165" fontId="33" fillId="5" borderId="28" xfId="0" applyNumberFormat="1" applyFont="1" applyFill="1" applyBorder="1" applyAlignment="1" applyProtection="1">
      <alignment horizontal="left" vertical="center"/>
    </xf>
    <xf numFmtId="165" fontId="4" fillId="5" borderId="28" xfId="0" applyNumberFormat="1" applyFont="1" applyFill="1" applyBorder="1" applyAlignment="1" applyProtection="1">
      <alignment horizontal="center" vertical="center"/>
    </xf>
    <xf numFmtId="167" fontId="4" fillId="5" borderId="10" xfId="0" applyNumberFormat="1" applyFont="1" applyFill="1" applyBorder="1" applyAlignment="1" applyProtection="1">
      <alignment horizontal="center" vertical="center"/>
    </xf>
    <xf numFmtId="167" fontId="4" fillId="5" borderId="28" xfId="0" applyNumberFormat="1" applyFont="1" applyFill="1" applyBorder="1" applyAlignment="1" applyProtection="1">
      <alignment horizontal="center" vertical="center"/>
    </xf>
    <xf numFmtId="9" fontId="4" fillId="5" borderId="34" xfId="4" applyNumberFormat="1" applyFont="1" applyFill="1" applyBorder="1" applyAlignment="1" applyProtection="1">
      <alignment horizontal="center" vertical="center"/>
    </xf>
    <xf numFmtId="167" fontId="4" fillId="5" borderId="27" xfId="0" applyNumberFormat="1" applyFont="1" applyFill="1" applyBorder="1" applyAlignment="1" applyProtection="1">
      <alignment horizontal="center" vertical="center"/>
    </xf>
    <xf numFmtId="0" fontId="4" fillId="5" borderId="81" xfId="0" applyFont="1" applyFill="1" applyBorder="1" applyAlignment="1" applyProtection="1">
      <alignment horizontal="center" vertical="center"/>
    </xf>
    <xf numFmtId="165" fontId="4" fillId="5" borderId="47" xfId="0" applyNumberFormat="1"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165" fontId="4" fillId="5" borderId="10" xfId="0" applyNumberFormat="1" applyFont="1" applyFill="1" applyBorder="1" applyAlignment="1" applyProtection="1">
      <alignment horizontal="center" vertical="center"/>
    </xf>
    <xf numFmtId="0" fontId="4" fillId="5" borderId="10" xfId="0" applyFont="1" applyFill="1" applyBorder="1" applyAlignment="1" applyProtection="1">
      <alignment horizontal="center" vertical="center" wrapText="1"/>
    </xf>
    <xf numFmtId="9" fontId="4" fillId="5" borderId="10" xfId="4" applyNumberFormat="1" applyFont="1" applyFill="1" applyBorder="1" applyAlignment="1" applyProtection="1">
      <alignment horizontal="center" vertical="center"/>
    </xf>
    <xf numFmtId="0" fontId="4" fillId="5" borderId="30" xfId="0" applyFont="1" applyFill="1" applyBorder="1" applyAlignment="1" applyProtection="1">
      <alignment horizontal="center" vertical="center" wrapText="1"/>
    </xf>
    <xf numFmtId="0" fontId="4" fillId="5" borderId="35" xfId="0" applyFont="1" applyFill="1" applyBorder="1" applyAlignment="1" applyProtection="1">
      <alignment vertical="center"/>
    </xf>
    <xf numFmtId="0" fontId="4" fillId="5" borderId="36" xfId="0" applyFont="1" applyFill="1" applyBorder="1" applyAlignment="1" applyProtection="1">
      <alignment horizontal="center" vertical="center"/>
    </xf>
    <xf numFmtId="0" fontId="4" fillId="5" borderId="10" xfId="0" applyFont="1" applyFill="1" applyBorder="1" applyAlignment="1" applyProtection="1">
      <alignment vertical="center"/>
    </xf>
    <xf numFmtId="0" fontId="4" fillId="5" borderId="37" xfId="0" applyFont="1" applyFill="1" applyBorder="1" applyAlignment="1" applyProtection="1">
      <alignment vertical="center"/>
    </xf>
    <xf numFmtId="0" fontId="4" fillId="5" borderId="65" xfId="0" applyFont="1" applyFill="1" applyBorder="1" applyAlignment="1" applyProtection="1">
      <alignment horizontal="center" vertical="center"/>
    </xf>
    <xf numFmtId="0" fontId="4" fillId="5" borderId="40" xfId="0" applyFont="1" applyFill="1" applyBorder="1" applyAlignment="1" applyProtection="1">
      <alignment horizontal="center" vertical="center"/>
    </xf>
    <xf numFmtId="0" fontId="5" fillId="5" borderId="10" xfId="0" applyFont="1" applyFill="1" applyBorder="1" applyAlignment="1" applyProtection="1">
      <alignment horizontal="center" vertical="center"/>
    </xf>
    <xf numFmtId="0" fontId="36" fillId="5" borderId="66" xfId="0" applyFont="1" applyFill="1" applyBorder="1" applyAlignment="1" applyProtection="1">
      <alignment horizontal="center" vertical="center"/>
    </xf>
    <xf numFmtId="0" fontId="4" fillId="5" borderId="66" xfId="0" applyFont="1" applyFill="1" applyBorder="1" applyAlignment="1" applyProtection="1">
      <alignment horizontal="center" vertical="center"/>
    </xf>
    <xf numFmtId="0" fontId="5" fillId="5" borderId="66" xfId="0" applyFont="1" applyFill="1" applyBorder="1" applyAlignment="1" applyProtection="1">
      <alignment horizontal="center" vertical="center"/>
    </xf>
    <xf numFmtId="0" fontId="5" fillId="5" borderId="13" xfId="0" applyFont="1" applyFill="1" applyBorder="1" applyAlignment="1" applyProtection="1">
      <alignment horizontal="center" vertical="center"/>
    </xf>
    <xf numFmtId="9" fontId="4" fillId="0" borderId="0" xfId="0" applyNumberFormat="1" applyFont="1" applyBorder="1"/>
    <xf numFmtId="0" fontId="4" fillId="5" borderId="10" xfId="0" applyFont="1" applyFill="1" applyBorder="1" applyAlignment="1" applyProtection="1">
      <alignment horizontal="left" vertical="center"/>
    </xf>
    <xf numFmtId="0" fontId="4" fillId="10" borderId="10" xfId="0" applyFont="1" applyFill="1" applyBorder="1" applyAlignment="1" applyProtection="1">
      <alignment horizontal="center" vertical="center"/>
    </xf>
    <xf numFmtId="0" fontId="4" fillId="10" borderId="30" xfId="0" applyFont="1" applyFill="1" applyBorder="1" applyAlignment="1" applyProtection="1">
      <alignment horizontal="center" vertical="center"/>
    </xf>
    <xf numFmtId="170" fontId="4" fillId="5" borderId="50" xfId="0" applyNumberFormat="1" applyFont="1" applyFill="1" applyBorder="1" applyProtection="1"/>
    <xf numFmtId="170" fontId="4" fillId="5" borderId="51" xfId="0" applyNumberFormat="1" applyFont="1" applyFill="1" applyBorder="1" applyAlignment="1" applyProtection="1">
      <alignment horizontal="center"/>
    </xf>
    <xf numFmtId="0" fontId="0" fillId="5" borderId="25" xfId="0" applyFill="1" applyBorder="1" applyAlignment="1" applyProtection="1">
      <alignment horizontal="left"/>
      <protection locked="0"/>
    </xf>
    <xf numFmtId="0" fontId="0" fillId="5" borderId="15" xfId="0" applyFill="1" applyBorder="1" applyAlignment="1" applyProtection="1">
      <alignment horizontal="left"/>
      <protection locked="0"/>
    </xf>
    <xf numFmtId="166" fontId="4" fillId="5" borderId="10" xfId="0" applyNumberFormat="1" applyFont="1" applyFill="1" applyBorder="1" applyAlignment="1" applyProtection="1">
      <alignment horizontal="center" vertical="center"/>
      <protection locked="0"/>
    </xf>
    <xf numFmtId="0" fontId="9" fillId="5" borderId="21" xfId="0" applyFont="1" applyFill="1" applyBorder="1" applyProtection="1"/>
    <xf numFmtId="0" fontId="3" fillId="5" borderId="11" xfId="0" applyFont="1" applyFill="1" applyBorder="1" applyAlignment="1" applyProtection="1">
      <alignment horizontal="center"/>
    </xf>
    <xf numFmtId="0" fontId="3" fillId="5" borderId="92" xfId="0" applyFont="1" applyFill="1" applyBorder="1" applyAlignment="1" applyProtection="1">
      <alignment horizontal="center"/>
    </xf>
    <xf numFmtId="0" fontId="8" fillId="5" borderId="12" xfId="0" applyFont="1" applyFill="1" applyBorder="1" applyAlignment="1">
      <alignment horizontal="left" vertical="center"/>
    </xf>
    <xf numFmtId="0" fontId="8" fillId="5" borderId="40" xfId="0" applyFont="1" applyFill="1" applyBorder="1" applyAlignment="1">
      <alignment horizontal="center"/>
    </xf>
    <xf numFmtId="0" fontId="13" fillId="5" borderId="40" xfId="0" applyFont="1" applyFill="1" applyBorder="1" applyAlignment="1" applyProtection="1">
      <alignment horizontal="center"/>
    </xf>
    <xf numFmtId="49" fontId="8" fillId="5" borderId="7" xfId="0" applyNumberFormat="1" applyFont="1" applyFill="1" applyBorder="1" applyAlignment="1">
      <alignment horizontal="center" vertical="center"/>
    </xf>
    <xf numFmtId="0" fontId="13" fillId="5" borderId="49" xfId="0" applyFont="1" applyFill="1" applyBorder="1" applyProtection="1"/>
    <xf numFmtId="0" fontId="13" fillId="5" borderId="41" xfId="0" applyFont="1" applyFill="1" applyBorder="1" applyProtection="1"/>
    <xf numFmtId="169" fontId="13" fillId="5" borderId="41" xfId="0" applyNumberFormat="1" applyFont="1" applyFill="1" applyBorder="1" applyAlignment="1" applyProtection="1">
      <alignment horizontal="center"/>
    </xf>
    <xf numFmtId="0" fontId="8" fillId="5" borderId="41" xfId="0" applyFont="1" applyFill="1" applyBorder="1" applyProtection="1"/>
    <xf numFmtId="0" fontId="13" fillId="5" borderId="41" xfId="0" applyFont="1" applyFill="1" applyBorder="1" applyAlignment="1" applyProtection="1">
      <alignment horizontal="center"/>
    </xf>
    <xf numFmtId="1" fontId="13" fillId="5" borderId="32" xfId="0" applyNumberFormat="1" applyFont="1" applyFill="1" applyBorder="1" applyAlignment="1" applyProtection="1">
      <alignment horizontal="center"/>
    </xf>
    <xf numFmtId="0" fontId="9" fillId="5" borderId="21" xfId="0" applyFont="1" applyFill="1" applyBorder="1" applyAlignment="1" applyProtection="1">
      <alignment vertical="center"/>
    </xf>
    <xf numFmtId="0" fontId="9" fillId="5" borderId="14" xfId="0" applyFont="1" applyFill="1" applyBorder="1" applyAlignment="1">
      <alignment vertical="center"/>
    </xf>
    <xf numFmtId="0" fontId="9" fillId="5" borderId="14" xfId="0" applyFont="1" applyFill="1" applyBorder="1" applyProtection="1"/>
    <xf numFmtId="0" fontId="9" fillId="5" borderId="93" xfId="0" applyFont="1" applyFill="1" applyBorder="1" applyAlignment="1" applyProtection="1">
      <alignment horizontal="center"/>
    </xf>
    <xf numFmtId="172" fontId="8" fillId="5" borderId="32" xfId="4" applyNumberFormat="1" applyFont="1" applyFill="1" applyBorder="1" applyAlignment="1">
      <alignment horizontal="center"/>
    </xf>
    <xf numFmtId="169" fontId="8" fillId="5" borderId="32" xfId="4" applyNumberFormat="1" applyFont="1" applyFill="1" applyBorder="1" applyAlignment="1">
      <alignment horizontal="center" vertical="center"/>
    </xf>
    <xf numFmtId="0" fontId="4" fillId="5" borderId="94" xfId="0" applyFont="1" applyFill="1" applyBorder="1" applyAlignment="1" applyProtection="1">
      <alignment horizontal="center"/>
    </xf>
    <xf numFmtId="172" fontId="8" fillId="5" borderId="31" xfId="4" applyNumberFormat="1" applyFont="1" applyFill="1" applyBorder="1" applyAlignment="1">
      <alignment horizontal="center" vertical="center"/>
    </xf>
    <xf numFmtId="172" fontId="13" fillId="5" borderId="31" xfId="4" applyNumberFormat="1" applyFont="1" applyFill="1" applyBorder="1" applyAlignment="1" applyProtection="1">
      <alignment horizontal="center" vertical="center"/>
    </xf>
    <xf numFmtId="0" fontId="11" fillId="5" borderId="40" xfId="0" applyFont="1" applyFill="1" applyBorder="1" applyAlignment="1" applyProtection="1">
      <alignment horizontal="center"/>
    </xf>
    <xf numFmtId="0" fontId="4" fillId="5" borderId="8" xfId="0" applyFont="1" applyFill="1" applyBorder="1" applyAlignment="1" applyProtection="1">
      <alignment horizontal="center"/>
    </xf>
    <xf numFmtId="0" fontId="4" fillId="5" borderId="15" xfId="0" applyFont="1" applyFill="1" applyBorder="1" applyAlignment="1" applyProtection="1">
      <alignment horizontal="center"/>
    </xf>
    <xf numFmtId="0" fontId="4" fillId="5" borderId="40" xfId="0" applyFont="1" applyFill="1" applyBorder="1" applyAlignment="1" applyProtection="1">
      <alignment horizontal="center"/>
    </xf>
    <xf numFmtId="0" fontId="13" fillId="5" borderId="66" xfId="0" applyFont="1" applyFill="1" applyBorder="1" applyAlignment="1" applyProtection="1">
      <alignment horizontal="center"/>
    </xf>
    <xf numFmtId="0" fontId="46" fillId="5" borderId="28" xfId="0" applyFont="1" applyFill="1" applyBorder="1" applyAlignment="1" applyProtection="1">
      <alignment horizontal="center" vertical="center" wrapText="1"/>
    </xf>
    <xf numFmtId="0" fontId="13" fillId="5" borderId="48" xfId="0" applyFont="1" applyFill="1" applyBorder="1" applyAlignment="1" applyProtection="1">
      <alignment horizontal="center"/>
    </xf>
    <xf numFmtId="0" fontId="47" fillId="5" borderId="47" xfId="0" applyFont="1" applyFill="1" applyBorder="1" applyAlignment="1" applyProtection="1">
      <alignment horizontal="left" vertical="center"/>
    </xf>
    <xf numFmtId="169" fontId="13" fillId="5" borderId="8" xfId="0" applyNumberFormat="1" applyFont="1" applyFill="1" applyBorder="1" applyAlignment="1" applyProtection="1">
      <alignment horizontal="center"/>
    </xf>
    <xf numFmtId="169" fontId="13" fillId="5" borderId="34" xfId="0" applyNumberFormat="1" applyFont="1" applyFill="1" applyBorder="1" applyAlignment="1" applyProtection="1">
      <alignment horizontal="center"/>
    </xf>
    <xf numFmtId="169" fontId="9" fillId="5" borderId="15" xfId="0" applyNumberFormat="1" applyFont="1" applyFill="1" applyBorder="1" applyAlignment="1" applyProtection="1">
      <alignment horizontal="center"/>
    </xf>
    <xf numFmtId="0" fontId="2" fillId="0" borderId="0" xfId="5" applyNumberFormat="1" applyFont="1"/>
    <xf numFmtId="0" fontId="2" fillId="0" borderId="0" xfId="5" applyNumberFormat="1" applyFont="1" applyBorder="1"/>
    <xf numFmtId="0" fontId="3" fillId="0" borderId="0" xfId="5" applyNumberFormat="1" applyFont="1"/>
    <xf numFmtId="0" fontId="2" fillId="0" borderId="14" xfId="5" applyNumberFormat="1" applyFont="1" applyBorder="1" applyAlignment="1">
      <alignment horizontal="left"/>
    </xf>
    <xf numFmtId="0" fontId="2" fillId="0" borderId="14" xfId="5" applyNumberFormat="1" applyFont="1" applyBorder="1"/>
    <xf numFmtId="0" fontId="41" fillId="0" borderId="0" xfId="5" applyNumberFormat="1" applyFont="1" applyAlignment="1">
      <alignment horizontal="left"/>
    </xf>
    <xf numFmtId="0" fontId="42" fillId="0" borderId="0" xfId="5" applyNumberFormat="1" applyFont="1"/>
    <xf numFmtId="0" fontId="43" fillId="0" borderId="0" xfId="5" applyNumberFormat="1" applyFont="1"/>
    <xf numFmtId="0" fontId="1" fillId="0" borderId="0" xfId="5" applyNumberFormat="1" applyFont="1" applyAlignment="1">
      <alignment horizontal="left"/>
    </xf>
    <xf numFmtId="0" fontId="2" fillId="0" borderId="0" xfId="5" applyNumberFormat="1" applyFont="1" applyFill="1" applyBorder="1"/>
    <xf numFmtId="0" fontId="2" fillId="0" borderId="0" xfId="5" applyNumberFormat="1" applyFont="1" applyBorder="1" applyAlignment="1">
      <alignment horizontal="left" vertical="top"/>
    </xf>
    <xf numFmtId="0" fontId="2" fillId="0" borderId="0" xfId="5" applyNumberFormat="1" applyFont="1" applyBorder="1" applyAlignment="1">
      <alignment horizontal="left"/>
    </xf>
    <xf numFmtId="0" fontId="44" fillId="0" borderId="0" xfId="5" applyNumberFormat="1" applyFont="1"/>
    <xf numFmtId="0" fontId="2" fillId="0" borderId="0" xfId="5" applyNumberFormat="1" applyFont="1" applyAlignment="1">
      <alignment horizontal="left" vertical="top" wrapText="1"/>
    </xf>
    <xf numFmtId="0" fontId="2" fillId="0" borderId="0" xfId="5" applyNumberFormat="1" applyFont="1" applyBorder="1" applyAlignment="1">
      <alignment vertical="top" wrapText="1"/>
    </xf>
    <xf numFmtId="0" fontId="2" fillId="0" borderId="0" xfId="5" applyNumberFormat="1" applyFont="1" applyBorder="1" applyAlignment="1">
      <alignment horizontal="center" vertical="top" wrapText="1"/>
    </xf>
    <xf numFmtId="0" fontId="2" fillId="0" borderId="0" xfId="5" applyNumberFormat="1" applyFont="1" applyAlignment="1">
      <alignment horizontal="left" vertical="center"/>
    </xf>
    <xf numFmtId="0" fontId="2" fillId="0" borderId="0" xfId="5" applyNumberFormat="1" applyFont="1" applyBorder="1" applyAlignment="1">
      <alignment vertical="center"/>
    </xf>
    <xf numFmtId="0" fontId="2" fillId="0" borderId="0" xfId="5" applyNumberFormat="1" applyFont="1" applyBorder="1" applyAlignment="1">
      <alignment horizontal="center" vertical="center"/>
    </xf>
    <xf numFmtId="0" fontId="44" fillId="0" borderId="0" xfId="5" applyNumberFormat="1" applyFont="1" applyBorder="1" applyAlignment="1">
      <alignment vertical="center"/>
    </xf>
    <xf numFmtId="0" fontId="2" fillId="0" borderId="0" xfId="5" applyNumberFormat="1" applyFont="1" applyAlignment="1">
      <alignment vertical="top" wrapText="1"/>
    </xf>
    <xf numFmtId="0" fontId="2" fillId="0" borderId="0" xfId="5" applyNumberFormat="1" applyFont="1" applyAlignment="1">
      <alignment vertical="center"/>
    </xf>
    <xf numFmtId="0" fontId="41" fillId="0" borderId="0" xfId="5" applyNumberFormat="1" applyFont="1"/>
    <xf numFmtId="0" fontId="2" fillId="0" borderId="0" xfId="5" applyNumberFormat="1" applyFont="1" applyBorder="1" applyAlignment="1">
      <alignment horizontal="right"/>
    </xf>
    <xf numFmtId="0" fontId="2" fillId="0" borderId="0" xfId="5" applyNumberFormat="1" applyFont="1" applyAlignment="1">
      <alignment horizontal="center"/>
    </xf>
    <xf numFmtId="0" fontId="2" fillId="0" borderId="0" xfId="5" applyNumberFormat="1" applyFont="1" applyAlignment="1">
      <alignment horizontal="right"/>
    </xf>
    <xf numFmtId="0" fontId="6" fillId="6" borderId="12" xfId="5" applyNumberFormat="1" applyFont="1" applyFill="1" applyBorder="1" applyAlignment="1">
      <alignment horizontal="left"/>
    </xf>
    <xf numFmtId="174" fontId="3" fillId="4" borderId="14" xfId="5" applyNumberFormat="1" applyFont="1" applyFill="1" applyBorder="1" applyAlignment="1">
      <alignment horizontal="left"/>
    </xf>
    <xf numFmtId="0" fontId="9" fillId="0" borderId="0" xfId="5" applyNumberFormat="1" applyFont="1"/>
    <xf numFmtId="0" fontId="8" fillId="0" borderId="0" xfId="5" applyNumberFormat="1" applyFont="1"/>
    <xf numFmtId="0" fontId="8" fillId="0" borderId="0" xfId="5" applyNumberFormat="1" applyFont="1" applyBorder="1"/>
    <xf numFmtId="0" fontId="8" fillId="0" borderId="0" xfId="5" applyNumberFormat="1" applyFont="1" applyBorder="1" applyAlignment="1">
      <alignment horizontal="right"/>
    </xf>
    <xf numFmtId="0" fontId="6" fillId="6" borderId="7" xfId="5" applyNumberFormat="1" applyFont="1" applyFill="1" applyBorder="1"/>
    <xf numFmtId="0" fontId="6" fillId="6" borderId="12" xfId="5" applyNumberFormat="1" applyFont="1" applyFill="1" applyBorder="1"/>
    <xf numFmtId="0" fontId="33" fillId="6" borderId="8" xfId="5" applyNumberFormat="1" applyFont="1" applyFill="1" applyBorder="1"/>
    <xf numFmtId="0" fontId="33" fillId="6" borderId="24" xfId="5" applyNumberFormat="1" applyFont="1" applyFill="1" applyBorder="1"/>
    <xf numFmtId="0" fontId="33" fillId="6" borderId="12" xfId="5" applyNumberFormat="1" applyFont="1" applyFill="1" applyBorder="1"/>
    <xf numFmtId="0" fontId="33" fillId="6" borderId="23" xfId="5" applyNumberFormat="1" applyFont="1" applyFill="1" applyBorder="1" applyAlignment="1">
      <alignment horizontal="center"/>
    </xf>
    <xf numFmtId="0" fontId="20" fillId="0" borderId="0" xfId="5" applyNumberFormat="1" applyFont="1"/>
    <xf numFmtId="0" fontId="6" fillId="6" borderId="22" xfId="0" applyFont="1" applyFill="1" applyBorder="1"/>
    <xf numFmtId="1" fontId="0" fillId="5" borderId="22" xfId="0" applyNumberFormat="1" applyFill="1" applyBorder="1" applyAlignment="1">
      <alignment horizontal="center"/>
    </xf>
    <xf numFmtId="2" fontId="0" fillId="5" borderId="22" xfId="0" applyNumberFormat="1" applyFill="1" applyBorder="1" applyAlignment="1">
      <alignment horizontal="center"/>
    </xf>
    <xf numFmtId="169" fontId="0" fillId="5" borderId="22" xfId="0" applyNumberFormat="1" applyFill="1" applyBorder="1" applyAlignment="1">
      <alignment horizontal="center"/>
    </xf>
    <xf numFmtId="2" fontId="0" fillId="5" borderId="26" xfId="0" applyNumberFormat="1" applyFill="1" applyBorder="1" applyAlignment="1">
      <alignment horizontal="center"/>
    </xf>
    <xf numFmtId="0" fontId="6" fillId="6" borderId="41" xfId="0" applyFont="1" applyFill="1" applyBorder="1" applyAlignment="1">
      <alignment horizontal="left"/>
    </xf>
    <xf numFmtId="0" fontId="6" fillId="6" borderId="25" xfId="0" applyFont="1" applyFill="1" applyBorder="1" applyAlignment="1">
      <alignment horizontal="center"/>
    </xf>
    <xf numFmtId="0" fontId="0" fillId="5" borderId="22" xfId="0" applyFill="1" applyBorder="1" applyAlignment="1" applyProtection="1">
      <alignment horizontal="center"/>
      <protection locked="0"/>
    </xf>
    <xf numFmtId="0" fontId="13" fillId="5" borderId="30" xfId="0" applyFont="1" applyFill="1" applyBorder="1" applyAlignment="1" applyProtection="1">
      <alignment horizontal="center"/>
    </xf>
    <xf numFmtId="0" fontId="48" fillId="5" borderId="0" xfId="0" applyFont="1" applyFill="1"/>
    <xf numFmtId="0" fontId="6" fillId="6" borderId="8" xfId="0" applyFont="1" applyFill="1" applyBorder="1" applyAlignment="1">
      <alignment horizontal="left"/>
    </xf>
    <xf numFmtId="0" fontId="18" fillId="13" borderId="0" xfId="0" applyFont="1" applyFill="1"/>
    <xf numFmtId="0" fontId="13" fillId="13" borderId="14" xfId="0" applyFont="1" applyFill="1" applyBorder="1" applyAlignment="1" applyProtection="1">
      <alignment vertical="center"/>
    </xf>
    <xf numFmtId="0" fontId="0" fillId="13" borderId="9" xfId="0" applyFill="1" applyBorder="1"/>
    <xf numFmtId="0" fontId="0" fillId="13" borderId="0" xfId="0" applyFill="1"/>
    <xf numFmtId="0" fontId="8" fillId="13" borderId="9" xfId="0" applyFont="1" applyFill="1" applyBorder="1" applyAlignment="1">
      <alignment vertical="center"/>
    </xf>
    <xf numFmtId="0" fontId="0" fillId="13" borderId="0" xfId="0" applyFill="1" applyBorder="1"/>
    <xf numFmtId="0" fontId="13" fillId="13" borderId="9" xfId="0" applyFont="1" applyFill="1" applyBorder="1" applyAlignment="1" applyProtection="1">
      <alignment vertical="center"/>
    </xf>
    <xf numFmtId="0" fontId="3" fillId="13" borderId="0" xfId="0" applyFont="1" applyFill="1"/>
    <xf numFmtId="0" fontId="13" fillId="13" borderId="0" xfId="0" applyFont="1" applyFill="1" applyBorder="1" applyAlignment="1" applyProtection="1">
      <alignment vertical="center"/>
    </xf>
    <xf numFmtId="0" fontId="13" fillId="13" borderId="14" xfId="0" applyFont="1" applyFill="1" applyBorder="1" applyProtection="1"/>
    <xf numFmtId="0" fontId="13" fillId="13" borderId="9" xfId="0" applyFont="1" applyFill="1" applyBorder="1" applyProtection="1"/>
    <xf numFmtId="165" fontId="8" fillId="13" borderId="9" xfId="0" applyNumberFormat="1" applyFont="1" applyFill="1" applyBorder="1" applyAlignment="1">
      <alignment horizontal="center" vertical="center"/>
    </xf>
    <xf numFmtId="0" fontId="8" fillId="13" borderId="9" xfId="0" applyFont="1" applyFill="1" applyBorder="1" applyAlignment="1">
      <alignment horizontal="center" vertical="center"/>
    </xf>
    <xf numFmtId="0" fontId="8" fillId="13" borderId="9" xfId="0" applyFont="1" applyFill="1" applyBorder="1" applyAlignment="1">
      <alignment horizontal="left" vertical="center"/>
    </xf>
    <xf numFmtId="0" fontId="13" fillId="13" borderId="9" xfId="0" applyFont="1" applyFill="1" applyBorder="1" applyAlignment="1" applyProtection="1">
      <alignment horizontal="left"/>
    </xf>
    <xf numFmtId="0" fontId="13" fillId="13" borderId="0" xfId="0" applyFont="1" applyFill="1" applyBorder="1" applyProtection="1"/>
    <xf numFmtId="0" fontId="0" fillId="13" borderId="0" xfId="0" applyFill="1" applyAlignment="1">
      <alignment horizontal="center"/>
    </xf>
    <xf numFmtId="0" fontId="13" fillId="13" borderId="14" xfId="0" applyFont="1" applyFill="1" applyBorder="1" applyAlignment="1" applyProtection="1">
      <alignment horizontal="center" vertical="center"/>
    </xf>
    <xf numFmtId="0" fontId="9" fillId="13" borderId="21" xfId="0" applyFont="1" applyFill="1" applyBorder="1" applyAlignment="1" applyProtection="1">
      <alignment vertical="center"/>
    </xf>
    <xf numFmtId="0" fontId="9" fillId="13" borderId="14" xfId="0" applyFont="1" applyFill="1" applyBorder="1" applyAlignment="1" applyProtection="1">
      <alignment horizontal="center" vertical="center"/>
    </xf>
    <xf numFmtId="0" fontId="0" fillId="13" borderId="14" xfId="0" applyFill="1" applyBorder="1" applyAlignment="1">
      <alignment horizontal="center"/>
    </xf>
    <xf numFmtId="0" fontId="13" fillId="13" borderId="15" xfId="0" applyFont="1" applyFill="1" applyBorder="1" applyProtection="1"/>
    <xf numFmtId="0" fontId="13" fillId="13" borderId="26" xfId="0" applyFont="1" applyFill="1" applyBorder="1" applyAlignment="1" applyProtection="1">
      <alignment vertical="center"/>
    </xf>
    <xf numFmtId="0" fontId="0" fillId="13" borderId="26" xfId="0" applyFill="1" applyBorder="1"/>
    <xf numFmtId="0" fontId="13" fillId="13" borderId="43" xfId="0" applyFont="1" applyFill="1" applyBorder="1" applyProtection="1"/>
    <xf numFmtId="0" fontId="13" fillId="13" borderId="30" xfId="0" applyFont="1" applyFill="1" applyBorder="1" applyProtection="1"/>
    <xf numFmtId="0" fontId="13" fillId="13" borderId="35" xfId="0" applyFont="1" applyFill="1" applyBorder="1" applyProtection="1"/>
    <xf numFmtId="0" fontId="13" fillId="13" borderId="36" xfId="0" applyFont="1" applyFill="1" applyBorder="1" applyProtection="1"/>
    <xf numFmtId="0" fontId="0" fillId="13" borderId="24" xfId="0" applyFill="1" applyBorder="1"/>
    <xf numFmtId="0" fontId="0" fillId="13" borderId="25" xfId="0" applyFill="1" applyBorder="1"/>
    <xf numFmtId="0" fontId="8" fillId="13" borderId="19" xfId="0" applyFont="1" applyFill="1" applyBorder="1" applyAlignment="1">
      <alignment horizontal="left"/>
    </xf>
    <xf numFmtId="0" fontId="8" fillId="13" borderId="10" xfId="0" applyFont="1" applyFill="1" applyBorder="1" applyAlignment="1">
      <alignment horizontal="left"/>
    </xf>
    <xf numFmtId="0" fontId="13" fillId="13" borderId="10" xfId="0" applyFont="1" applyFill="1" applyBorder="1" applyProtection="1"/>
    <xf numFmtId="0" fontId="13" fillId="13" borderId="37" xfId="0" applyFont="1" applyFill="1" applyBorder="1" applyProtection="1"/>
    <xf numFmtId="165" fontId="8" fillId="13" borderId="28" xfId="0" applyNumberFormat="1" applyFont="1" applyFill="1" applyBorder="1" applyAlignment="1">
      <alignment horizontal="center" vertical="center"/>
    </xf>
    <xf numFmtId="0" fontId="8" fillId="13" borderId="19" xfId="0" applyFont="1" applyFill="1" applyBorder="1" applyAlignment="1">
      <alignment vertical="center"/>
    </xf>
    <xf numFmtId="0" fontId="8" fillId="13" borderId="10" xfId="0" applyFont="1" applyFill="1" applyBorder="1" applyAlignment="1">
      <alignment horizontal="center" vertical="center"/>
    </xf>
    <xf numFmtId="0" fontId="0" fillId="13" borderId="37" xfId="0" applyFill="1" applyBorder="1" applyAlignment="1">
      <alignment horizontal="center"/>
    </xf>
    <xf numFmtId="0" fontId="8" fillId="13" borderId="37" xfId="0" applyFont="1" applyFill="1" applyBorder="1" applyAlignment="1">
      <alignment horizontal="center" vertical="center"/>
    </xf>
    <xf numFmtId="0" fontId="8" fillId="13" borderId="28" xfId="0" applyFont="1" applyFill="1" applyBorder="1" applyAlignment="1">
      <alignment horizontal="left" vertical="center"/>
    </xf>
    <xf numFmtId="49" fontId="8" fillId="13" borderId="10" xfId="0" applyNumberFormat="1" applyFont="1" applyFill="1" applyBorder="1" applyAlignment="1">
      <alignment horizontal="center" vertical="center"/>
    </xf>
    <xf numFmtId="0" fontId="8" fillId="13" borderId="10" xfId="0" applyFont="1" applyFill="1" applyBorder="1" applyAlignment="1">
      <alignment vertical="center"/>
    </xf>
    <xf numFmtId="0" fontId="8" fillId="13" borderId="37" xfId="0" applyFont="1" applyFill="1" applyBorder="1" applyAlignment="1">
      <alignment vertical="center"/>
    </xf>
    <xf numFmtId="0" fontId="8" fillId="13" borderId="28" xfId="0" applyFont="1" applyFill="1" applyBorder="1" applyAlignment="1">
      <alignment vertical="center"/>
    </xf>
    <xf numFmtId="0" fontId="13" fillId="13" borderId="28" xfId="0" applyFont="1" applyFill="1" applyBorder="1" applyAlignment="1" applyProtection="1">
      <alignment horizontal="left"/>
    </xf>
    <xf numFmtId="0" fontId="13" fillId="13" borderId="19" xfId="0" applyFont="1" applyFill="1" applyBorder="1" applyProtection="1"/>
    <xf numFmtId="0" fontId="13" fillId="13" borderId="28" xfId="0" applyFont="1" applyFill="1" applyBorder="1" applyProtection="1"/>
    <xf numFmtId="0" fontId="0" fillId="13" borderId="33" xfId="0" applyFill="1" applyBorder="1"/>
    <xf numFmtId="0" fontId="0" fillId="13" borderId="34" xfId="0" applyFill="1" applyBorder="1"/>
    <xf numFmtId="0" fontId="0" fillId="13" borderId="44" xfId="0" applyFill="1" applyBorder="1"/>
    <xf numFmtId="0" fontId="0" fillId="13" borderId="95" xfId="0" applyFill="1" applyBorder="1"/>
    <xf numFmtId="0" fontId="0" fillId="13" borderId="21" xfId="0" applyFill="1" applyBorder="1"/>
    <xf numFmtId="0" fontId="0" fillId="13" borderId="14" xfId="0" applyFill="1" applyBorder="1"/>
    <xf numFmtId="0" fontId="0" fillId="13" borderId="16" xfId="0" applyFill="1" applyBorder="1"/>
    <xf numFmtId="0" fontId="0" fillId="13" borderId="18" xfId="0" applyFill="1" applyBorder="1"/>
    <xf numFmtId="0" fontId="8" fillId="13" borderId="10" xfId="0" applyFont="1" applyFill="1" applyBorder="1" applyAlignment="1">
      <alignment horizontal="center"/>
    </xf>
    <xf numFmtId="0" fontId="0" fillId="13" borderId="52" xfId="0" applyFill="1" applyBorder="1"/>
    <xf numFmtId="0" fontId="0" fillId="13" borderId="52" xfId="0" applyFill="1" applyBorder="1" applyAlignment="1">
      <alignment horizontal="center"/>
    </xf>
    <xf numFmtId="0" fontId="8" fillId="13" borderId="44" xfId="0" applyFont="1" applyFill="1" applyBorder="1" applyAlignment="1">
      <alignment vertical="center"/>
    </xf>
    <xf numFmtId="0" fontId="8" fillId="13" borderId="13" xfId="0" applyFont="1" applyFill="1" applyBorder="1" applyAlignment="1">
      <alignment horizontal="center" vertical="center"/>
    </xf>
    <xf numFmtId="0" fontId="8" fillId="13" borderId="13" xfId="0" applyFont="1" applyFill="1" applyBorder="1" applyAlignment="1">
      <alignment vertical="center"/>
    </xf>
    <xf numFmtId="0" fontId="13" fillId="13" borderId="13" xfId="0" applyFont="1" applyFill="1" applyBorder="1" applyProtection="1"/>
    <xf numFmtId="0" fontId="8" fillId="13" borderId="50" xfId="0" applyFont="1" applyFill="1" applyBorder="1" applyAlignment="1">
      <alignment horizontal="center" vertical="center"/>
    </xf>
    <xf numFmtId="0" fontId="0" fillId="13" borderId="0" xfId="0" applyFill="1" applyBorder="1" applyAlignment="1">
      <alignment horizontal="center"/>
    </xf>
    <xf numFmtId="0" fontId="13" fillId="13" borderId="0" xfId="0" applyFont="1" applyFill="1" applyProtection="1"/>
    <xf numFmtId="0" fontId="13" fillId="13" borderId="11" xfId="0" applyFont="1" applyFill="1" applyBorder="1" applyAlignment="1" applyProtection="1">
      <alignment vertical="center"/>
    </xf>
    <xf numFmtId="0" fontId="9" fillId="13" borderId="11" xfId="0" applyFont="1" applyFill="1" applyBorder="1" applyAlignment="1" applyProtection="1">
      <alignment horizontal="center" vertical="center"/>
    </xf>
    <xf numFmtId="0" fontId="0" fillId="13" borderId="11" xfId="0" applyFill="1" applyBorder="1" applyAlignment="1">
      <alignment horizontal="center"/>
    </xf>
    <xf numFmtId="0" fontId="13" fillId="13" borderId="18" xfId="0" applyFont="1" applyFill="1" applyBorder="1" applyProtection="1"/>
    <xf numFmtId="0" fontId="8" fillId="13" borderId="10" xfId="0" applyFont="1" applyFill="1" applyBorder="1" applyProtection="1"/>
    <xf numFmtId="0" fontId="13" fillId="13" borderId="38" xfId="0" applyFont="1" applyFill="1" applyBorder="1" applyProtection="1"/>
    <xf numFmtId="170" fontId="8" fillId="4" borderId="9" xfId="0" applyNumberFormat="1" applyFont="1" applyFill="1" applyBorder="1" applyAlignment="1">
      <alignment horizontal="center" vertical="center"/>
    </xf>
    <xf numFmtId="0" fontId="13" fillId="5" borderId="10" xfId="0" applyFont="1" applyFill="1" applyBorder="1" applyAlignment="1" applyProtection="1">
      <alignment horizontal="right"/>
    </xf>
    <xf numFmtId="0" fontId="8" fillId="13" borderId="0" xfId="0" applyFont="1" applyFill="1" applyAlignment="1">
      <alignment horizontal="center"/>
    </xf>
    <xf numFmtId="0" fontId="8" fillId="13" borderId="14" xfId="0" applyFont="1" applyFill="1" applyBorder="1" applyAlignment="1" applyProtection="1">
      <alignment horizontal="center" vertical="center"/>
    </xf>
    <xf numFmtId="0" fontId="8" fillId="13" borderId="14" xfId="0" applyFont="1" applyFill="1" applyBorder="1" applyAlignment="1" applyProtection="1">
      <alignment horizontal="center"/>
    </xf>
    <xf numFmtId="0" fontId="8" fillId="13" borderId="30" xfId="0" applyFont="1" applyFill="1" applyBorder="1" applyAlignment="1" applyProtection="1">
      <alignment horizontal="center"/>
    </xf>
    <xf numFmtId="0" fontId="8" fillId="13" borderId="10" xfId="0" applyFont="1" applyFill="1" applyBorder="1" applyAlignment="1" applyProtection="1">
      <alignment horizontal="center"/>
    </xf>
    <xf numFmtId="0" fontId="8" fillId="13" borderId="14" xfId="0" applyFont="1" applyFill="1" applyBorder="1" applyAlignment="1">
      <alignment horizontal="center"/>
    </xf>
    <xf numFmtId="0" fontId="8" fillId="13" borderId="0" xfId="0" applyFont="1" applyFill="1" applyBorder="1" applyAlignment="1">
      <alignment horizontal="center"/>
    </xf>
    <xf numFmtId="0" fontId="8" fillId="13" borderId="0" xfId="0" applyFont="1" applyFill="1" applyBorder="1" applyAlignment="1" applyProtection="1">
      <alignment horizontal="center" vertical="center"/>
    </xf>
    <xf numFmtId="0" fontId="8" fillId="13" borderId="11" xfId="0" applyFont="1" applyFill="1" applyBorder="1" applyAlignment="1" applyProtection="1">
      <alignment horizontal="center"/>
    </xf>
    <xf numFmtId="0" fontId="8" fillId="13" borderId="13" xfId="0" applyFont="1" applyFill="1" applyBorder="1" applyAlignment="1" applyProtection="1">
      <alignment horizontal="center"/>
    </xf>
    <xf numFmtId="9" fontId="9" fillId="5" borderId="13" xfId="4" applyFont="1" applyFill="1" applyBorder="1" applyAlignment="1" applyProtection="1">
      <alignment horizontal="center" vertical="center"/>
    </xf>
    <xf numFmtId="0" fontId="24" fillId="5" borderId="32" xfId="0" applyFont="1" applyFill="1" applyBorder="1" applyAlignment="1" applyProtection="1">
      <alignment horizontal="center"/>
    </xf>
    <xf numFmtId="169" fontId="9" fillId="11" borderId="28" xfId="0" applyNumberFormat="1" applyFont="1" applyFill="1" applyBorder="1" applyProtection="1"/>
    <xf numFmtId="0" fontId="3" fillId="5" borderId="22" xfId="0" applyFont="1" applyFill="1" applyBorder="1" applyAlignment="1">
      <alignment horizontal="center"/>
    </xf>
    <xf numFmtId="0" fontId="48" fillId="5" borderId="22" xfId="0" applyFont="1" applyFill="1" applyBorder="1" applyAlignment="1">
      <alignment horizontal="center"/>
    </xf>
    <xf numFmtId="0" fontId="3" fillId="5" borderId="26" xfId="0" applyFont="1" applyFill="1" applyBorder="1" applyAlignment="1">
      <alignment horizontal="center"/>
    </xf>
    <xf numFmtId="169" fontId="8" fillId="11" borderId="9" xfId="0" applyNumberFormat="1" applyFont="1" applyFill="1" applyBorder="1" applyAlignment="1">
      <alignment horizontal="right" vertical="center"/>
    </xf>
    <xf numFmtId="169" fontId="0" fillId="11" borderId="9" xfId="0" applyNumberFormat="1" applyFill="1" applyBorder="1" applyAlignment="1">
      <alignment horizontal="right"/>
    </xf>
    <xf numFmtId="2" fontId="8" fillId="11" borderId="9" xfId="0" applyNumberFormat="1" applyFont="1" applyFill="1" applyBorder="1" applyAlignment="1">
      <alignment horizontal="right" vertical="center"/>
    </xf>
    <xf numFmtId="2" fontId="0" fillId="11" borderId="9" xfId="0" applyNumberFormat="1" applyFill="1" applyBorder="1" applyAlignment="1">
      <alignment horizontal="right"/>
    </xf>
    <xf numFmtId="2" fontId="8" fillId="11" borderId="9" xfId="0" applyNumberFormat="1" applyFont="1" applyFill="1" applyBorder="1"/>
    <xf numFmtId="169" fontId="9" fillId="11" borderId="28" xfId="0" applyNumberFormat="1" applyFont="1" applyFill="1" applyBorder="1" applyAlignment="1">
      <alignment vertical="center"/>
    </xf>
    <xf numFmtId="2" fontId="8" fillId="11" borderId="9" xfId="0" applyNumberFormat="1" applyFont="1" applyFill="1" applyBorder="1" applyAlignment="1">
      <alignment horizontal="right"/>
    </xf>
    <xf numFmtId="0" fontId="18" fillId="13" borderId="0" xfId="0" applyFont="1" applyFill="1" applyAlignment="1">
      <alignment horizontal="right"/>
    </xf>
    <xf numFmtId="0" fontId="13" fillId="13" borderId="14" xfId="0" applyFont="1" applyFill="1" applyBorder="1" applyAlignment="1" applyProtection="1">
      <alignment horizontal="right" vertical="center"/>
    </xf>
    <xf numFmtId="0" fontId="13" fillId="13" borderId="9" xfId="0" applyFont="1" applyFill="1" applyBorder="1" applyAlignment="1" applyProtection="1">
      <alignment horizontal="right"/>
    </xf>
    <xf numFmtId="165" fontId="8" fillId="13" borderId="9" xfId="0" applyNumberFormat="1" applyFont="1" applyFill="1" applyBorder="1" applyAlignment="1">
      <alignment horizontal="right" vertical="center"/>
    </xf>
    <xf numFmtId="0" fontId="8" fillId="13" borderId="9" xfId="0" applyFont="1" applyFill="1" applyBorder="1" applyAlignment="1">
      <alignment horizontal="right" vertical="center"/>
    </xf>
    <xf numFmtId="0" fontId="13" fillId="11" borderId="9" xfId="0" applyFont="1" applyFill="1" applyBorder="1" applyAlignment="1" applyProtection="1">
      <alignment horizontal="right"/>
    </xf>
    <xf numFmtId="0" fontId="8" fillId="11" borderId="9" xfId="0" applyFont="1" applyFill="1" applyBorder="1" applyAlignment="1">
      <alignment horizontal="right" vertical="center"/>
    </xf>
    <xf numFmtId="165" fontId="8" fillId="11" borderId="9" xfId="0" applyNumberFormat="1" applyFont="1" applyFill="1" applyBorder="1" applyAlignment="1">
      <alignment horizontal="right" vertical="center"/>
    </xf>
    <xf numFmtId="0" fontId="0" fillId="11" borderId="9" xfId="0" applyFill="1" applyBorder="1" applyAlignment="1">
      <alignment horizontal="right"/>
    </xf>
    <xf numFmtId="0" fontId="0" fillId="13" borderId="0" xfId="0" applyFill="1" applyAlignment="1">
      <alignment horizontal="right"/>
    </xf>
    <xf numFmtId="0" fontId="13" fillId="13" borderId="0" xfId="0" applyFont="1" applyFill="1" applyBorder="1" applyAlignment="1" applyProtection="1">
      <alignment horizontal="right"/>
    </xf>
    <xf numFmtId="165" fontId="8" fillId="4" borderId="9" xfId="0" applyNumberFormat="1" applyFont="1" applyFill="1" applyBorder="1" applyAlignment="1">
      <alignment horizontal="right" vertical="center"/>
    </xf>
    <xf numFmtId="0" fontId="0" fillId="13" borderId="0" xfId="0" applyFill="1" applyBorder="1" applyAlignment="1">
      <alignment horizontal="right"/>
    </xf>
    <xf numFmtId="0" fontId="13" fillId="4" borderId="9" xfId="0" applyFont="1" applyFill="1" applyBorder="1" applyAlignment="1" applyProtection="1">
      <alignment horizontal="right"/>
    </xf>
    <xf numFmtId="170" fontId="8" fillId="4" borderId="9" xfId="0" applyNumberFormat="1" applyFont="1" applyFill="1" applyBorder="1" applyAlignment="1">
      <alignment horizontal="right" vertical="center"/>
    </xf>
    <xf numFmtId="0" fontId="8" fillId="13" borderId="10" xfId="0" quotePrefix="1" applyFont="1" applyFill="1" applyBorder="1" applyAlignment="1" applyProtection="1">
      <alignment horizontal="center"/>
    </xf>
    <xf numFmtId="0" fontId="3" fillId="4" borderId="9" xfId="0" applyFont="1" applyFill="1" applyBorder="1" applyAlignment="1">
      <alignment horizontal="center"/>
    </xf>
    <xf numFmtId="14" fontId="0" fillId="0" borderId="0" xfId="0" applyNumberFormat="1"/>
    <xf numFmtId="0" fontId="8" fillId="10" borderId="37" xfId="4" applyNumberFormat="1" applyFont="1" applyFill="1" applyBorder="1" applyAlignment="1" applyProtection="1">
      <alignment horizontal="center" vertical="center"/>
      <protection locked="0"/>
    </xf>
    <xf numFmtId="2" fontId="6" fillId="6" borderId="8" xfId="0" applyNumberFormat="1" applyFont="1" applyFill="1" applyBorder="1" applyAlignment="1">
      <alignment horizontal="left"/>
    </xf>
    <xf numFmtId="0" fontId="18" fillId="0" borderId="0" xfId="5" applyNumberFormat="1" applyFont="1" applyBorder="1" applyAlignment="1">
      <alignment horizontal="left"/>
    </xf>
    <xf numFmtId="0" fontId="3" fillId="0" borderId="10" xfId="5" applyNumberFormat="1" applyFont="1" applyBorder="1" applyAlignment="1">
      <alignment horizontal="center"/>
    </xf>
    <xf numFmtId="0" fontId="49" fillId="5" borderId="0" xfId="0" applyFont="1" applyFill="1" applyBorder="1" applyAlignment="1" applyProtection="1">
      <alignment horizontal="right" vertical="center"/>
    </xf>
    <xf numFmtId="0" fontId="0" fillId="0" borderId="0" xfId="0" applyAlignment="1">
      <alignment horizontal="center"/>
    </xf>
    <xf numFmtId="0" fontId="4" fillId="5" borderId="22" xfId="0" applyFont="1" applyFill="1" applyBorder="1" applyAlignment="1">
      <alignment horizontal="left"/>
    </xf>
    <xf numFmtId="0" fontId="4" fillId="5" borderId="22" xfId="0" applyFont="1" applyFill="1" applyBorder="1" applyAlignment="1">
      <alignment horizontal="center"/>
    </xf>
    <xf numFmtId="0" fontId="21" fillId="6" borderId="7" xfId="0" applyFont="1" applyFill="1" applyBorder="1" applyAlignment="1">
      <alignment horizontal="right"/>
    </xf>
    <xf numFmtId="0" fontId="21" fillId="6" borderId="7" xfId="0" applyFont="1" applyFill="1" applyBorder="1" applyAlignment="1">
      <alignment horizontal="left"/>
    </xf>
    <xf numFmtId="0" fontId="21" fillId="6" borderId="15" xfId="0" applyFont="1" applyFill="1" applyBorder="1" applyAlignment="1">
      <alignment horizontal="center"/>
    </xf>
    <xf numFmtId="0" fontId="0" fillId="5" borderId="0" xfId="0" applyFill="1" applyBorder="1" applyAlignment="1">
      <alignment horizontal="right"/>
    </xf>
    <xf numFmtId="0" fontId="0" fillId="5" borderId="14" xfId="0" applyFill="1" applyBorder="1" applyAlignment="1">
      <alignment horizontal="right"/>
    </xf>
    <xf numFmtId="0" fontId="0" fillId="6" borderId="12" xfId="0" applyFill="1" applyBorder="1"/>
    <xf numFmtId="0" fontId="0" fillId="6" borderId="11" xfId="0" applyFill="1" applyBorder="1"/>
    <xf numFmtId="0" fontId="6" fillId="6" borderId="24" xfId="0" applyFont="1" applyFill="1" applyBorder="1" applyAlignment="1">
      <alignment horizontal="right"/>
    </xf>
    <xf numFmtId="0" fontId="6" fillId="6" borderId="21" xfId="0" applyFont="1" applyFill="1" applyBorder="1" applyAlignment="1">
      <alignment horizontal="right"/>
    </xf>
    <xf numFmtId="0" fontId="50" fillId="5" borderId="10" xfId="0" applyFont="1" applyFill="1" applyBorder="1" applyAlignment="1" applyProtection="1">
      <alignment vertical="center"/>
    </xf>
    <xf numFmtId="0" fontId="25" fillId="5" borderId="10" xfId="0" applyFont="1" applyFill="1" applyBorder="1" applyAlignment="1" applyProtection="1">
      <alignment vertical="center"/>
    </xf>
    <xf numFmtId="176" fontId="0" fillId="0" borderId="0" xfId="0" applyNumberFormat="1"/>
    <xf numFmtId="0" fontId="4" fillId="10" borderId="10" xfId="0" applyNumberFormat="1" applyFont="1" applyFill="1" applyBorder="1" applyAlignment="1" applyProtection="1">
      <alignment horizontal="center" vertical="center"/>
      <protection locked="0"/>
    </xf>
    <xf numFmtId="0" fontId="4" fillId="5" borderId="10" xfId="0" applyNumberFormat="1" applyFont="1" applyFill="1" applyBorder="1" applyAlignment="1" applyProtection="1">
      <alignment horizontal="center" vertical="center"/>
      <protection locked="0"/>
    </xf>
    <xf numFmtId="0" fontId="4" fillId="4" borderId="13" xfId="0" applyNumberFormat="1" applyFont="1" applyFill="1" applyBorder="1" applyAlignment="1" applyProtection="1">
      <alignment horizontal="center" vertical="center"/>
      <protection locked="0"/>
    </xf>
    <xf numFmtId="0" fontId="4" fillId="5" borderId="13" xfId="0" applyNumberFormat="1" applyFont="1" applyFill="1" applyBorder="1" applyAlignment="1" applyProtection="1">
      <alignment horizontal="center" vertical="center"/>
      <protection locked="0"/>
    </xf>
    <xf numFmtId="169" fontId="4" fillId="0" borderId="9" xfId="0" applyNumberFormat="1" applyFont="1" applyBorder="1"/>
    <xf numFmtId="0" fontId="8" fillId="0" borderId="42" xfId="0" applyFont="1" applyBorder="1" applyAlignment="1">
      <alignment horizontal="center"/>
    </xf>
    <xf numFmtId="0" fontId="8" fillId="4" borderId="96" xfId="0" applyFont="1" applyFill="1" applyBorder="1" applyAlignment="1" applyProtection="1">
      <alignment horizontal="center"/>
      <protection locked="0" hidden="1"/>
    </xf>
    <xf numFmtId="171" fontId="8" fillId="5" borderId="65" xfId="0" applyNumberFormat="1" applyFont="1" applyFill="1" applyBorder="1" applyAlignment="1" applyProtection="1">
      <alignment horizontal="center" vertical="center"/>
    </xf>
    <xf numFmtId="0" fontId="8" fillId="0" borderId="65" xfId="0" applyFont="1" applyBorder="1" applyAlignment="1">
      <alignment horizontal="center"/>
    </xf>
    <xf numFmtId="1" fontId="8" fillId="5" borderId="97" xfId="0" applyNumberFormat="1" applyFont="1" applyFill="1" applyBorder="1" applyAlignment="1" applyProtection="1">
      <alignment horizontal="center" vertical="center"/>
    </xf>
    <xf numFmtId="0" fontId="4" fillId="0" borderId="22" xfId="0" applyFont="1" applyFill="1" applyBorder="1" applyProtection="1"/>
    <xf numFmtId="0" fontId="49" fillId="5" borderId="7" xfId="0" applyFont="1" applyFill="1" applyBorder="1" applyAlignment="1" applyProtection="1">
      <alignment horizontal="center" vertical="center"/>
    </xf>
    <xf numFmtId="0" fontId="6" fillId="6" borderId="9" xfId="0" applyFont="1" applyFill="1" applyBorder="1" applyAlignment="1">
      <alignment horizontal="center"/>
    </xf>
    <xf numFmtId="0" fontId="51" fillId="5" borderId="0" xfId="0" applyFont="1" applyFill="1"/>
    <xf numFmtId="0" fontId="3" fillId="5" borderId="24" xfId="0" applyFont="1" applyFill="1" applyBorder="1" applyAlignment="1">
      <alignment horizontal="left"/>
    </xf>
    <xf numFmtId="0" fontId="3" fillId="5" borderId="25" xfId="0" applyFont="1" applyFill="1" applyBorder="1" applyAlignment="1">
      <alignment horizontal="center"/>
    </xf>
    <xf numFmtId="0" fontId="3" fillId="5" borderId="21" xfId="0" applyFont="1" applyFill="1" applyBorder="1" applyAlignment="1">
      <alignment horizontal="left"/>
    </xf>
    <xf numFmtId="0" fontId="3" fillId="5" borderId="14" xfId="0" applyFont="1" applyFill="1" applyBorder="1" applyAlignment="1">
      <alignment horizontal="left"/>
    </xf>
    <xf numFmtId="0" fontId="0" fillId="5" borderId="7" xfId="0" applyFill="1" applyBorder="1" applyAlignment="1">
      <alignment horizontal="center"/>
    </xf>
    <xf numFmtId="0" fontId="38" fillId="10" borderId="24" xfId="0" applyFont="1" applyFill="1" applyBorder="1" applyAlignment="1">
      <alignment horizontal="left"/>
    </xf>
    <xf numFmtId="0" fontId="21" fillId="6" borderId="0" xfId="0" applyFont="1" applyFill="1" applyBorder="1"/>
    <xf numFmtId="2" fontId="6" fillId="6" borderId="25" xfId="0" applyNumberFormat="1" applyFont="1" applyFill="1" applyBorder="1" applyAlignment="1">
      <alignment horizontal="left"/>
    </xf>
    <xf numFmtId="0" fontId="3" fillId="5" borderId="0" xfId="0" applyFont="1" applyFill="1" applyBorder="1" applyAlignment="1">
      <alignment horizontal="left"/>
    </xf>
    <xf numFmtId="0" fontId="3" fillId="5" borderId="12" xfId="0" applyFont="1" applyFill="1" applyBorder="1" applyAlignment="1">
      <alignment horizontal="left"/>
    </xf>
    <xf numFmtId="0" fontId="3" fillId="5" borderId="7" xfId="0" applyFont="1" applyFill="1" applyBorder="1"/>
    <xf numFmtId="0" fontId="3" fillId="5" borderId="14" xfId="0" applyFont="1" applyFill="1" applyBorder="1"/>
    <xf numFmtId="0" fontId="0" fillId="5" borderId="0"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0" fillId="5" borderId="41" xfId="0" applyFill="1" applyBorder="1" applyAlignment="1">
      <alignment horizontal="left"/>
    </xf>
    <xf numFmtId="0" fontId="0" fillId="5" borderId="38" xfId="0" applyFill="1" applyBorder="1" applyAlignment="1">
      <alignment horizontal="left"/>
    </xf>
    <xf numFmtId="0" fontId="0" fillId="5" borderId="93" xfId="0" applyFill="1" applyBorder="1" applyAlignment="1">
      <alignment horizontal="left"/>
    </xf>
    <xf numFmtId="0" fontId="36" fillId="5" borderId="65" xfId="0" applyFont="1" applyFill="1" applyBorder="1" applyAlignment="1" applyProtection="1">
      <alignment horizontal="center" vertical="center"/>
    </xf>
    <xf numFmtId="0" fontId="4" fillId="5" borderId="98" xfId="0" applyFont="1" applyFill="1" applyBorder="1" applyAlignment="1" applyProtection="1">
      <alignment horizontal="center"/>
      <protection hidden="1"/>
    </xf>
    <xf numFmtId="0" fontId="5" fillId="0" borderId="66" xfId="0" applyFont="1" applyBorder="1"/>
    <xf numFmtId="0" fontId="4" fillId="5" borderId="99" xfId="0" applyFont="1" applyFill="1" applyBorder="1" applyAlignment="1" applyProtection="1">
      <alignment horizontal="center"/>
      <protection hidden="1"/>
    </xf>
    <xf numFmtId="0" fontId="4" fillId="0" borderId="65" xfId="0" applyFont="1" applyFill="1" applyBorder="1" applyAlignment="1" applyProtection="1">
      <alignment horizontal="center"/>
    </xf>
    <xf numFmtId="0" fontId="11" fillId="5" borderId="65" xfId="0" applyFont="1" applyFill="1" applyBorder="1" applyAlignment="1" applyProtection="1">
      <alignment horizontal="center"/>
      <protection hidden="1"/>
    </xf>
    <xf numFmtId="1" fontId="4" fillId="0" borderId="94" xfId="0" applyNumberFormat="1" applyFont="1" applyFill="1" applyBorder="1" applyAlignment="1" applyProtection="1">
      <alignment horizontal="right"/>
      <protection hidden="1"/>
    </xf>
    <xf numFmtId="0" fontId="20" fillId="5" borderId="0" xfId="0" applyFont="1" applyFill="1"/>
    <xf numFmtId="0" fontId="18" fillId="4" borderId="9" xfId="0" applyFont="1" applyFill="1" applyBorder="1" applyAlignment="1">
      <alignment horizontal="center"/>
    </xf>
    <xf numFmtId="169" fontId="18" fillId="5" borderId="22" xfId="0" applyNumberFormat="1" applyFont="1" applyFill="1" applyBorder="1" applyAlignment="1">
      <alignment horizontal="center"/>
    </xf>
    <xf numFmtId="1" fontId="18" fillId="5" borderId="22" xfId="0" applyNumberFormat="1" applyFont="1" applyFill="1" applyBorder="1" applyAlignment="1">
      <alignment horizontal="center"/>
    </xf>
    <xf numFmtId="2" fontId="18" fillId="5" borderId="22" xfId="0" applyNumberFormat="1" applyFont="1" applyFill="1" applyBorder="1" applyAlignment="1">
      <alignment horizontal="center"/>
    </xf>
    <xf numFmtId="0" fontId="46" fillId="5" borderId="8" xfId="0" applyFont="1" applyFill="1" applyBorder="1" applyAlignment="1" applyProtection="1">
      <alignment horizontal="left" vertical="center" wrapText="1"/>
    </xf>
    <xf numFmtId="0" fontId="18" fillId="5" borderId="22" xfId="0" applyFont="1" applyFill="1" applyBorder="1" applyAlignment="1">
      <alignment horizontal="left"/>
    </xf>
    <xf numFmtId="0" fontId="18" fillId="5" borderId="22" xfId="0" applyFont="1" applyFill="1" applyBorder="1" applyAlignment="1">
      <alignment horizontal="center"/>
    </xf>
    <xf numFmtId="0" fontId="13" fillId="13" borderId="26" xfId="0" applyFont="1" applyFill="1" applyBorder="1" applyProtection="1"/>
    <xf numFmtId="0" fontId="16" fillId="5" borderId="0" xfId="0" applyFont="1" applyFill="1" applyAlignment="1">
      <alignment horizontal="right"/>
    </xf>
    <xf numFmtId="0" fontId="4" fillId="5" borderId="66" xfId="0" applyFont="1" applyFill="1" applyBorder="1" applyAlignment="1" applyProtection="1">
      <alignment vertical="center"/>
    </xf>
    <xf numFmtId="0" fontId="4" fillId="5" borderId="88" xfId="0" applyFont="1" applyFill="1" applyBorder="1" applyAlignment="1" applyProtection="1">
      <alignment vertical="center"/>
    </xf>
    <xf numFmtId="0" fontId="4" fillId="10" borderId="66" xfId="0" applyFont="1" applyFill="1" applyBorder="1" applyAlignment="1" applyProtection="1">
      <alignment horizontal="center" vertical="center"/>
    </xf>
    <xf numFmtId="0" fontId="4" fillId="5" borderId="66" xfId="0" applyFont="1" applyFill="1" applyBorder="1" applyAlignment="1" applyProtection="1">
      <alignment horizontal="center" vertical="center" wrapText="1"/>
    </xf>
    <xf numFmtId="2" fontId="13" fillId="5" borderId="32" xfId="0" applyNumberFormat="1" applyFont="1" applyFill="1" applyBorder="1" applyAlignment="1" applyProtection="1">
      <alignment horizontal="center"/>
    </xf>
    <xf numFmtId="0" fontId="13" fillId="5" borderId="32" xfId="0" applyFont="1" applyFill="1" applyBorder="1" applyAlignment="1" applyProtection="1"/>
    <xf numFmtId="0" fontId="8" fillId="5" borderId="24" xfId="0" applyFont="1" applyFill="1" applyBorder="1" applyAlignment="1" applyProtection="1"/>
    <xf numFmtId="0" fontId="21" fillId="6" borderId="7" xfId="0" applyFont="1" applyFill="1" applyBorder="1" applyAlignment="1">
      <alignment horizontal="center"/>
    </xf>
    <xf numFmtId="0" fontId="21" fillId="6" borderId="14" xfId="0" applyFont="1" applyFill="1" applyBorder="1" applyAlignment="1">
      <alignment horizontal="center"/>
    </xf>
    <xf numFmtId="0" fontId="3" fillId="5" borderId="15" xfId="0" applyFont="1" applyFill="1" applyBorder="1"/>
    <xf numFmtId="0" fontId="3" fillId="5" borderId="14" xfId="0" applyFont="1" applyFill="1" applyBorder="1" applyAlignment="1">
      <alignment horizontal="right"/>
    </xf>
    <xf numFmtId="0" fontId="46" fillId="5" borderId="34" xfId="0" applyFont="1" applyFill="1" applyBorder="1" applyAlignment="1" applyProtection="1">
      <alignment horizontal="left" vertical="center" wrapText="1"/>
    </xf>
    <xf numFmtId="0" fontId="2" fillId="10" borderId="81" xfId="5" applyNumberFormat="1" applyFont="1" applyFill="1" applyBorder="1" applyAlignment="1" applyProtection="1">
      <alignment horizontal="left"/>
      <protection locked="0"/>
    </xf>
    <xf numFmtId="0" fontId="21" fillId="6" borderId="8" xfId="0" applyFont="1" applyFill="1" applyBorder="1"/>
    <xf numFmtId="0" fontId="21" fillId="6" borderId="25" xfId="0" applyFont="1" applyFill="1" applyBorder="1" applyAlignment="1">
      <alignment horizontal="left"/>
    </xf>
    <xf numFmtId="0" fontId="3" fillId="5" borderId="23" xfId="5" applyNumberFormat="1" applyFont="1" applyFill="1" applyBorder="1"/>
    <xf numFmtId="0" fontId="3" fillId="5" borderId="22" xfId="5" applyNumberFormat="1" applyFont="1" applyFill="1" applyBorder="1"/>
    <xf numFmtId="0" fontId="3" fillId="5" borderId="24" xfId="5" applyNumberFormat="1" applyFont="1" applyFill="1" applyBorder="1" applyAlignment="1">
      <alignment horizontal="left"/>
    </xf>
    <xf numFmtId="0" fontId="3" fillId="5" borderId="0" xfId="5" applyNumberFormat="1" applyFont="1" applyFill="1" applyBorder="1"/>
    <xf numFmtId="0" fontId="6" fillId="6" borderId="21" xfId="5" applyNumberFormat="1" applyFont="1" applyFill="1" applyBorder="1"/>
    <xf numFmtId="0" fontId="33" fillId="6" borderId="14" xfId="5" applyNumberFormat="1" applyFont="1" applyFill="1" applyBorder="1"/>
    <xf numFmtId="0" fontId="33" fillId="6" borderId="15" xfId="5" applyNumberFormat="1" applyFont="1" applyFill="1" applyBorder="1" applyAlignment="1">
      <alignment horizontal="center"/>
    </xf>
    <xf numFmtId="0" fontId="33" fillId="6" borderId="7" xfId="5" applyNumberFormat="1" applyFont="1" applyFill="1" applyBorder="1" applyAlignment="1">
      <alignment horizontal="right"/>
    </xf>
    <xf numFmtId="0" fontId="6" fillId="6" borderId="8" xfId="5" applyNumberFormat="1" applyFont="1" applyFill="1" applyBorder="1" applyAlignment="1">
      <alignment horizontal="left"/>
    </xf>
    <xf numFmtId="0" fontId="21" fillId="6" borderId="15" xfId="5" applyNumberFormat="1" applyFont="1" applyFill="1" applyBorder="1"/>
    <xf numFmtId="0" fontId="3" fillId="5" borderId="25" xfId="5" applyNumberFormat="1" applyFont="1" applyFill="1" applyBorder="1" applyAlignment="1">
      <alignment horizontal="left"/>
    </xf>
    <xf numFmtId="0" fontId="2" fillId="5" borderId="24" xfId="5" applyNumberFormat="1" applyFont="1" applyFill="1" applyBorder="1"/>
    <xf numFmtId="174" fontId="2" fillId="5" borderId="25" xfId="5" applyNumberFormat="1" applyFont="1" applyFill="1" applyBorder="1"/>
    <xf numFmtId="0" fontId="2" fillId="5" borderId="0" xfId="5" applyNumberFormat="1" applyFont="1" applyFill="1" applyBorder="1"/>
    <xf numFmtId="0" fontId="2" fillId="5" borderId="21" xfId="5" applyNumberFormat="1" applyFont="1" applyFill="1" applyBorder="1"/>
    <xf numFmtId="0" fontId="2" fillId="5" borderId="14" xfId="5" applyNumberFormat="1" applyFont="1" applyFill="1" applyBorder="1"/>
    <xf numFmtId="0" fontId="3" fillId="5" borderId="14" xfId="5" applyNumberFormat="1" applyFont="1" applyFill="1" applyBorder="1"/>
    <xf numFmtId="174" fontId="2" fillId="5" borderId="0" xfId="5" applyNumberFormat="1" applyFont="1" applyFill="1" applyBorder="1"/>
    <xf numFmtId="174" fontId="3" fillId="5" borderId="25" xfId="5" applyNumberFormat="1" applyFont="1" applyFill="1" applyBorder="1"/>
    <xf numFmtId="175" fontId="3" fillId="5" borderId="25" xfId="5" applyNumberFormat="1" applyFont="1" applyFill="1" applyBorder="1" applyAlignment="1">
      <alignment horizontal="center"/>
    </xf>
    <xf numFmtId="174" fontId="2" fillId="5" borderId="14" xfId="5" applyNumberFormat="1" applyFont="1" applyFill="1" applyBorder="1"/>
    <xf numFmtId="175" fontId="3" fillId="5" borderId="15" xfId="5" applyNumberFormat="1" applyFont="1" applyFill="1" applyBorder="1" applyAlignment="1">
      <alignment horizontal="center"/>
    </xf>
    <xf numFmtId="174" fontId="2" fillId="5" borderId="24" xfId="5" applyNumberFormat="1" applyFont="1" applyFill="1" applyBorder="1"/>
    <xf numFmtId="174" fontId="2" fillId="5" borderId="21" xfId="5" applyNumberFormat="1" applyFont="1" applyFill="1" applyBorder="1"/>
    <xf numFmtId="174" fontId="2" fillId="5" borderId="12" xfId="5" applyNumberFormat="1" applyFont="1" applyFill="1" applyBorder="1"/>
    <xf numFmtId="0" fontId="18" fillId="5" borderId="24" xfId="5" applyNumberFormat="1" applyFont="1" applyFill="1" applyBorder="1"/>
    <xf numFmtId="0" fontId="53" fillId="6" borderId="21" xfId="5" applyNumberFormat="1" applyFont="1" applyFill="1" applyBorder="1"/>
    <xf numFmtId="0" fontId="53" fillId="6" borderId="14" xfId="5" applyNumberFormat="1" applyFont="1" applyFill="1" applyBorder="1"/>
    <xf numFmtId="0" fontId="6" fillId="6" borderId="14" xfId="5" applyNumberFormat="1" applyFont="1" applyFill="1" applyBorder="1"/>
    <xf numFmtId="0" fontId="0" fillId="6" borderId="21" xfId="0" applyFill="1" applyBorder="1"/>
    <xf numFmtId="0" fontId="0" fillId="5" borderId="8" xfId="0" applyFill="1" applyBorder="1" applyAlignment="1">
      <alignment horizontal="left"/>
    </xf>
    <xf numFmtId="0" fontId="0" fillId="10" borderId="11" xfId="0" applyFill="1" applyBorder="1"/>
    <xf numFmtId="0" fontId="0" fillId="6" borderId="23" xfId="0" applyFill="1" applyBorder="1"/>
    <xf numFmtId="0" fontId="0" fillId="6" borderId="22" xfId="0" applyFill="1" applyBorder="1"/>
    <xf numFmtId="0" fontId="0" fillId="10" borderId="9" xfId="0" applyFill="1" applyBorder="1" applyProtection="1">
      <protection locked="0"/>
    </xf>
    <xf numFmtId="0" fontId="0" fillId="10" borderId="18" xfId="0" applyFill="1" applyBorder="1" applyAlignment="1">
      <alignment horizontal="left"/>
    </xf>
    <xf numFmtId="0" fontId="2" fillId="10" borderId="98" xfId="5" applyNumberFormat="1" applyFont="1" applyFill="1" applyBorder="1" applyAlignment="1" applyProtection="1">
      <alignment horizontal="left"/>
    </xf>
    <xf numFmtId="0" fontId="2" fillId="10" borderId="31" xfId="5" applyNumberFormat="1" applyFont="1" applyFill="1" applyBorder="1" applyAlignment="1" applyProtection="1">
      <alignment horizontal="left"/>
    </xf>
    <xf numFmtId="0" fontId="2" fillId="10" borderId="99" xfId="5" applyNumberFormat="1" applyFont="1" applyFill="1" applyBorder="1" applyAlignment="1" applyProtection="1">
      <alignment horizontal="left"/>
    </xf>
    <xf numFmtId="0" fontId="2" fillId="0" borderId="0" xfId="5" applyNumberFormat="1" applyFont="1" applyBorder="1" applyAlignment="1">
      <alignment horizontal="center"/>
    </xf>
    <xf numFmtId="0" fontId="2" fillId="0" borderId="0" xfId="5" applyNumberFormat="1" applyFont="1" applyBorder="1" applyAlignment="1"/>
    <xf numFmtId="0" fontId="3" fillId="10" borderId="16" xfId="5" applyNumberFormat="1" applyFont="1" applyFill="1" applyBorder="1" applyAlignment="1" applyProtection="1">
      <alignment horizontal="left"/>
      <protection locked="0"/>
    </xf>
    <xf numFmtId="0" fontId="3" fillId="10" borderId="18" xfId="5" applyNumberFormat="1" applyFont="1" applyFill="1" applyBorder="1" applyAlignment="1" applyProtection="1">
      <alignment horizontal="left"/>
      <protection locked="0"/>
    </xf>
    <xf numFmtId="0" fontId="28" fillId="6" borderId="12" xfId="0" applyFont="1" applyFill="1" applyBorder="1" applyProtection="1"/>
    <xf numFmtId="0" fontId="8" fillId="5" borderId="0" xfId="0" applyFont="1" applyFill="1" applyBorder="1" applyAlignment="1" applyProtection="1">
      <alignment horizontal="right"/>
    </xf>
    <xf numFmtId="0" fontId="6" fillId="6" borderId="7" xfId="0" applyFont="1" applyFill="1" applyBorder="1" applyAlignment="1">
      <alignment horizontal="right"/>
    </xf>
    <xf numFmtId="0" fontId="8" fillId="5" borderId="14" xfId="0" applyFont="1" applyFill="1" applyBorder="1" applyAlignment="1" applyProtection="1">
      <alignment horizontal="right"/>
    </xf>
    <xf numFmtId="0" fontId="28" fillId="6" borderId="7" xfId="0" applyFont="1" applyFill="1" applyBorder="1" applyProtection="1"/>
    <xf numFmtId="0" fontId="0" fillId="6" borderId="14" xfId="0" applyFill="1" applyBorder="1"/>
    <xf numFmtId="0" fontId="0" fillId="6" borderId="15" xfId="0" applyFill="1" applyBorder="1"/>
    <xf numFmtId="0" fontId="0" fillId="6" borderId="16" xfId="0" applyFill="1" applyBorder="1"/>
    <xf numFmtId="0" fontId="3" fillId="10" borderId="15" xfId="5" applyNumberFormat="1" applyFont="1" applyFill="1" applyBorder="1"/>
    <xf numFmtId="0" fontId="0" fillId="0" borderId="0" xfId="0" applyAlignment="1"/>
    <xf numFmtId="0" fontId="2" fillId="5" borderId="0" xfId="5" applyNumberFormat="1" applyFont="1" applyFill="1"/>
    <xf numFmtId="0" fontId="2" fillId="5" borderId="0" xfId="5" applyNumberFormat="1" applyFont="1" applyFill="1" applyBorder="1" applyAlignment="1">
      <alignment horizontal="left"/>
    </xf>
    <xf numFmtId="0" fontId="33" fillId="6" borderId="23" xfId="5" applyNumberFormat="1" applyFont="1" applyFill="1" applyBorder="1"/>
    <xf numFmtId="0" fontId="3" fillId="5" borderId="9" xfId="5" applyNumberFormat="1" applyFont="1" applyFill="1" applyBorder="1" applyAlignment="1">
      <alignment horizontal="left"/>
    </xf>
    <xf numFmtId="0" fontId="3" fillId="5" borderId="9" xfId="5" applyNumberFormat="1" applyFont="1" applyFill="1" applyBorder="1" applyAlignment="1" applyProtection="1">
      <alignment horizontal="center"/>
      <protection locked="0"/>
    </xf>
    <xf numFmtId="0" fontId="4" fillId="5" borderId="22" xfId="5" applyNumberFormat="1" applyFont="1" applyFill="1" applyBorder="1" applyAlignment="1">
      <alignment horizontal="left"/>
    </xf>
    <xf numFmtId="0" fontId="33" fillId="6" borderId="21" xfId="5" applyNumberFormat="1" applyFont="1" applyFill="1" applyBorder="1" applyAlignment="1">
      <alignment horizontal="right"/>
    </xf>
    <xf numFmtId="0" fontId="4" fillId="5" borderId="9" xfId="5" applyNumberFormat="1" applyFont="1" applyFill="1" applyBorder="1" applyAlignment="1">
      <alignment horizontal="right"/>
    </xf>
    <xf numFmtId="0" fontId="4" fillId="5" borderId="23" xfId="5" applyNumberFormat="1" applyFont="1" applyFill="1" applyBorder="1" applyAlignment="1">
      <alignment horizontal="left"/>
    </xf>
    <xf numFmtId="0" fontId="4" fillId="5" borderId="26" xfId="0" applyFont="1" applyFill="1" applyBorder="1" applyAlignment="1">
      <alignment horizontal="left"/>
    </xf>
    <xf numFmtId="0" fontId="21" fillId="6" borderId="0" xfId="0" applyFont="1" applyFill="1" applyBorder="1" applyAlignment="1">
      <alignment horizontal="right"/>
    </xf>
    <xf numFmtId="0" fontId="21" fillId="6" borderId="14" xfId="0" applyFont="1" applyFill="1" applyBorder="1" applyAlignment="1">
      <alignment horizontal="right"/>
    </xf>
    <xf numFmtId="0" fontId="21" fillId="6" borderId="14" xfId="0" applyFont="1" applyFill="1" applyBorder="1" applyAlignment="1">
      <alignment horizontal="left"/>
    </xf>
    <xf numFmtId="0" fontId="21" fillId="6" borderId="0" xfId="0" applyFont="1" applyFill="1" applyBorder="1" applyAlignment="1">
      <alignment horizontal="left"/>
    </xf>
    <xf numFmtId="0" fontId="21" fillId="6" borderId="0" xfId="0" applyFont="1" applyFill="1" applyBorder="1" applyAlignment="1">
      <alignment horizontal="center"/>
    </xf>
    <xf numFmtId="0" fontId="9" fillId="5" borderId="0" xfId="0" applyFont="1" applyFill="1" applyProtection="1"/>
    <xf numFmtId="0" fontId="9" fillId="5" borderId="0" xfId="0" applyFont="1" applyFill="1" applyAlignment="1" applyProtection="1">
      <alignment horizontal="center"/>
    </xf>
    <xf numFmtId="0" fontId="28" fillId="5" borderId="0" xfId="0" applyFont="1" applyFill="1" applyAlignment="1" applyProtection="1">
      <alignment horizontal="left"/>
    </xf>
    <xf numFmtId="0" fontId="18" fillId="5" borderId="0" xfId="0" applyFont="1" applyFill="1"/>
    <xf numFmtId="0" fontId="18" fillId="0" borderId="0" xfId="0" applyFont="1"/>
    <xf numFmtId="0" fontId="54" fillId="5" borderId="0" xfId="0" applyFont="1" applyFill="1" applyBorder="1" applyAlignment="1" applyProtection="1">
      <alignment vertical="center"/>
    </xf>
    <xf numFmtId="1" fontId="38" fillId="5" borderId="22" xfId="0" applyNumberFormat="1" applyFont="1" applyFill="1" applyBorder="1" applyAlignment="1">
      <alignment horizontal="center"/>
    </xf>
    <xf numFmtId="2" fontId="38" fillId="5" borderId="22" xfId="0" applyNumberFormat="1" applyFont="1" applyFill="1" applyBorder="1" applyAlignment="1">
      <alignment horizontal="center"/>
    </xf>
    <xf numFmtId="0" fontId="3" fillId="0" borderId="14" xfId="5" applyNumberFormat="1" applyFont="1" applyBorder="1" applyAlignment="1"/>
    <xf numFmtId="0" fontId="0" fillId="0" borderId="14" xfId="0" applyBorder="1" applyAlignment="1"/>
    <xf numFmtId="0" fontId="52" fillId="5" borderId="0" xfId="0" applyFont="1" applyFill="1" applyAlignment="1" applyProtection="1">
      <alignment horizontal="right" vertical="center"/>
    </xf>
    <xf numFmtId="0" fontId="6" fillId="6" borderId="23" xfId="0" applyFont="1" applyFill="1" applyBorder="1" applyAlignment="1">
      <alignment horizontal="center"/>
    </xf>
    <xf numFmtId="0" fontId="6" fillId="6" borderId="0" xfId="0" applyFont="1" applyFill="1"/>
    <xf numFmtId="0" fontId="6" fillId="6" borderId="23" xfId="0" applyFont="1" applyFill="1" applyBorder="1"/>
    <xf numFmtId="0" fontId="6" fillId="6" borderId="21" xfId="0" applyFont="1" applyFill="1" applyBorder="1"/>
    <xf numFmtId="0" fontId="6" fillId="6" borderId="26" xfId="0" applyFont="1" applyFill="1" applyBorder="1"/>
    <xf numFmtId="0" fontId="0" fillId="10" borderId="16" xfId="0" applyFill="1" applyBorder="1"/>
    <xf numFmtId="0" fontId="0" fillId="10" borderId="18" xfId="0" applyFill="1" applyBorder="1"/>
    <xf numFmtId="0" fontId="0" fillId="10" borderId="11" xfId="0" applyFill="1" applyBorder="1" applyAlignment="1">
      <alignment horizontal="left"/>
    </xf>
    <xf numFmtId="0" fontId="0" fillId="10" borderId="9" xfId="0" applyFill="1" applyBorder="1" applyAlignment="1">
      <alignment horizontal="center"/>
    </xf>
    <xf numFmtId="0" fontId="46" fillId="0" borderId="0" xfId="5" applyNumberFormat="1" applyFont="1" applyAlignment="1"/>
    <xf numFmtId="0" fontId="6" fillId="6" borderId="26" xfId="0" applyFont="1" applyFill="1" applyBorder="1" applyAlignment="1">
      <alignment horizontal="center"/>
    </xf>
    <xf numFmtId="0" fontId="0" fillId="5" borderId="18" xfId="0" applyFill="1" applyBorder="1"/>
    <xf numFmtId="0" fontId="0" fillId="10" borderId="11" xfId="0" applyFill="1" applyBorder="1" applyAlignment="1">
      <alignment horizontal="center"/>
    </xf>
    <xf numFmtId="0" fontId="6" fillId="6" borderId="18" xfId="0" applyFont="1" applyFill="1" applyBorder="1"/>
    <xf numFmtId="0" fontId="8" fillId="5" borderId="37" xfId="0" applyFont="1" applyFill="1" applyBorder="1" applyAlignment="1" applyProtection="1">
      <alignment horizontal="center"/>
      <protection locked="0"/>
    </xf>
    <xf numFmtId="0" fontId="21" fillId="6" borderId="16" xfId="0" applyFont="1" applyFill="1" applyBorder="1"/>
    <xf numFmtId="0" fontId="21" fillId="6" borderId="11" xfId="0" applyFont="1" applyFill="1" applyBorder="1" applyAlignment="1">
      <alignment horizontal="center"/>
    </xf>
    <xf numFmtId="0" fontId="21" fillId="6" borderId="26" xfId="0" applyFont="1" applyFill="1" applyBorder="1" applyAlignment="1">
      <alignment horizontal="center"/>
    </xf>
    <xf numFmtId="0" fontId="28" fillId="7" borderId="12" xfId="0" applyFont="1" applyFill="1" applyBorder="1" applyAlignment="1">
      <alignment horizontal="center"/>
    </xf>
    <xf numFmtId="0" fontId="29" fillId="7" borderId="21" xfId="0" applyFont="1" applyFill="1" applyBorder="1" applyAlignment="1">
      <alignment horizontal="center"/>
    </xf>
    <xf numFmtId="0" fontId="0" fillId="10" borderId="18" xfId="0" applyFill="1" applyBorder="1" applyAlignment="1">
      <alignment horizontal="right"/>
    </xf>
    <xf numFmtId="0" fontId="29" fillId="6" borderId="26" xfId="0" applyFont="1" applyFill="1" applyBorder="1" applyAlignment="1">
      <alignment horizontal="center"/>
    </xf>
    <xf numFmtId="0" fontId="0" fillId="4" borderId="26" xfId="0" applyFill="1" applyBorder="1" applyAlignment="1">
      <alignment horizontal="center"/>
    </xf>
    <xf numFmtId="0" fontId="30" fillId="7" borderId="26" xfId="0" applyFont="1" applyFill="1" applyBorder="1" applyAlignment="1">
      <alignment horizontal="left"/>
    </xf>
    <xf numFmtId="0" fontId="21" fillId="6" borderId="21" xfId="0" applyFont="1" applyFill="1" applyBorder="1" applyAlignment="1">
      <alignment horizontal="left"/>
    </xf>
    <xf numFmtId="0" fontId="24" fillId="6" borderId="14" xfId="0" applyFont="1" applyFill="1" applyBorder="1" applyAlignment="1">
      <alignment horizontal="left"/>
    </xf>
    <xf numFmtId="0" fontId="0" fillId="10" borderId="23" xfId="0" applyFill="1" applyBorder="1" applyAlignment="1">
      <alignment horizontal="left"/>
    </xf>
    <xf numFmtId="0" fontId="0" fillId="10" borderId="22" xfId="0" applyFill="1" applyBorder="1" applyAlignment="1">
      <alignment horizontal="left"/>
    </xf>
    <xf numFmtId="0" fontId="0" fillId="10" borderId="26" xfId="0" applyFill="1" applyBorder="1" applyAlignment="1">
      <alignment horizontal="left"/>
    </xf>
    <xf numFmtId="0" fontId="0" fillId="10" borderId="23" xfId="0" applyFill="1" applyBorder="1" applyAlignment="1">
      <alignment horizontal="right"/>
    </xf>
    <xf numFmtId="0" fontId="0" fillId="10" borderId="22" xfId="0" applyFill="1" applyBorder="1" applyAlignment="1">
      <alignment horizontal="right"/>
    </xf>
    <xf numFmtId="0" fontId="0" fillId="10" borderId="26" xfId="0" applyFill="1" applyBorder="1" applyAlignment="1">
      <alignment horizontal="right"/>
    </xf>
    <xf numFmtId="169" fontId="9" fillId="5" borderId="0" xfId="0" applyNumberFormat="1" applyFont="1" applyFill="1" applyBorder="1" applyAlignment="1">
      <alignment vertical="center"/>
    </xf>
    <xf numFmtId="0" fontId="9" fillId="5" borderId="0" xfId="0" applyFont="1" applyFill="1" applyBorder="1" applyAlignment="1" applyProtection="1">
      <alignment horizontal="center"/>
    </xf>
    <xf numFmtId="0" fontId="13" fillId="5" borderId="24" xfId="0" applyFont="1" applyFill="1" applyBorder="1" applyProtection="1"/>
    <xf numFmtId="0" fontId="47" fillId="5" borderId="31" xfId="0" applyFont="1" applyFill="1" applyBorder="1" applyAlignment="1" applyProtection="1">
      <alignment horizontal="right"/>
    </xf>
    <xf numFmtId="169" fontId="9" fillId="5" borderId="41" xfId="0" applyNumberFormat="1" applyFont="1" applyFill="1" applyBorder="1" applyProtection="1"/>
    <xf numFmtId="0" fontId="8" fillId="5" borderId="0" xfId="0" applyFont="1" applyFill="1" applyBorder="1" applyAlignment="1" applyProtection="1">
      <alignment horizontal="left"/>
    </xf>
    <xf numFmtId="2" fontId="0" fillId="10" borderId="9" xfId="0" applyNumberFormat="1" applyFill="1" applyBorder="1" applyAlignment="1">
      <alignment horizontal="center"/>
    </xf>
    <xf numFmtId="0" fontId="6" fillId="6" borderId="8" xfId="0" applyFont="1" applyFill="1" applyBorder="1" applyAlignment="1">
      <alignment horizontal="center"/>
    </xf>
    <xf numFmtId="0" fontId="6" fillId="6" borderId="15" xfId="0" applyFont="1" applyFill="1" applyBorder="1" applyAlignment="1">
      <alignment horizontal="center"/>
    </xf>
    <xf numFmtId="9" fontId="0" fillId="5" borderId="0" xfId="4" applyFont="1" applyFill="1" applyBorder="1" applyAlignment="1">
      <alignment horizontal="center"/>
    </xf>
    <xf numFmtId="9" fontId="0" fillId="5" borderId="14" xfId="4" applyFont="1" applyFill="1" applyBorder="1" applyAlignment="1">
      <alignment horizontal="center"/>
    </xf>
    <xf numFmtId="0" fontId="0" fillId="5" borderId="12" xfId="0" applyFill="1" applyBorder="1" applyAlignment="1">
      <alignment horizontal="right"/>
    </xf>
    <xf numFmtId="172" fontId="0" fillId="10" borderId="23" xfId="4" applyNumberFormat="1" applyFont="1" applyFill="1" applyBorder="1" applyAlignment="1">
      <alignment horizontal="center"/>
    </xf>
    <xf numFmtId="172" fontId="0" fillId="10" borderId="22" xfId="4" applyNumberFormat="1" applyFont="1" applyFill="1" applyBorder="1" applyAlignment="1">
      <alignment horizontal="center"/>
    </xf>
    <xf numFmtId="172" fontId="0" fillId="10" borderId="26" xfId="4" applyNumberFormat="1" applyFont="1" applyFill="1" applyBorder="1" applyAlignment="1">
      <alignment horizontal="center"/>
    </xf>
    <xf numFmtId="2" fontId="0" fillId="5" borderId="9" xfId="0" applyNumberFormat="1" applyFill="1" applyBorder="1" applyAlignment="1">
      <alignment horizontal="center"/>
    </xf>
    <xf numFmtId="169" fontId="0" fillId="5" borderId="9" xfId="0" applyNumberFormat="1" applyFill="1" applyBorder="1" applyAlignment="1">
      <alignment horizontal="center"/>
    </xf>
    <xf numFmtId="0" fontId="8" fillId="0" borderId="100" xfId="0" applyFont="1" applyFill="1" applyBorder="1" applyProtection="1"/>
    <xf numFmtId="0" fontId="4" fillId="0" borderId="52" xfId="0" applyFont="1" applyFill="1" applyBorder="1" applyProtection="1"/>
    <xf numFmtId="0" fontId="8" fillId="0" borderId="101" xfId="0" applyFont="1" applyFill="1" applyBorder="1" applyProtection="1"/>
    <xf numFmtId="0" fontId="0" fillId="5" borderId="24" xfId="0" applyFill="1" applyBorder="1" applyAlignment="1" applyProtection="1">
      <alignment horizontal="center"/>
      <protection locked="0"/>
    </xf>
    <xf numFmtId="0" fontId="49" fillId="5" borderId="0" xfId="0" applyFont="1" applyFill="1" applyBorder="1" applyAlignment="1">
      <alignment vertical="center"/>
    </xf>
    <xf numFmtId="0" fontId="0" fillId="5" borderId="21"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8" fillId="0" borderId="0" xfId="0" applyFont="1"/>
    <xf numFmtId="0" fontId="9" fillId="0" borderId="0" xfId="0" applyFont="1"/>
    <xf numFmtId="0" fontId="8" fillId="0" borderId="0" xfId="0" applyFont="1" applyAlignment="1">
      <alignment horizontal="left"/>
    </xf>
    <xf numFmtId="0" fontId="21" fillId="7" borderId="0" xfId="0" applyFont="1" applyFill="1"/>
    <xf numFmtId="0" fontId="6" fillId="7" borderId="0" xfId="0" applyFont="1" applyFill="1"/>
    <xf numFmtId="20" fontId="0" fillId="0" borderId="0" xfId="0" applyNumberFormat="1"/>
    <xf numFmtId="0" fontId="4" fillId="5" borderId="37" xfId="0" applyFont="1" applyFill="1" applyBorder="1" applyAlignment="1" applyProtection="1">
      <alignment horizontal="left" vertical="center"/>
    </xf>
    <xf numFmtId="0" fontId="58" fillId="5" borderId="37" xfId="0" applyFont="1" applyFill="1" applyBorder="1" applyAlignment="1" applyProtection="1">
      <alignment horizontal="center" vertical="center"/>
    </xf>
    <xf numFmtId="0" fontId="19" fillId="5" borderId="0" xfId="0" applyFont="1" applyFill="1" applyAlignment="1" applyProtection="1">
      <alignment vertical="center"/>
    </xf>
    <xf numFmtId="0" fontId="8" fillId="10" borderId="7" xfId="0" applyFont="1" applyFill="1" applyBorder="1" applyAlignment="1" applyProtection="1">
      <alignment vertical="center"/>
    </xf>
    <xf numFmtId="0" fontId="8" fillId="10" borderId="8" xfId="0" applyFont="1" applyFill="1" applyBorder="1" applyAlignment="1" applyProtection="1">
      <alignment vertical="center"/>
    </xf>
    <xf numFmtId="0" fontId="6" fillId="7" borderId="16" xfId="0" applyFont="1" applyFill="1" applyBorder="1"/>
    <xf numFmtId="0" fontId="6" fillId="7" borderId="9" xfId="0" applyFont="1" applyFill="1" applyBorder="1"/>
    <xf numFmtId="0" fontId="59" fillId="5" borderId="0" xfId="0" applyFont="1" applyFill="1" applyAlignment="1">
      <alignment horizontal="right"/>
    </xf>
    <xf numFmtId="0" fontId="18" fillId="5" borderId="0" xfId="0" applyFont="1" applyFill="1" applyAlignment="1">
      <alignment horizontal="center"/>
    </xf>
    <xf numFmtId="165" fontId="46" fillId="5" borderId="51" xfId="0" applyNumberFormat="1" applyFont="1" applyFill="1" applyBorder="1" applyAlignment="1" applyProtection="1">
      <alignment horizontal="center" vertical="center" wrapText="1"/>
    </xf>
    <xf numFmtId="0" fontId="59" fillId="5" borderId="0" xfId="0" applyFont="1" applyFill="1" applyBorder="1" applyAlignment="1">
      <alignment horizontal="right"/>
    </xf>
    <xf numFmtId="0" fontId="18" fillId="5" borderId="0" xfId="0" applyFont="1" applyFill="1" applyBorder="1" applyAlignment="1">
      <alignment horizontal="center"/>
    </xf>
    <xf numFmtId="0" fontId="0" fillId="10" borderId="8" xfId="0" applyFill="1" applyBorder="1" applyProtection="1">
      <protection locked="0"/>
    </xf>
    <xf numFmtId="0" fontId="0" fillId="10" borderId="25" xfId="0" applyFill="1" applyBorder="1" applyProtection="1">
      <protection locked="0"/>
    </xf>
    <xf numFmtId="0" fontId="0" fillId="10" borderId="15" xfId="0" applyFill="1" applyBorder="1" applyProtection="1">
      <protection locked="0"/>
    </xf>
    <xf numFmtId="0" fontId="4" fillId="5" borderId="8" xfId="0" applyFont="1" applyFill="1" applyBorder="1"/>
    <xf numFmtId="0" fontId="4" fillId="5" borderId="25" xfId="0" applyFont="1" applyFill="1" applyBorder="1"/>
    <xf numFmtId="0" fontId="4" fillId="5" borderId="15" xfId="0" applyFont="1" applyFill="1" applyBorder="1"/>
    <xf numFmtId="0" fontId="50" fillId="5" borderId="24" xfId="0" applyFont="1" applyFill="1" applyBorder="1"/>
    <xf numFmtId="0" fontId="4" fillId="0" borderId="0" xfId="0" applyFont="1" applyFill="1" applyBorder="1" applyProtection="1">
      <protection hidden="1"/>
    </xf>
    <xf numFmtId="0" fontId="4" fillId="0" borderId="0" xfId="0" applyFont="1" applyFill="1" applyBorder="1" applyAlignment="1" applyProtection="1">
      <alignment horizontal="right"/>
      <protection hidden="1"/>
    </xf>
    <xf numFmtId="0" fontId="34" fillId="0" borderId="75" xfId="0" applyFont="1" applyFill="1" applyBorder="1"/>
    <xf numFmtId="0" fontId="34" fillId="0" borderId="67" xfId="0" applyFont="1" applyFill="1" applyBorder="1"/>
    <xf numFmtId="0" fontId="5" fillId="0" borderId="85" xfId="0" applyFont="1" applyFill="1" applyBorder="1"/>
    <xf numFmtId="0" fontId="5" fillId="0" borderId="86" xfId="0" applyFont="1" applyFill="1" applyBorder="1"/>
    <xf numFmtId="0" fontId="5" fillId="0" borderId="26" xfId="0" applyFont="1" applyFill="1" applyBorder="1"/>
    <xf numFmtId="0" fontId="4" fillId="0" borderId="12" xfId="0" applyFont="1" applyFill="1" applyBorder="1" applyAlignment="1">
      <alignment horizontal="left"/>
    </xf>
    <xf numFmtId="0" fontId="4" fillId="0" borderId="21" xfId="0" applyFont="1" applyFill="1" applyBorder="1" applyAlignment="1">
      <alignment horizontal="left"/>
    </xf>
    <xf numFmtId="0" fontId="5" fillId="0" borderId="23" xfId="0" applyFont="1" applyFill="1" applyBorder="1"/>
    <xf numFmtId="0" fontId="60" fillId="5" borderId="42" xfId="0" applyFont="1" applyFill="1" applyBorder="1" applyAlignment="1" applyProtection="1">
      <alignment horizontal="center"/>
    </xf>
    <xf numFmtId="0" fontId="9" fillId="5" borderId="11" xfId="0" applyFont="1" applyFill="1" applyBorder="1" applyAlignment="1">
      <alignment horizontal="left"/>
    </xf>
    <xf numFmtId="0" fontId="18" fillId="5" borderId="22" xfId="0" applyFont="1" applyFill="1" applyBorder="1"/>
    <xf numFmtId="0" fontId="8" fillId="10" borderId="7" xfId="0" applyFont="1" applyFill="1" applyBorder="1" applyAlignment="1" applyProtection="1">
      <alignment horizontal="right"/>
    </xf>
    <xf numFmtId="0" fontId="8" fillId="10" borderId="0" xfId="0" applyFont="1" applyFill="1" applyBorder="1" applyAlignment="1" applyProtection="1">
      <alignment horizontal="right"/>
    </xf>
    <xf numFmtId="0" fontId="8" fillId="10" borderId="14" xfId="0" applyFont="1" applyFill="1" applyBorder="1" applyAlignment="1" applyProtection="1">
      <alignment horizontal="right"/>
    </xf>
    <xf numFmtId="0" fontId="6" fillId="6" borderId="11" xfId="0" applyFont="1" applyFill="1" applyBorder="1" applyAlignment="1">
      <alignment horizontal="left"/>
    </xf>
    <xf numFmtId="0" fontId="33" fillId="6" borderId="8" xfId="5" applyNumberFormat="1" applyFont="1" applyFill="1" applyBorder="1" applyAlignment="1">
      <alignment horizontal="left"/>
    </xf>
    <xf numFmtId="0" fontId="34" fillId="0" borderId="16" xfId="0" applyFont="1" applyBorder="1"/>
    <xf numFmtId="0" fontId="13" fillId="5" borderId="32" xfId="0" applyFont="1" applyFill="1" applyBorder="1" applyAlignment="1">
      <alignment horizontal="center" vertical="center"/>
    </xf>
    <xf numFmtId="165" fontId="13" fillId="5" borderId="32" xfId="0" applyNumberFormat="1" applyFont="1" applyFill="1" applyBorder="1" applyAlignment="1">
      <alignment horizontal="center" vertical="center"/>
    </xf>
    <xf numFmtId="0" fontId="64" fillId="5" borderId="0" xfId="0" applyFont="1" applyFill="1" applyBorder="1" applyAlignment="1" applyProtection="1">
      <alignment vertical="center"/>
    </xf>
    <xf numFmtId="0" fontId="8" fillId="0" borderId="81" xfId="0" applyFont="1" applyFill="1" applyBorder="1" applyProtection="1">
      <protection hidden="1"/>
    </xf>
    <xf numFmtId="0" fontId="13" fillId="5" borderId="44" xfId="0" applyFont="1" applyFill="1" applyBorder="1" applyAlignment="1" applyProtection="1">
      <alignment vertical="center"/>
    </xf>
    <xf numFmtId="0" fontId="13" fillId="5" borderId="19" xfId="0" applyFont="1" applyFill="1" applyBorder="1" applyAlignment="1" applyProtection="1">
      <alignment vertical="center"/>
    </xf>
    <xf numFmtId="0" fontId="15" fillId="0" borderId="80" xfId="0" applyFont="1" applyFill="1" applyBorder="1" applyAlignment="1" applyProtection="1">
      <alignment vertical="center"/>
    </xf>
    <xf numFmtId="0" fontId="0" fillId="0" borderId="55" xfId="0" applyFill="1" applyBorder="1"/>
    <xf numFmtId="0" fontId="13" fillId="0" borderId="55" xfId="0" applyFont="1" applyFill="1" applyBorder="1" applyAlignment="1" applyProtection="1">
      <alignment vertical="center"/>
    </xf>
    <xf numFmtId="0" fontId="18" fillId="0" borderId="102" xfId="0" applyFont="1" applyFill="1" applyBorder="1" applyAlignment="1" applyProtection="1">
      <alignment vertical="center"/>
    </xf>
    <xf numFmtId="0" fontId="8" fillId="0" borderId="11" xfId="0" applyFont="1" applyFill="1" applyBorder="1"/>
    <xf numFmtId="0" fontId="8" fillId="0" borderId="11" xfId="0" applyFont="1" applyFill="1" applyBorder="1" applyAlignment="1" applyProtection="1">
      <alignment vertical="center"/>
    </xf>
    <xf numFmtId="0" fontId="26" fillId="0" borderId="11" xfId="0" applyFont="1" applyFill="1" applyBorder="1" applyAlignment="1">
      <alignment horizontal="right"/>
    </xf>
    <xf numFmtId="0" fontId="8" fillId="0" borderId="7" xfId="0" applyFont="1" applyFill="1" applyBorder="1" applyAlignment="1" applyProtection="1">
      <alignment vertical="center"/>
    </xf>
    <xf numFmtId="0" fontId="32" fillId="0" borderId="7" xfId="0" applyFont="1" applyFill="1" applyBorder="1" applyAlignment="1" applyProtection="1">
      <alignment vertical="center"/>
    </xf>
    <xf numFmtId="0" fontId="8" fillId="0" borderId="7" xfId="0" applyFont="1" applyFill="1" applyBorder="1"/>
    <xf numFmtId="0" fontId="8" fillId="0" borderId="30" xfId="0" applyFont="1" applyFill="1" applyBorder="1" applyAlignment="1">
      <alignment horizontal="center"/>
    </xf>
    <xf numFmtId="0" fontId="8" fillId="0" borderId="30" xfId="0" applyFont="1" applyFill="1" applyBorder="1" applyAlignment="1" applyProtection="1">
      <alignment horizontal="center" vertical="center"/>
    </xf>
    <xf numFmtId="0" fontId="8" fillId="0" borderId="90" xfId="0" applyFont="1" applyFill="1" applyBorder="1" applyAlignment="1" applyProtection="1">
      <alignment horizontal="center"/>
      <protection hidden="1"/>
    </xf>
    <xf numFmtId="0" fontId="8" fillId="0" borderId="67" xfId="0" applyFont="1" applyFill="1" applyBorder="1"/>
    <xf numFmtId="0" fontId="8" fillId="0" borderId="0" xfId="0" applyFont="1" applyFill="1" applyBorder="1" applyAlignment="1" applyProtection="1">
      <alignment vertical="center"/>
    </xf>
    <xf numFmtId="0" fontId="8" fillId="0" borderId="0" xfId="0" applyFont="1" applyFill="1" applyBorder="1" applyAlignment="1" applyProtection="1">
      <alignment horizontal="left"/>
      <protection hidden="1"/>
    </xf>
    <xf numFmtId="0" fontId="32" fillId="0" borderId="0" xfId="0" applyFont="1" applyFill="1" applyBorder="1" applyAlignment="1" applyProtection="1">
      <alignment vertical="center"/>
    </xf>
    <xf numFmtId="171" fontId="8" fillId="0" borderId="65" xfId="0" applyNumberFormat="1" applyFont="1" applyFill="1" applyBorder="1" applyAlignment="1" applyProtection="1">
      <alignment horizontal="center" vertical="center"/>
    </xf>
    <xf numFmtId="0" fontId="8" fillId="0" borderId="65" xfId="0" applyFont="1" applyFill="1" applyBorder="1" applyAlignment="1">
      <alignment horizontal="center"/>
    </xf>
    <xf numFmtId="1" fontId="8" fillId="0" borderId="97" xfId="0" applyNumberFormat="1" applyFont="1" applyFill="1" applyBorder="1" applyAlignment="1" applyProtection="1">
      <alignment horizontal="center" vertical="center"/>
    </xf>
    <xf numFmtId="0" fontId="8" fillId="0" borderId="77" xfId="0" applyFont="1" applyFill="1" applyBorder="1"/>
    <xf numFmtId="0" fontId="8" fillId="0" borderId="14" xfId="0" applyFont="1" applyFill="1" applyBorder="1" applyAlignment="1" applyProtection="1">
      <alignment vertical="center"/>
    </xf>
    <xf numFmtId="0" fontId="32" fillId="0" borderId="14" xfId="0" applyFont="1" applyFill="1" applyBorder="1" applyAlignment="1" applyProtection="1">
      <alignment vertical="center"/>
    </xf>
    <xf numFmtId="0" fontId="49" fillId="0" borderId="0" xfId="0" applyFont="1" applyFill="1" applyBorder="1" applyAlignment="1" applyProtection="1">
      <alignment horizontal="right"/>
      <protection hidden="1"/>
    </xf>
    <xf numFmtId="0" fontId="8" fillId="0" borderId="42" xfId="0" applyFont="1" applyFill="1" applyBorder="1" applyAlignment="1">
      <alignment horizontal="center"/>
    </xf>
    <xf numFmtId="0" fontId="18" fillId="0" borderId="75" xfId="0" applyFont="1" applyFill="1" applyBorder="1" applyProtection="1">
      <protection hidden="1"/>
    </xf>
    <xf numFmtId="0" fontId="8" fillId="0" borderId="7" xfId="0" applyFont="1" applyFill="1" applyBorder="1" applyProtection="1">
      <protection hidden="1"/>
    </xf>
    <xf numFmtId="0" fontId="8" fillId="0" borderId="60" xfId="0" applyFont="1" applyFill="1" applyBorder="1" applyProtection="1">
      <protection hidden="1"/>
    </xf>
    <xf numFmtId="0" fontId="8" fillId="0" borderId="67" xfId="0" applyFont="1" applyFill="1" applyBorder="1" applyProtection="1">
      <protection hidden="1"/>
    </xf>
    <xf numFmtId="0" fontId="8" fillId="0" borderId="61" xfId="0" applyFont="1" applyFill="1" applyBorder="1" applyAlignment="1" applyProtection="1">
      <alignment horizontal="left"/>
      <protection hidden="1"/>
    </xf>
    <xf numFmtId="0" fontId="8" fillId="0" borderId="52" xfId="0" applyFont="1" applyFill="1" applyBorder="1" applyAlignment="1" applyProtection="1">
      <alignment horizontal="right"/>
      <protection hidden="1"/>
    </xf>
    <xf numFmtId="0" fontId="8" fillId="0" borderId="62" xfId="0" applyFont="1" applyFill="1" applyBorder="1" applyAlignment="1" applyProtection="1">
      <alignment horizontal="right"/>
      <protection hidden="1"/>
    </xf>
    <xf numFmtId="0" fontId="4" fillId="0" borderId="67" xfId="0" quotePrefix="1" applyFont="1" applyFill="1" applyBorder="1" applyProtection="1">
      <protection hidden="1"/>
    </xf>
    <xf numFmtId="0" fontId="8" fillId="0" borderId="41" xfId="0" applyFont="1" applyFill="1" applyBorder="1" applyProtection="1">
      <protection hidden="1"/>
    </xf>
    <xf numFmtId="0" fontId="8" fillId="0" borderId="63" xfId="0" applyFont="1" applyFill="1" applyBorder="1" applyProtection="1">
      <protection hidden="1"/>
    </xf>
    <xf numFmtId="0" fontId="4" fillId="0" borderId="77" xfId="0" quotePrefix="1" applyFont="1" applyFill="1" applyBorder="1" applyProtection="1">
      <protection hidden="1"/>
    </xf>
    <xf numFmtId="0" fontId="8" fillId="0" borderId="14" xfId="0" applyFont="1" applyFill="1" applyBorder="1" applyProtection="1">
      <protection hidden="1"/>
    </xf>
    <xf numFmtId="0" fontId="8" fillId="0" borderId="64" xfId="0" applyFont="1" applyFill="1" applyBorder="1" applyProtection="1">
      <protection hidden="1"/>
    </xf>
    <xf numFmtId="0" fontId="8" fillId="0" borderId="14" xfId="0" applyFont="1" applyFill="1" applyBorder="1" applyAlignment="1" applyProtection="1">
      <alignment horizontal="right"/>
      <protection hidden="1"/>
    </xf>
    <xf numFmtId="0" fontId="8" fillId="0" borderId="7" xfId="0" applyFont="1" applyFill="1" applyBorder="1" applyAlignment="1" applyProtection="1">
      <alignment horizontal="left" vertical="center"/>
      <protection hidden="1"/>
    </xf>
    <xf numFmtId="0" fontId="47" fillId="0" borderId="0" xfId="0" applyFont="1" applyFill="1" applyBorder="1" applyAlignment="1" applyProtection="1">
      <alignment horizontal="center"/>
      <protection hidden="1"/>
    </xf>
    <xf numFmtId="0" fontId="0" fillId="0" borderId="0" xfId="0" applyFill="1"/>
    <xf numFmtId="0" fontId="8" fillId="0" borderId="52" xfId="0" applyFont="1" applyFill="1" applyBorder="1" applyProtection="1">
      <protection hidden="1"/>
    </xf>
    <xf numFmtId="0" fontId="4" fillId="0" borderId="52" xfId="0" applyFont="1" applyFill="1" applyBorder="1" applyAlignment="1" applyProtection="1">
      <alignment horizontal="right"/>
      <protection hidden="1"/>
    </xf>
    <xf numFmtId="0" fontId="4" fillId="0" borderId="98" xfId="0" applyFont="1" applyFill="1" applyBorder="1" applyAlignment="1" applyProtection="1">
      <alignment horizontal="right"/>
      <protection hidden="1"/>
    </xf>
    <xf numFmtId="0" fontId="11" fillId="0" borderId="65" xfId="0" applyFont="1" applyFill="1" applyBorder="1" applyAlignment="1" applyProtection="1">
      <alignment horizontal="center"/>
      <protection hidden="1"/>
    </xf>
    <xf numFmtId="0" fontId="8" fillId="0" borderId="65" xfId="0" applyFont="1" applyFill="1" applyBorder="1" applyAlignment="1" applyProtection="1">
      <alignment horizontal="center"/>
      <protection hidden="1"/>
    </xf>
    <xf numFmtId="0" fontId="4" fillId="0" borderId="81" xfId="0" applyFont="1" applyFill="1" applyBorder="1" applyAlignment="1" applyProtection="1">
      <alignment horizontal="right"/>
      <protection hidden="1"/>
    </xf>
    <xf numFmtId="0" fontId="4" fillId="0" borderId="99" xfId="0" applyFont="1" applyFill="1" applyBorder="1" applyAlignment="1" applyProtection="1">
      <alignment horizontal="right"/>
      <protection hidden="1"/>
    </xf>
    <xf numFmtId="0" fontId="11" fillId="0" borderId="66" xfId="0" applyFont="1" applyFill="1" applyBorder="1" applyAlignment="1" applyProtection="1">
      <alignment horizontal="center" vertical="center"/>
    </xf>
    <xf numFmtId="0" fontId="8" fillId="0" borderId="66"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42" xfId="0" applyFont="1" applyFill="1" applyBorder="1" applyAlignment="1" applyProtection="1">
      <alignment horizontal="center"/>
      <protection hidden="1"/>
    </xf>
    <xf numFmtId="0" fontId="8" fillId="0" borderId="31" xfId="0" applyFont="1" applyFill="1" applyBorder="1" applyProtection="1">
      <protection hidden="1"/>
    </xf>
    <xf numFmtId="0" fontId="8" fillId="0" borderId="103" xfId="0" applyFont="1" applyFill="1" applyBorder="1" applyAlignment="1" applyProtection="1">
      <alignment vertical="center"/>
    </xf>
    <xf numFmtId="0" fontId="8" fillId="0" borderId="69" xfId="0" applyFont="1" applyFill="1" applyBorder="1"/>
    <xf numFmtId="0" fontId="4" fillId="0" borderId="69" xfId="0" applyFont="1" applyFill="1" applyBorder="1"/>
    <xf numFmtId="0" fontId="8" fillId="0" borderId="104" xfId="0" applyFont="1" applyFill="1" applyBorder="1"/>
    <xf numFmtId="0" fontId="13" fillId="0" borderId="70" xfId="0" applyFont="1" applyFill="1" applyBorder="1" applyAlignment="1" applyProtection="1">
      <alignment horizontal="center" vertical="center"/>
    </xf>
    <xf numFmtId="0" fontId="8" fillId="0" borderId="70" xfId="0" applyFont="1" applyFill="1" applyBorder="1" applyAlignment="1" applyProtection="1">
      <alignment horizontal="center"/>
      <protection hidden="1"/>
    </xf>
    <xf numFmtId="0" fontId="20" fillId="0" borderId="0" xfId="0" applyFont="1" applyFill="1"/>
    <xf numFmtId="0" fontId="4" fillId="0" borderId="0" xfId="0" applyFont="1" applyFill="1" applyBorder="1"/>
    <xf numFmtId="0" fontId="15" fillId="0" borderId="0" xfId="0" applyFont="1" applyFill="1" applyBorder="1" applyAlignment="1" applyProtection="1">
      <alignment vertical="center"/>
    </xf>
    <xf numFmtId="0" fontId="1" fillId="5" borderId="75" xfId="0" applyFont="1" applyFill="1" applyBorder="1" applyAlignment="1" applyProtection="1">
      <alignment vertical="center"/>
    </xf>
    <xf numFmtId="0" fontId="1" fillId="5" borderId="75" xfId="0" applyFont="1" applyFill="1" applyBorder="1" applyProtection="1">
      <protection hidden="1"/>
    </xf>
    <xf numFmtId="0" fontId="1" fillId="5" borderId="75" xfId="0" applyFont="1" applyFill="1" applyBorder="1" applyAlignment="1" applyProtection="1">
      <alignment vertical="center"/>
      <protection hidden="1"/>
    </xf>
    <xf numFmtId="0" fontId="1" fillId="5" borderId="75" xfId="0" applyFont="1" applyFill="1" applyBorder="1" applyAlignment="1" applyProtection="1">
      <alignment vertical="top"/>
      <protection hidden="1"/>
    </xf>
    <xf numFmtId="0" fontId="13" fillId="5" borderId="0" xfId="0" applyFont="1" applyFill="1" applyBorder="1" applyProtection="1">
      <protection hidden="1"/>
    </xf>
    <xf numFmtId="0" fontId="5" fillId="5" borderId="0" xfId="0" applyFont="1" applyFill="1" applyBorder="1" applyProtection="1">
      <protection hidden="1"/>
    </xf>
    <xf numFmtId="0" fontId="1" fillId="0" borderId="75" xfId="0" applyFont="1" applyFill="1" applyBorder="1" applyAlignment="1" applyProtection="1">
      <alignment vertical="center"/>
    </xf>
    <xf numFmtId="0" fontId="1" fillId="0" borderId="75" xfId="0" applyFont="1" applyFill="1" applyBorder="1" applyAlignment="1" applyProtection="1">
      <alignment vertical="center"/>
      <protection hidden="1"/>
    </xf>
    <xf numFmtId="0" fontId="1" fillId="0" borderId="75" xfId="0" applyFont="1" applyFill="1" applyBorder="1" applyAlignment="1" applyProtection="1">
      <alignment vertical="top"/>
      <protection hidden="1"/>
    </xf>
    <xf numFmtId="0" fontId="5" fillId="0" borderId="0" xfId="0" applyFont="1" applyFill="1" applyBorder="1" applyProtection="1">
      <protection hidden="1"/>
    </xf>
    <xf numFmtId="0" fontId="65" fillId="0" borderId="0" xfId="0" applyFont="1" applyBorder="1"/>
    <xf numFmtId="0" fontId="13" fillId="5" borderId="24" xfId="0" applyFont="1" applyFill="1" applyBorder="1" applyAlignment="1">
      <alignment vertical="center"/>
    </xf>
    <xf numFmtId="0" fontId="62" fillId="5" borderId="0" xfId="0" applyFont="1" applyFill="1" applyBorder="1" applyAlignment="1" applyProtection="1">
      <alignment horizontal="right" vertical="center"/>
    </xf>
    <xf numFmtId="0" fontId="13" fillId="5" borderId="24" xfId="0" applyFont="1" applyFill="1" applyBorder="1" applyAlignment="1" applyProtection="1"/>
    <xf numFmtId="0" fontId="66" fillId="5" borderId="18" xfId="0" applyFont="1" applyFill="1" applyBorder="1" applyProtection="1"/>
    <xf numFmtId="0" fontId="13" fillId="5" borderId="11" xfId="0" applyFont="1" applyFill="1" applyBorder="1" applyAlignment="1">
      <alignment horizontal="left" vertical="center"/>
    </xf>
    <xf numFmtId="0" fontId="1" fillId="5" borderId="12" xfId="0" applyFont="1" applyFill="1" applyBorder="1" applyProtection="1"/>
    <xf numFmtId="0" fontId="5" fillId="5" borderId="7" xfId="0" applyFont="1" applyFill="1" applyBorder="1" applyAlignment="1">
      <alignment horizontal="left" vertical="center"/>
    </xf>
    <xf numFmtId="0" fontId="13" fillId="5" borderId="22" xfId="0" applyFont="1" applyFill="1" applyBorder="1" applyProtection="1"/>
    <xf numFmtId="0" fontId="67" fillId="5" borderId="22" xfId="0" applyFont="1" applyFill="1" applyBorder="1"/>
    <xf numFmtId="0" fontId="13" fillId="5" borderId="26" xfId="0" applyFont="1" applyFill="1" applyBorder="1" applyProtection="1"/>
    <xf numFmtId="0" fontId="2" fillId="5" borderId="24" xfId="0" applyFont="1" applyFill="1" applyBorder="1"/>
    <xf numFmtId="0" fontId="2" fillId="5" borderId="0" xfId="0" applyFont="1" applyFill="1" applyBorder="1"/>
    <xf numFmtId="0" fontId="2" fillId="5" borderId="25" xfId="0" applyFont="1" applyFill="1" applyBorder="1"/>
    <xf numFmtId="0" fontId="2" fillId="5" borderId="7" xfId="0" applyFont="1" applyFill="1" applyBorder="1" applyAlignment="1">
      <alignment horizontal="left"/>
    </xf>
    <xf numFmtId="0" fontId="67" fillId="5" borderId="0" xfId="0" applyFont="1" applyFill="1" applyBorder="1" applyAlignment="1">
      <alignment horizontal="left"/>
    </xf>
    <xf numFmtId="0" fontId="13" fillId="5" borderId="7" xfId="0" applyFont="1" applyFill="1" applyBorder="1" applyAlignment="1">
      <alignment horizontal="left"/>
    </xf>
    <xf numFmtId="0" fontId="67" fillId="5" borderId="24" xfId="0" applyFont="1" applyFill="1" applyBorder="1" applyAlignment="1">
      <alignment horizontal="left"/>
    </xf>
    <xf numFmtId="0" fontId="67" fillId="5" borderId="25" xfId="0" applyFont="1" applyFill="1" applyBorder="1" applyAlignment="1">
      <alignment horizontal="left"/>
    </xf>
    <xf numFmtId="0" fontId="2" fillId="5" borderId="22" xfId="0" applyFont="1" applyFill="1" applyBorder="1"/>
    <xf numFmtId="0" fontId="1" fillId="5" borderId="22" xfId="0" applyFont="1" applyFill="1" applyBorder="1" applyAlignment="1">
      <alignment horizontal="left"/>
    </xf>
    <xf numFmtId="0" fontId="5" fillId="4" borderId="9" xfId="0" applyFont="1" applyFill="1" applyBorder="1"/>
    <xf numFmtId="0" fontId="13" fillId="0" borderId="24" xfId="0" applyFont="1" applyFill="1" applyBorder="1"/>
    <xf numFmtId="0" fontId="13" fillId="5" borderId="21" xfId="0" applyFont="1" applyFill="1" applyBorder="1"/>
    <xf numFmtId="0" fontId="2" fillId="5" borderId="22" xfId="5" applyNumberFormat="1" applyFont="1" applyFill="1" applyBorder="1" applyAlignment="1">
      <alignment horizontal="left"/>
    </xf>
    <xf numFmtId="0" fontId="2" fillId="0" borderId="22" xfId="5" applyNumberFormat="1" applyFont="1" applyFill="1" applyBorder="1" applyAlignment="1">
      <alignment horizontal="left"/>
    </xf>
    <xf numFmtId="0" fontId="2" fillId="5" borderId="26" xfId="5" applyNumberFormat="1" applyFont="1" applyFill="1" applyBorder="1" applyAlignment="1">
      <alignment horizontal="left"/>
    </xf>
    <xf numFmtId="0" fontId="4" fillId="0" borderId="67" xfId="0" quotePrefix="1" applyFont="1" applyFill="1" applyBorder="1"/>
    <xf numFmtId="0" fontId="25" fillId="5" borderId="7" xfId="0" applyFont="1" applyFill="1" applyBorder="1" applyAlignment="1" applyProtection="1">
      <alignment vertical="center"/>
    </xf>
    <xf numFmtId="0" fontId="4" fillId="5" borderId="0" xfId="0" quotePrefix="1" applyFont="1" applyFill="1" applyBorder="1" applyProtection="1">
      <protection hidden="1"/>
    </xf>
    <xf numFmtId="0" fontId="70" fillId="5" borderId="80" xfId="0" applyFont="1" applyFill="1" applyBorder="1" applyAlignment="1" applyProtection="1">
      <alignment vertical="center"/>
    </xf>
    <xf numFmtId="0" fontId="1" fillId="5" borderId="102" xfId="0" applyFont="1" applyFill="1" applyBorder="1" applyAlignment="1" applyProtection="1">
      <alignment vertical="center"/>
    </xf>
    <xf numFmtId="0" fontId="13" fillId="0" borderId="11" xfId="0" applyFont="1" applyBorder="1"/>
    <xf numFmtId="0" fontId="13" fillId="5" borderId="11" xfId="0" applyFont="1" applyFill="1" applyBorder="1" applyAlignment="1" applyProtection="1">
      <alignment vertical="center"/>
    </xf>
    <xf numFmtId="0" fontId="71" fillId="5" borderId="7" xfId="0" applyFont="1" applyFill="1" applyBorder="1" applyAlignment="1" applyProtection="1">
      <alignment vertical="center"/>
    </xf>
    <xf numFmtId="0" fontId="13" fillId="0" borderId="7" xfId="0" applyFont="1" applyBorder="1"/>
    <xf numFmtId="0" fontId="13" fillId="0" borderId="67" xfId="0" applyFont="1" applyBorder="1"/>
    <xf numFmtId="0" fontId="13" fillId="5" borderId="0" xfId="0" applyFont="1" applyFill="1" applyBorder="1" applyAlignment="1" applyProtection="1">
      <alignment horizontal="left"/>
      <protection hidden="1"/>
    </xf>
    <xf numFmtId="0" fontId="71" fillId="5" borderId="0" xfId="0" applyFont="1" applyFill="1" applyBorder="1" applyAlignment="1" applyProtection="1">
      <alignment vertical="center"/>
    </xf>
    <xf numFmtId="0" fontId="13" fillId="0" borderId="0" xfId="0" applyFont="1" applyBorder="1"/>
    <xf numFmtId="0" fontId="13" fillId="0" borderId="77" xfId="0" applyFont="1" applyBorder="1"/>
    <xf numFmtId="0" fontId="71" fillId="5" borderId="14" xfId="0" applyFont="1" applyFill="1" applyBorder="1" applyAlignment="1" applyProtection="1">
      <alignment vertical="center"/>
    </xf>
    <xf numFmtId="0" fontId="13" fillId="5" borderId="7" xfId="0" applyFont="1" applyFill="1" applyBorder="1" applyProtection="1">
      <protection hidden="1"/>
    </xf>
    <xf numFmtId="0" fontId="13" fillId="5" borderId="67" xfId="0" applyFont="1" applyFill="1" applyBorder="1" applyProtection="1">
      <protection hidden="1"/>
    </xf>
    <xf numFmtId="0" fontId="5" fillId="5" borderId="67" xfId="0" quotePrefix="1" applyFont="1" applyFill="1" applyBorder="1" applyProtection="1">
      <protection hidden="1"/>
    </xf>
    <xf numFmtId="0" fontId="5" fillId="5" borderId="77" xfId="0" quotePrefix="1" applyFont="1" applyFill="1" applyBorder="1" applyProtection="1">
      <protection hidden="1"/>
    </xf>
    <xf numFmtId="0" fontId="13" fillId="5" borderId="14" xfId="0" applyFont="1" applyFill="1" applyBorder="1" applyProtection="1">
      <protection hidden="1"/>
    </xf>
    <xf numFmtId="0" fontId="13" fillId="5" borderId="7" xfId="0" applyFont="1" applyFill="1" applyBorder="1" applyAlignment="1" applyProtection="1">
      <alignment vertical="center"/>
      <protection hidden="1"/>
    </xf>
    <xf numFmtId="0" fontId="13" fillId="5" borderId="14" xfId="0" applyFont="1" applyFill="1" applyBorder="1" applyAlignment="1" applyProtection="1">
      <alignment horizontal="right"/>
      <protection hidden="1"/>
    </xf>
    <xf numFmtId="0" fontId="13" fillId="5" borderId="7" xfId="0" applyFont="1" applyFill="1" applyBorder="1" applyAlignment="1" applyProtection="1">
      <alignment horizontal="left" vertical="center"/>
      <protection hidden="1"/>
    </xf>
    <xf numFmtId="0" fontId="13" fillId="0" borderId="7" xfId="0" applyFont="1" applyFill="1" applyBorder="1" applyAlignment="1" applyProtection="1">
      <alignment vertical="center"/>
      <protection hidden="1"/>
    </xf>
    <xf numFmtId="0" fontId="72" fillId="5" borderId="0" xfId="0" applyFont="1" applyFill="1" applyBorder="1" applyAlignment="1" applyProtection="1">
      <alignment horizontal="center"/>
      <protection hidden="1"/>
    </xf>
    <xf numFmtId="0" fontId="13" fillId="0" borderId="100" xfId="0" applyFont="1" applyFill="1" applyBorder="1" applyProtection="1"/>
    <xf numFmtId="0" fontId="13" fillId="5" borderId="52" xfId="0" applyFont="1" applyFill="1" applyBorder="1" applyProtection="1">
      <protection hidden="1"/>
    </xf>
    <xf numFmtId="0" fontId="5" fillId="0" borderId="52" xfId="0" applyFont="1" applyFill="1" applyBorder="1" applyProtection="1"/>
    <xf numFmtId="0" fontId="5" fillId="5" borderId="52" xfId="0" applyFont="1" applyFill="1" applyBorder="1" applyAlignment="1" applyProtection="1">
      <alignment horizontal="right"/>
      <protection hidden="1"/>
    </xf>
    <xf numFmtId="0" fontId="5" fillId="5" borderId="98" xfId="0" applyFont="1" applyFill="1" applyBorder="1" applyAlignment="1" applyProtection="1">
      <alignment horizontal="right"/>
      <protection hidden="1"/>
    </xf>
    <xf numFmtId="0" fontId="13" fillId="0" borderId="101" xfId="0" applyFont="1" applyFill="1" applyBorder="1" applyProtection="1"/>
    <xf numFmtId="0" fontId="13" fillId="0" borderId="81" xfId="0" applyFont="1" applyFill="1" applyBorder="1" applyAlignment="1" applyProtection="1">
      <alignment horizontal="center"/>
    </xf>
    <xf numFmtId="0" fontId="13" fillId="5" borderId="81" xfId="0" applyFont="1" applyFill="1" applyBorder="1" applyProtection="1">
      <protection hidden="1"/>
    </xf>
    <xf numFmtId="0" fontId="5" fillId="5" borderId="81" xfId="0" applyFont="1" applyFill="1" applyBorder="1" applyAlignment="1" applyProtection="1">
      <alignment horizontal="right"/>
      <protection hidden="1"/>
    </xf>
    <xf numFmtId="0" fontId="5" fillId="5" borderId="99" xfId="0" applyFont="1" applyFill="1" applyBorder="1" applyAlignment="1" applyProtection="1">
      <alignment horizontal="right"/>
      <protection hidden="1"/>
    </xf>
    <xf numFmtId="0" fontId="13" fillId="0" borderId="0" xfId="0" applyFont="1" applyFill="1" applyBorder="1" applyProtection="1"/>
    <xf numFmtId="0" fontId="13" fillId="5" borderId="0" xfId="0" applyFont="1" applyFill="1" applyBorder="1" applyAlignment="1" applyProtection="1">
      <alignment horizontal="right"/>
      <protection hidden="1"/>
    </xf>
    <xf numFmtId="0" fontId="5" fillId="5" borderId="0" xfId="0" applyFont="1" applyFill="1" applyBorder="1" applyAlignment="1" applyProtection="1">
      <alignment horizontal="right"/>
      <protection hidden="1"/>
    </xf>
    <xf numFmtId="1" fontId="5" fillId="0" borderId="94" xfId="0" applyNumberFormat="1" applyFont="1" applyFill="1" applyBorder="1" applyAlignment="1" applyProtection="1">
      <alignment horizontal="right"/>
      <protection hidden="1"/>
    </xf>
    <xf numFmtId="0" fontId="1" fillId="0" borderId="67" xfId="0" applyFont="1" applyFill="1" applyBorder="1" applyProtection="1"/>
    <xf numFmtId="0" fontId="1" fillId="0" borderId="0" xfId="0" applyFont="1" applyFill="1" applyBorder="1" applyProtection="1"/>
    <xf numFmtId="0" fontId="13" fillId="5" borderId="31" xfId="0" applyFont="1" applyFill="1" applyBorder="1" applyProtection="1">
      <protection hidden="1"/>
    </xf>
    <xf numFmtId="0" fontId="13" fillId="5" borderId="103" xfId="0" applyFont="1" applyFill="1" applyBorder="1" applyAlignment="1" applyProtection="1">
      <alignment vertical="center"/>
    </xf>
    <xf numFmtId="0" fontId="1" fillId="0" borderId="69" xfId="0" applyFont="1" applyFill="1" applyBorder="1" applyProtection="1"/>
    <xf numFmtId="0" fontId="13" fillId="0" borderId="69" xfId="0" applyFont="1" applyBorder="1"/>
    <xf numFmtId="0" fontId="5" fillId="0" borderId="69" xfId="0" applyFont="1" applyBorder="1"/>
    <xf numFmtId="0" fontId="13" fillId="0" borderId="104" xfId="0" applyFont="1" applyBorder="1"/>
    <xf numFmtId="0" fontId="9" fillId="4" borderId="28" xfId="0" applyFont="1" applyFill="1" applyBorder="1" applyProtection="1">
      <protection locked="0"/>
    </xf>
    <xf numFmtId="0" fontId="9" fillId="4" borderId="51" xfId="0" applyFont="1" applyFill="1" applyBorder="1" applyProtection="1">
      <protection locked="0"/>
    </xf>
    <xf numFmtId="0" fontId="18" fillId="4" borderId="9" xfId="0" applyFont="1" applyFill="1" applyBorder="1" applyProtection="1">
      <protection locked="0"/>
    </xf>
    <xf numFmtId="0" fontId="73" fillId="0" borderId="11" xfId="0" applyFont="1" applyBorder="1" applyAlignment="1">
      <alignment horizontal="right"/>
    </xf>
    <xf numFmtId="0" fontId="3" fillId="0" borderId="0" xfId="5" applyNumberFormat="1" applyFont="1" applyBorder="1" applyAlignment="1">
      <alignment horizontal="center"/>
    </xf>
    <xf numFmtId="0" fontId="16" fillId="0" borderId="0" xfId="5" applyNumberFormat="1" applyFont="1" applyAlignment="1">
      <alignment horizontal="right"/>
    </xf>
    <xf numFmtId="0" fontId="21" fillId="5" borderId="0" xfId="5" applyNumberFormat="1" applyFont="1" applyFill="1" applyBorder="1" applyAlignment="1">
      <alignment horizontal="left"/>
    </xf>
    <xf numFmtId="0" fontId="2" fillId="0" borderId="0" xfId="5" applyNumberFormat="1" applyFont="1" applyAlignment="1" applyProtection="1">
      <alignment horizontal="center"/>
      <protection locked="0"/>
    </xf>
    <xf numFmtId="0" fontId="58" fillId="0" borderId="0" xfId="5" applyNumberFormat="1" applyFont="1" applyBorder="1" applyAlignment="1">
      <alignment horizontal="right"/>
    </xf>
    <xf numFmtId="0" fontId="33" fillId="0" borderId="0" xfId="5" applyNumberFormat="1" applyFont="1" applyAlignment="1">
      <alignment horizontal="left"/>
    </xf>
    <xf numFmtId="0" fontId="20" fillId="0" borderId="0" xfId="5" applyNumberFormat="1" applyFont="1" applyBorder="1" applyAlignment="1">
      <alignment horizontal="right"/>
    </xf>
    <xf numFmtId="0" fontId="22" fillId="5" borderId="22" xfId="5" applyNumberFormat="1" applyFont="1" applyFill="1" applyBorder="1" applyAlignment="1">
      <alignment horizontal="left"/>
    </xf>
    <xf numFmtId="0" fontId="22" fillId="5" borderId="26" xfId="5" applyNumberFormat="1" applyFont="1" applyFill="1" applyBorder="1" applyAlignment="1">
      <alignment horizontal="left"/>
    </xf>
    <xf numFmtId="0" fontId="6" fillId="6" borderId="7" xfId="5" applyNumberFormat="1" applyFont="1" applyFill="1" applyBorder="1" applyAlignment="1">
      <alignment horizontal="left"/>
    </xf>
    <xf numFmtId="0" fontId="21" fillId="6" borderId="14" xfId="5" applyNumberFormat="1" applyFont="1" applyFill="1" applyBorder="1"/>
    <xf numFmtId="0" fontId="6" fillId="6" borderId="7" xfId="5" applyNumberFormat="1" applyFont="1" applyFill="1" applyBorder="1" applyAlignment="1">
      <alignment horizontal="right"/>
    </xf>
    <xf numFmtId="0" fontId="21" fillId="6" borderId="7" xfId="5" applyNumberFormat="1" applyFont="1" applyFill="1" applyBorder="1" applyAlignment="1">
      <alignment horizontal="right"/>
    </xf>
    <xf numFmtId="0" fontId="21" fillId="6" borderId="7" xfId="5" applyNumberFormat="1" applyFont="1" applyFill="1" applyBorder="1"/>
    <xf numFmtId="0" fontId="21" fillId="6" borderId="8" xfId="0" applyFont="1" applyFill="1" applyBorder="1" applyProtection="1">
      <protection locked="0"/>
    </xf>
    <xf numFmtId="0" fontId="21" fillId="6" borderId="14" xfId="5" applyNumberFormat="1" applyFont="1" applyFill="1" applyBorder="1" applyAlignment="1">
      <alignment horizontal="right"/>
    </xf>
    <xf numFmtId="0" fontId="21" fillId="6" borderId="15" xfId="0" applyFont="1" applyFill="1" applyBorder="1" applyProtection="1">
      <protection locked="0"/>
    </xf>
    <xf numFmtId="0" fontId="3" fillId="5" borderId="26" xfId="5" applyNumberFormat="1" applyFont="1" applyFill="1" applyBorder="1"/>
    <xf numFmtId="174" fontId="3" fillId="4" borderId="0" xfId="5" applyNumberFormat="1" applyFont="1" applyFill="1" applyBorder="1" applyAlignment="1">
      <alignment horizontal="left"/>
    </xf>
    <xf numFmtId="0" fontId="3" fillId="10" borderId="25" xfId="5" applyNumberFormat="1" applyFont="1" applyFill="1" applyBorder="1"/>
    <xf numFmtId="0" fontId="16" fillId="5" borderId="0" xfId="0" quotePrefix="1" applyFont="1" applyFill="1" applyAlignment="1" applyProtection="1">
      <alignment horizontal="right" vertical="center"/>
    </xf>
    <xf numFmtId="0" fontId="4" fillId="5" borderId="21" xfId="0" applyFont="1" applyFill="1" applyBorder="1" applyAlignment="1" applyProtection="1">
      <alignment vertical="center"/>
    </xf>
    <xf numFmtId="165" fontId="75" fillId="5" borderId="28" xfId="0" applyNumberFormat="1" applyFont="1" applyFill="1" applyBorder="1" applyAlignment="1" applyProtection="1">
      <alignment horizontal="center" vertical="center" wrapText="1"/>
    </xf>
    <xf numFmtId="166" fontId="4" fillId="10" borderId="10" xfId="0" applyNumberFormat="1" applyFont="1" applyFill="1" applyBorder="1" applyAlignment="1" applyProtection="1">
      <alignment horizontal="center" vertical="center"/>
      <protection locked="0"/>
    </xf>
    <xf numFmtId="0" fontId="8" fillId="5" borderId="44" xfId="0" quotePrefix="1" applyFont="1" applyFill="1" applyBorder="1" applyAlignment="1" applyProtection="1">
      <alignment vertical="center"/>
    </xf>
    <xf numFmtId="0" fontId="4" fillId="5" borderId="13" xfId="0" applyFont="1" applyFill="1" applyBorder="1" applyAlignment="1" applyProtection="1">
      <alignment horizontal="center" vertical="center"/>
    </xf>
    <xf numFmtId="0" fontId="8" fillId="5" borderId="19" xfId="0" applyFont="1" applyFill="1" applyBorder="1" applyAlignment="1" applyProtection="1">
      <alignment vertical="center"/>
      <protection hidden="1"/>
    </xf>
    <xf numFmtId="0" fontId="15" fillId="5" borderId="16" xfId="0" applyFont="1" applyFill="1" applyBorder="1" applyAlignment="1" applyProtection="1">
      <alignment horizontal="left" vertical="center"/>
    </xf>
    <xf numFmtId="0" fontId="4" fillId="5" borderId="11" xfId="0" applyFont="1" applyFill="1" applyBorder="1" applyAlignment="1" applyProtection="1">
      <alignment horizontal="left" vertical="center"/>
    </xf>
    <xf numFmtId="9" fontId="8" fillId="5" borderId="11" xfId="4" applyFont="1" applyFill="1" applyBorder="1" applyAlignment="1" applyProtection="1">
      <alignment horizontal="center" vertical="center"/>
    </xf>
    <xf numFmtId="9" fontId="4" fillId="5" borderId="7" xfId="4" applyFont="1" applyFill="1" applyBorder="1" applyAlignment="1" applyProtection="1">
      <alignment horizontal="left" vertical="center"/>
    </xf>
    <xf numFmtId="9" fontId="4" fillId="5" borderId="7" xfId="4" applyFont="1" applyFill="1" applyBorder="1" applyAlignment="1" applyProtection="1">
      <alignment horizontal="center" vertical="center"/>
    </xf>
    <xf numFmtId="9" fontId="4" fillId="5" borderId="8" xfId="4" applyFont="1" applyFill="1" applyBorder="1" applyAlignment="1" applyProtection="1">
      <alignment horizontal="center" vertical="center"/>
    </xf>
    <xf numFmtId="9" fontId="8" fillId="5" borderId="30" xfId="4" applyFont="1" applyFill="1" applyBorder="1" applyAlignment="1" applyProtection="1">
      <alignment horizontal="right" vertical="center"/>
    </xf>
    <xf numFmtId="9" fontId="8" fillId="5" borderId="35" xfId="4" applyFont="1" applyFill="1" applyBorder="1" applyAlignment="1" applyProtection="1">
      <alignment horizontal="center" vertical="center"/>
      <protection locked="0"/>
    </xf>
    <xf numFmtId="0" fontId="28" fillId="6" borderId="23" xfId="0" applyFont="1" applyFill="1" applyBorder="1"/>
    <xf numFmtId="0" fontId="28" fillId="6" borderId="12" xfId="0" applyFont="1" applyFill="1" applyBorder="1" applyAlignment="1">
      <alignment horizontal="left"/>
    </xf>
    <xf numFmtId="0" fontId="28" fillId="6" borderId="8" xfId="0" applyFont="1" applyFill="1" applyBorder="1" applyAlignment="1">
      <alignment horizontal="center"/>
    </xf>
    <xf numFmtId="0" fontId="8" fillId="5" borderId="21" xfId="0" applyFont="1" applyFill="1" applyBorder="1"/>
    <xf numFmtId="0" fontId="8" fillId="5" borderId="15" xfId="0" applyFont="1" applyFill="1" applyBorder="1"/>
    <xf numFmtId="0" fontId="8" fillId="5" borderId="23" xfId="0" applyFont="1" applyFill="1" applyBorder="1"/>
    <xf numFmtId="0" fontId="8" fillId="5" borderId="12" xfId="0" applyFont="1" applyFill="1" applyBorder="1" applyAlignment="1">
      <alignment horizontal="center"/>
    </xf>
    <xf numFmtId="0" fontId="8" fillId="5" borderId="8" xfId="0" applyFont="1" applyFill="1" applyBorder="1" applyAlignment="1">
      <alignment horizontal="center"/>
    </xf>
    <xf numFmtId="0" fontId="8" fillId="5" borderId="24" xfId="0" applyFont="1" applyFill="1" applyBorder="1" applyAlignment="1">
      <alignment horizontal="center"/>
    </xf>
    <xf numFmtId="0" fontId="8" fillId="5" borderId="25" xfId="0" applyFont="1" applyFill="1" applyBorder="1" applyAlignment="1">
      <alignment horizontal="center"/>
    </xf>
    <xf numFmtId="0" fontId="8" fillId="5" borderId="21" xfId="0" applyFont="1" applyFill="1" applyBorder="1" applyAlignment="1">
      <alignment horizontal="center"/>
    </xf>
    <xf numFmtId="0" fontId="8" fillId="5" borderId="15" xfId="0" applyFont="1" applyFill="1" applyBorder="1" applyAlignment="1">
      <alignment horizontal="center"/>
    </xf>
    <xf numFmtId="0" fontId="6" fillId="6" borderId="23" xfId="0" applyFont="1" applyFill="1" applyBorder="1" applyAlignment="1">
      <alignment horizontal="right"/>
    </xf>
    <xf numFmtId="0" fontId="21" fillId="5" borderId="24" xfId="0" applyFont="1" applyFill="1" applyBorder="1" applyAlignment="1">
      <alignment horizontal="left"/>
    </xf>
    <xf numFmtId="2" fontId="0" fillId="5" borderId="23" xfId="0" applyNumberFormat="1" applyFill="1" applyBorder="1" applyAlignment="1">
      <alignment horizontal="center"/>
    </xf>
    <xf numFmtId="169" fontId="0" fillId="5" borderId="26" xfId="0" applyNumberFormat="1" applyFill="1" applyBorder="1" applyAlignment="1">
      <alignment horizontal="center"/>
    </xf>
    <xf numFmtId="169" fontId="0" fillId="5" borderId="14" xfId="0" applyNumberFormat="1" applyFill="1" applyBorder="1" applyAlignment="1">
      <alignment horizontal="center"/>
    </xf>
    <xf numFmtId="0" fontId="0" fillId="4" borderId="9" xfId="0" applyFill="1" applyBorder="1"/>
    <xf numFmtId="2" fontId="0" fillId="4" borderId="9" xfId="0" applyNumberFormat="1" applyFill="1" applyBorder="1" applyAlignment="1">
      <alignment horizontal="center"/>
    </xf>
    <xf numFmtId="0" fontId="13" fillId="13" borderId="14" xfId="0" applyFont="1" applyFill="1" applyBorder="1" applyAlignment="1" applyProtection="1">
      <alignment horizontal="center"/>
    </xf>
    <xf numFmtId="0" fontId="0" fillId="13" borderId="9" xfId="0" applyFill="1" applyBorder="1" applyAlignment="1">
      <alignment horizontal="center"/>
    </xf>
    <xf numFmtId="0" fontId="8" fillId="13" borderId="65" xfId="0" applyFont="1" applyFill="1" applyBorder="1" applyAlignment="1">
      <alignment horizontal="center"/>
    </xf>
    <xf numFmtId="0" fontId="0" fillId="5" borderId="10" xfId="0" applyFill="1" applyBorder="1" applyAlignment="1">
      <alignment horizontal="center"/>
    </xf>
    <xf numFmtId="0" fontId="0" fillId="13" borderId="10" xfId="0" applyFill="1" applyBorder="1" applyAlignment="1">
      <alignment horizontal="center"/>
    </xf>
    <xf numFmtId="0" fontId="8" fillId="13" borderId="24" xfId="0" applyFont="1" applyFill="1" applyBorder="1"/>
    <xf numFmtId="0" fontId="16" fillId="5" borderId="0" xfId="0" applyFont="1" applyFill="1" applyAlignment="1" applyProtection="1">
      <alignment horizontal="right" vertical="center"/>
    </xf>
    <xf numFmtId="0" fontId="4" fillId="5" borderId="43" xfId="0" applyFont="1" applyFill="1" applyBorder="1" applyProtection="1"/>
    <xf numFmtId="0" fontId="4" fillId="5" borderId="30" xfId="0" applyFont="1" applyFill="1" applyBorder="1" applyAlignment="1" applyProtection="1">
      <alignment horizontal="center"/>
    </xf>
    <xf numFmtId="0" fontId="8" fillId="5" borderId="9" xfId="0" applyFont="1" applyFill="1" applyBorder="1"/>
    <xf numFmtId="0" fontId="4" fillId="5" borderId="19" xfId="0" applyFont="1" applyFill="1" applyBorder="1" applyProtection="1"/>
    <xf numFmtId="0" fontId="4" fillId="5" borderId="10" xfId="0" applyFont="1" applyFill="1" applyBorder="1" applyProtection="1"/>
    <xf numFmtId="0" fontId="4" fillId="5" borderId="10" xfId="0" applyFont="1" applyFill="1" applyBorder="1" applyAlignment="1" applyProtection="1">
      <alignment horizontal="center"/>
    </xf>
    <xf numFmtId="0" fontId="4" fillId="5" borderId="44" xfId="0" applyFont="1" applyFill="1" applyBorder="1" applyProtection="1"/>
    <xf numFmtId="0" fontId="4" fillId="5" borderId="13" xfId="0" applyFont="1" applyFill="1" applyBorder="1" applyAlignment="1" applyProtection="1">
      <alignment horizontal="center"/>
    </xf>
    <xf numFmtId="0" fontId="4" fillId="5" borderId="13" xfId="0" applyFont="1" applyFill="1" applyBorder="1" applyProtection="1"/>
    <xf numFmtId="0" fontId="13" fillId="0" borderId="12" xfId="0" applyFont="1" applyBorder="1" applyAlignment="1" applyProtection="1">
      <alignment vertical="center"/>
    </xf>
    <xf numFmtId="0" fontId="13" fillId="0" borderId="9" xfId="0" applyFont="1" applyBorder="1" applyAlignment="1" applyProtection="1">
      <alignment vertical="center"/>
    </xf>
    <xf numFmtId="0" fontId="4" fillId="5" borderId="10" xfId="0" applyFont="1" applyFill="1" applyBorder="1" applyProtection="1">
      <protection locked="0"/>
    </xf>
    <xf numFmtId="0" fontId="4" fillId="5" borderId="13" xfId="0" applyFont="1" applyFill="1" applyBorder="1" applyProtection="1">
      <protection locked="0"/>
    </xf>
    <xf numFmtId="0" fontId="8" fillId="5" borderId="16" xfId="0" applyFont="1" applyFill="1" applyBorder="1"/>
    <xf numFmtId="0" fontId="4" fillId="5" borderId="105" xfId="0" applyFont="1" applyFill="1" applyBorder="1" applyProtection="1"/>
    <xf numFmtId="0" fontId="4" fillId="5" borderId="30" xfId="0" applyFont="1" applyFill="1" applyBorder="1" applyProtection="1"/>
    <xf numFmtId="0" fontId="4" fillId="5" borderId="106" xfId="0" applyFont="1" applyFill="1" applyBorder="1" applyProtection="1"/>
    <xf numFmtId="0" fontId="4" fillId="5" borderId="54" xfId="0" applyFont="1" applyFill="1" applyBorder="1" applyProtection="1"/>
    <xf numFmtId="0" fontId="8" fillId="5" borderId="81" xfId="0" applyFont="1" applyFill="1" applyBorder="1" applyAlignment="1" applyProtection="1">
      <alignment horizontal="center"/>
      <protection locked="0" hidden="1"/>
    </xf>
    <xf numFmtId="0" fontId="8" fillId="0" borderId="81" xfId="0" applyFont="1" applyFill="1" applyBorder="1" applyAlignment="1" applyProtection="1">
      <alignment horizontal="center"/>
    </xf>
    <xf numFmtId="0" fontId="4" fillId="0" borderId="22" xfId="0" applyFont="1" applyBorder="1" applyAlignment="1">
      <alignment horizontal="center"/>
    </xf>
    <xf numFmtId="0" fontId="4" fillId="0" borderId="26" xfId="0" applyFont="1" applyBorder="1" applyAlignment="1">
      <alignment horizontal="center"/>
    </xf>
    <xf numFmtId="0" fontId="76" fillId="5" borderId="8" xfId="0" applyFont="1" applyFill="1" applyBorder="1" applyAlignment="1" applyProtection="1">
      <alignment horizontal="center"/>
    </xf>
    <xf numFmtId="0" fontId="8" fillId="5" borderId="7" xfId="0" applyFont="1" applyFill="1" applyBorder="1" applyAlignment="1" applyProtection="1">
      <alignment vertical="center"/>
    </xf>
    <xf numFmtId="14" fontId="0" fillId="0" borderId="0" xfId="0" applyNumberFormat="1" applyFill="1"/>
    <xf numFmtId="0" fontId="0" fillId="0" borderId="0" xfId="0" applyFill="1" applyAlignment="1">
      <alignment horizontal="center"/>
    </xf>
    <xf numFmtId="0" fontId="26" fillId="5" borderId="0" xfId="0" applyFont="1" applyFill="1" applyBorder="1" applyAlignment="1">
      <alignment horizontal="left" vertical="center"/>
    </xf>
    <xf numFmtId="0" fontId="58" fillId="0" borderId="0" xfId="5" applyNumberFormat="1" applyFont="1" applyBorder="1" applyAlignment="1">
      <alignment horizontal="left"/>
    </xf>
    <xf numFmtId="0" fontId="21" fillId="14" borderId="9" xfId="0" applyFont="1" applyFill="1" applyBorder="1"/>
    <xf numFmtId="0" fontId="33" fillId="6" borderId="23" xfId="0" applyFont="1" applyFill="1" applyBorder="1"/>
    <xf numFmtId="0" fontId="33" fillId="6" borderId="26" xfId="0" applyFont="1" applyFill="1" applyBorder="1"/>
    <xf numFmtId="0" fontId="18" fillId="0" borderId="0" xfId="5" applyNumberFormat="1" applyFont="1" applyAlignment="1">
      <alignment horizontal="left"/>
    </xf>
    <xf numFmtId="0" fontId="2" fillId="0" borderId="10" xfId="5" applyNumberFormat="1" applyFont="1" applyBorder="1" applyAlignment="1">
      <alignment horizontal="center"/>
    </xf>
    <xf numFmtId="0" fontId="6" fillId="6" borderId="9" xfId="0" applyFont="1" applyFill="1" applyBorder="1"/>
    <xf numFmtId="0" fontId="6" fillId="6" borderId="9" xfId="0" applyFont="1" applyFill="1" applyBorder="1" applyAlignment="1">
      <alignment horizontal="right"/>
    </xf>
    <xf numFmtId="0" fontId="24" fillId="5" borderId="7" xfId="0" applyFont="1" applyFill="1" applyBorder="1" applyAlignment="1">
      <alignment horizontal="left" vertical="center"/>
    </xf>
    <xf numFmtId="0" fontId="52" fillId="0" borderId="0" xfId="5" applyNumberFormat="1" applyFont="1" applyFill="1" applyAlignment="1">
      <alignment horizontal="right"/>
    </xf>
    <xf numFmtId="0" fontId="4" fillId="0" borderId="0" xfId="5" applyNumberFormat="1" applyFont="1" applyAlignment="1">
      <alignment horizontal="center"/>
    </xf>
    <xf numFmtId="0" fontId="4" fillId="5" borderId="0" xfId="5" applyNumberFormat="1" applyFont="1" applyFill="1" applyBorder="1" applyAlignment="1">
      <alignment horizontal="center"/>
    </xf>
    <xf numFmtId="0" fontId="58" fillId="0" borderId="0" xfId="5" applyNumberFormat="1" applyFont="1" applyAlignment="1">
      <alignment horizontal="center"/>
    </xf>
    <xf numFmtId="0" fontId="4" fillId="0" borderId="14" xfId="5" applyNumberFormat="1" applyFont="1" applyBorder="1" applyAlignment="1">
      <alignment horizontal="center"/>
    </xf>
    <xf numFmtId="0" fontId="4" fillId="0" borderId="0" xfId="5" applyNumberFormat="1" applyFont="1" applyBorder="1" applyAlignment="1">
      <alignment horizontal="center"/>
    </xf>
    <xf numFmtId="0" fontId="4" fillId="0" borderId="0" xfId="5" applyNumberFormat="1" applyFont="1" applyAlignment="1">
      <alignment horizontal="center" vertical="top" wrapText="1"/>
    </xf>
    <xf numFmtId="0" fontId="4" fillId="0" borderId="0" xfId="5" applyNumberFormat="1" applyFont="1" applyAlignment="1">
      <alignment horizontal="center" vertical="center"/>
    </xf>
    <xf numFmtId="0" fontId="4" fillId="5" borderId="0" xfId="0" applyFont="1" applyFill="1" applyAlignment="1" applyProtection="1">
      <alignment horizontal="center"/>
    </xf>
    <xf numFmtId="0" fontId="4" fillId="5" borderId="0" xfId="0" applyFont="1" applyFill="1" applyAlignment="1" applyProtection="1">
      <alignment horizontal="center" vertical="center"/>
    </xf>
    <xf numFmtId="0" fontId="4" fillId="0" borderId="0" xfId="0" applyFont="1"/>
    <xf numFmtId="0" fontId="4" fillId="5" borderId="0" xfId="0" applyFont="1" applyFill="1" applyAlignment="1">
      <alignment horizontal="right"/>
    </xf>
    <xf numFmtId="0" fontId="4" fillId="5" borderId="0" xfId="0" applyFont="1" applyFill="1" applyAlignment="1" applyProtection="1">
      <alignment horizontal="left" vertical="center"/>
    </xf>
    <xf numFmtId="0" fontId="4" fillId="5" borderId="0" xfId="0" applyFont="1" applyFill="1" applyAlignment="1">
      <alignment horizontal="right" vertical="center"/>
    </xf>
    <xf numFmtId="0" fontId="4" fillId="0" borderId="0" xfId="0" applyFont="1" applyAlignment="1" applyProtection="1">
      <alignment horizontal="left" vertical="center"/>
    </xf>
    <xf numFmtId="0" fontId="58" fillId="5" borderId="0" xfId="0" applyFont="1" applyFill="1" applyAlignment="1" applyProtection="1">
      <alignment horizontal="left" vertical="center"/>
    </xf>
    <xf numFmtId="0" fontId="4" fillId="5" borderId="0" xfId="0" applyFont="1" applyFill="1" applyAlignment="1" applyProtection="1">
      <alignment horizontal="left"/>
    </xf>
    <xf numFmtId="0" fontId="4" fillId="0" borderId="0" xfId="0" applyFont="1" applyAlignment="1" applyProtection="1">
      <alignment horizontal="left"/>
    </xf>
    <xf numFmtId="0" fontId="4" fillId="5" borderId="0" xfId="0" applyFont="1" applyFill="1" applyProtection="1"/>
    <xf numFmtId="0" fontId="0" fillId="7" borderId="11" xfId="0" applyFill="1" applyBorder="1"/>
    <xf numFmtId="0" fontId="0" fillId="7" borderId="18" xfId="0" applyFill="1" applyBorder="1"/>
    <xf numFmtId="0" fontId="8" fillId="4" borderId="107" xfId="0" applyFont="1" applyFill="1" applyBorder="1" applyAlignment="1" applyProtection="1">
      <alignment horizontal="center"/>
      <protection locked="0" hidden="1"/>
    </xf>
    <xf numFmtId="165" fontId="4" fillId="5" borderId="13" xfId="0" applyNumberFormat="1" applyFont="1" applyFill="1" applyBorder="1" applyAlignment="1" applyProtection="1">
      <alignment horizontal="center" vertical="center"/>
    </xf>
    <xf numFmtId="167" fontId="4" fillId="5" borderId="47" xfId="0" applyNumberFormat="1" applyFont="1" applyFill="1" applyBorder="1" applyAlignment="1" applyProtection="1">
      <alignment horizontal="center" vertical="center"/>
    </xf>
    <xf numFmtId="167" fontId="4" fillId="5" borderId="51" xfId="0" applyNumberFormat="1" applyFont="1" applyFill="1" applyBorder="1" applyAlignment="1" applyProtection="1">
      <alignment horizontal="center" vertical="center"/>
    </xf>
    <xf numFmtId="0" fontId="34" fillId="5" borderId="16" xfId="0" applyFont="1" applyFill="1" applyBorder="1" applyAlignment="1" applyProtection="1">
      <alignment horizontal="left" vertical="center"/>
    </xf>
    <xf numFmtId="0" fontId="26" fillId="5" borderId="11" xfId="0" applyFont="1" applyFill="1" applyBorder="1" applyProtection="1"/>
    <xf numFmtId="0" fontId="14" fillId="5" borderId="18" xfId="0" applyFont="1" applyFill="1" applyBorder="1" applyAlignment="1" applyProtection="1">
      <alignment horizontal="center" vertical="center"/>
    </xf>
    <xf numFmtId="165" fontId="75" fillId="5" borderId="10" xfId="0" applyNumberFormat="1" applyFont="1" applyFill="1" applyBorder="1" applyAlignment="1" applyProtection="1">
      <alignment horizontal="center" vertical="center" wrapText="1"/>
      <protection locked="0"/>
    </xf>
    <xf numFmtId="0" fontId="4" fillId="10" borderId="13" xfId="0" applyNumberFormat="1" applyFont="1" applyFill="1" applyBorder="1" applyAlignment="1" applyProtection="1">
      <alignment horizontal="center" vertical="center"/>
      <protection locked="0"/>
    </xf>
    <xf numFmtId="0" fontId="58" fillId="5" borderId="47" xfId="0" applyFont="1" applyFill="1" applyBorder="1" applyAlignment="1" applyProtection="1">
      <alignment horizontal="center" vertical="center"/>
    </xf>
    <xf numFmtId="165" fontId="4" fillId="5" borderId="51" xfId="0" applyNumberFormat="1" applyFont="1" applyFill="1" applyBorder="1" applyAlignment="1" applyProtection="1">
      <alignment horizontal="center" vertical="center"/>
    </xf>
    <xf numFmtId="0" fontId="3" fillId="5" borderId="17" xfId="0" applyFont="1" applyFill="1" applyBorder="1"/>
    <xf numFmtId="3" fontId="4" fillId="4" borderId="10" xfId="0" applyNumberFormat="1" applyFont="1" applyFill="1" applyBorder="1" applyAlignment="1" applyProtection="1">
      <alignment horizontal="center" vertical="center"/>
      <protection locked="0"/>
    </xf>
    <xf numFmtId="3" fontId="4" fillId="5" borderId="10" xfId="0" applyNumberFormat="1" applyFont="1" applyFill="1" applyBorder="1" applyAlignment="1" applyProtection="1">
      <alignment horizontal="center" vertical="center"/>
      <protection locked="0"/>
    </xf>
    <xf numFmtId="3" fontId="4" fillId="5" borderId="37" xfId="0" applyNumberFormat="1" applyFont="1" applyFill="1" applyBorder="1" applyAlignment="1" applyProtection="1">
      <alignment horizontal="center" vertical="center"/>
    </xf>
    <xf numFmtId="3" fontId="46" fillId="5" borderId="28" xfId="0" applyNumberFormat="1" applyFont="1" applyFill="1" applyBorder="1" applyAlignment="1" applyProtection="1">
      <alignment horizontal="center" vertical="center" wrapText="1"/>
    </xf>
    <xf numFmtId="3" fontId="4" fillId="5" borderId="66" xfId="0" applyNumberFormat="1" applyFont="1" applyFill="1" applyBorder="1" applyAlignment="1" applyProtection="1">
      <alignment horizontal="center" vertical="center"/>
    </xf>
    <xf numFmtId="3" fontId="4" fillId="5" borderId="81" xfId="0" applyNumberFormat="1" applyFont="1" applyFill="1" applyBorder="1" applyAlignment="1" applyProtection="1">
      <alignment horizontal="center" vertical="center"/>
    </xf>
    <xf numFmtId="3" fontId="4" fillId="5" borderId="34" xfId="0" applyNumberFormat="1" applyFont="1" applyFill="1" applyBorder="1" applyAlignment="1" applyProtection="1">
      <alignment horizontal="center" vertical="center"/>
    </xf>
    <xf numFmtId="2" fontId="59" fillId="5" borderId="22" xfId="0" applyNumberFormat="1" applyFont="1" applyFill="1" applyBorder="1" applyAlignment="1">
      <alignment horizontal="center"/>
    </xf>
    <xf numFmtId="0" fontId="9" fillId="5" borderId="7" xfId="0" applyFont="1" applyFill="1" applyBorder="1" applyAlignment="1" applyProtection="1">
      <alignment horizontal="left" vertical="center"/>
    </xf>
    <xf numFmtId="0" fontId="8" fillId="0" borderId="0" xfId="5" applyNumberFormat="1" applyFont="1" applyBorder="1" applyAlignment="1">
      <alignment horizontal="left"/>
    </xf>
    <xf numFmtId="0" fontId="0" fillId="5" borderId="18" xfId="0" applyFill="1" applyBorder="1" applyAlignment="1">
      <alignment horizontal="center"/>
    </xf>
    <xf numFmtId="1" fontId="0" fillId="5" borderId="25" xfId="0" applyNumberFormat="1" applyFill="1" applyBorder="1" applyAlignment="1">
      <alignment horizontal="center"/>
    </xf>
    <xf numFmtId="1" fontId="0" fillId="5" borderId="15" xfId="0" applyNumberFormat="1" applyFill="1" applyBorder="1" applyAlignment="1">
      <alignment horizontal="center"/>
    </xf>
    <xf numFmtId="1" fontId="0" fillId="6" borderId="26" xfId="0" applyNumberFormat="1" applyFill="1" applyBorder="1" applyAlignment="1">
      <alignment horizontal="center"/>
    </xf>
    <xf numFmtId="1" fontId="0" fillId="5" borderId="9" xfId="0" applyNumberFormat="1" applyFill="1" applyBorder="1" applyAlignment="1">
      <alignment horizontal="center"/>
    </xf>
    <xf numFmtId="1" fontId="0" fillId="10" borderId="9" xfId="0" applyNumberFormat="1" applyFill="1" applyBorder="1" applyAlignment="1" applyProtection="1">
      <alignment horizontal="center"/>
      <protection locked="0"/>
    </xf>
    <xf numFmtId="0" fontId="0" fillId="10" borderId="9" xfId="0" applyFill="1" applyBorder="1" applyAlignment="1" applyProtection="1">
      <alignment horizontal="center"/>
      <protection locked="0"/>
    </xf>
    <xf numFmtId="0" fontId="13" fillId="5" borderId="11" xfId="0" applyFont="1" applyFill="1" applyBorder="1" applyAlignment="1" applyProtection="1">
      <alignment horizontal="center" vertical="center"/>
    </xf>
    <xf numFmtId="0" fontId="0" fillId="5" borderId="11" xfId="0" applyFill="1" applyBorder="1" applyAlignment="1">
      <alignment horizontal="center"/>
    </xf>
    <xf numFmtId="0" fontId="13" fillId="5" borderId="11" xfId="0" applyFont="1" applyFill="1" applyBorder="1" applyAlignment="1" applyProtection="1">
      <alignment horizontal="center"/>
    </xf>
    <xf numFmtId="0" fontId="8" fillId="5" borderId="108" xfId="0" applyFont="1" applyFill="1" applyBorder="1" applyAlignment="1" applyProtection="1">
      <alignment horizontal="left"/>
    </xf>
    <xf numFmtId="0" fontId="8" fillId="5" borderId="31" xfId="0" applyFont="1" applyFill="1" applyBorder="1" applyAlignment="1" applyProtection="1">
      <alignment horizontal="left"/>
    </xf>
    <xf numFmtId="0" fontId="59" fillId="5" borderId="0" xfId="0" applyFont="1" applyFill="1" applyAlignment="1">
      <alignment vertical="top"/>
    </xf>
    <xf numFmtId="0" fontId="2" fillId="5" borderId="0" xfId="0" applyFont="1" applyFill="1" applyAlignment="1">
      <alignment vertical="top"/>
    </xf>
    <xf numFmtId="0" fontId="78" fillId="5" borderId="0" xfId="0" applyFont="1" applyFill="1" applyAlignment="1">
      <alignment horizontal="right" vertical="top"/>
    </xf>
    <xf numFmtId="0" fontId="16" fillId="5" borderId="0" xfId="5" applyNumberFormat="1" applyFont="1" applyFill="1" applyAlignment="1">
      <alignment horizontal="right"/>
    </xf>
    <xf numFmtId="0" fontId="79" fillId="5" borderId="0" xfId="0" applyFont="1" applyFill="1" applyAlignment="1">
      <alignment vertical="top"/>
    </xf>
    <xf numFmtId="0" fontId="13" fillId="5" borderId="0" xfId="0" applyFont="1" applyFill="1" applyAlignment="1">
      <alignment vertical="top"/>
    </xf>
    <xf numFmtId="0" fontId="13" fillId="5" borderId="0" xfId="0" applyFont="1" applyFill="1" applyAlignment="1">
      <alignment horizontal="left" vertical="top" wrapText="1"/>
    </xf>
    <xf numFmtId="0" fontId="13" fillId="5" borderId="23" xfId="0" applyFont="1" applyFill="1" applyBorder="1" applyAlignment="1">
      <alignment horizontal="left" vertical="top" wrapText="1"/>
    </xf>
    <xf numFmtId="0" fontId="13" fillId="5" borderId="8" xfId="0" applyFont="1" applyFill="1" applyBorder="1" applyAlignment="1">
      <alignment vertical="top"/>
    </xf>
    <xf numFmtId="0" fontId="13" fillId="5" borderId="0" xfId="0" applyFont="1" applyFill="1" applyBorder="1" applyAlignment="1">
      <alignment horizontal="left" vertical="top"/>
    </xf>
    <xf numFmtId="0" fontId="3" fillId="5" borderId="0" xfId="0" applyFont="1" applyFill="1" applyBorder="1" applyAlignment="1">
      <alignment horizontal="left" vertical="top"/>
    </xf>
    <xf numFmtId="0" fontId="13" fillId="5" borderId="22" xfId="0" applyFont="1" applyFill="1" applyBorder="1" applyAlignment="1">
      <alignment horizontal="left" vertical="top" wrapText="1"/>
    </xf>
    <xf numFmtId="0" fontId="13" fillId="5" borderId="25" xfId="0" applyFont="1" applyFill="1" applyBorder="1" applyAlignment="1">
      <alignment vertical="top"/>
    </xf>
    <xf numFmtId="0" fontId="13" fillId="5" borderId="15" xfId="0" applyFont="1" applyFill="1" applyBorder="1" applyAlignment="1">
      <alignment vertical="top"/>
    </xf>
    <xf numFmtId="0" fontId="13" fillId="5" borderId="109" xfId="0" applyFont="1" applyFill="1" applyBorder="1" applyAlignment="1">
      <alignment horizontal="left" vertical="top" wrapText="1"/>
    </xf>
    <xf numFmtId="0" fontId="13" fillId="5" borderId="11" xfId="0" applyFont="1" applyFill="1" applyBorder="1" applyAlignment="1">
      <alignment vertical="center"/>
    </xf>
    <xf numFmtId="0" fontId="8" fillId="5" borderId="92" xfId="0" applyFont="1" applyFill="1" applyBorder="1" applyAlignment="1" applyProtection="1">
      <alignment horizontal="right" vertical="center"/>
    </xf>
    <xf numFmtId="0" fontId="9" fillId="5" borderId="17" xfId="0" applyFont="1" applyFill="1" applyBorder="1" applyAlignment="1">
      <alignment horizontal="center" vertical="center"/>
    </xf>
    <xf numFmtId="0" fontId="9" fillId="5" borderId="58" xfId="0" applyFont="1" applyFill="1" applyBorder="1" applyAlignment="1">
      <alignment horizontal="center" vertical="center"/>
    </xf>
    <xf numFmtId="0" fontId="13" fillId="5" borderId="110" xfId="0" applyFont="1" applyFill="1" applyBorder="1" applyAlignment="1">
      <alignment horizontal="left" vertical="top" wrapText="1"/>
    </xf>
    <xf numFmtId="0" fontId="13" fillId="5" borderId="82" xfId="0" applyFont="1" applyFill="1" applyBorder="1" applyAlignment="1">
      <alignment vertical="center"/>
    </xf>
    <xf numFmtId="0" fontId="13" fillId="5" borderId="30" xfId="0" applyFont="1" applyFill="1" applyBorder="1" applyAlignment="1">
      <alignment horizontal="center" vertical="top"/>
    </xf>
    <xf numFmtId="0" fontId="13" fillId="5" borderId="111" xfId="0" applyFont="1" applyFill="1" applyBorder="1" applyAlignment="1">
      <alignment horizontal="center" vertical="top"/>
    </xf>
    <xf numFmtId="0" fontId="13" fillId="5" borderId="0" xfId="0" applyFont="1" applyFill="1" applyBorder="1" applyAlignment="1">
      <alignment vertical="top"/>
    </xf>
    <xf numFmtId="0" fontId="13" fillId="5" borderId="14" xfId="0" applyFont="1" applyFill="1" applyBorder="1" applyAlignment="1">
      <alignment vertical="top"/>
    </xf>
    <xf numFmtId="0" fontId="13" fillId="5" borderId="26" xfId="0" applyFont="1" applyFill="1" applyBorder="1" applyAlignment="1">
      <alignment horizontal="left" vertical="top" wrapText="1"/>
    </xf>
    <xf numFmtId="0" fontId="13" fillId="5" borderId="11" xfId="0" applyFont="1" applyFill="1" applyBorder="1" applyAlignment="1">
      <alignment vertical="top"/>
    </xf>
    <xf numFmtId="0" fontId="13" fillId="5" borderId="18" xfId="0" applyFont="1" applyFill="1" applyBorder="1" applyAlignment="1">
      <alignment vertical="top"/>
    </xf>
    <xf numFmtId="0" fontId="13" fillId="5" borderId="0" xfId="0" applyFont="1" applyFill="1" applyAlignment="1">
      <alignment horizontal="left" vertical="top"/>
    </xf>
    <xf numFmtId="0" fontId="14" fillId="5" borderId="0" xfId="0" applyFont="1" applyFill="1" applyAlignment="1">
      <alignment vertical="top"/>
    </xf>
    <xf numFmtId="0" fontId="13" fillId="5" borderId="23" xfId="0" applyFont="1" applyFill="1" applyBorder="1" applyAlignment="1">
      <alignment vertical="top"/>
    </xf>
    <xf numFmtId="0" fontId="13" fillId="5" borderId="26" xfId="0" applyFont="1" applyFill="1" applyBorder="1" applyAlignment="1">
      <alignment vertical="top"/>
    </xf>
    <xf numFmtId="0" fontId="13" fillId="5" borderId="108" xfId="0" applyFont="1" applyFill="1" applyBorder="1" applyAlignment="1">
      <alignment horizontal="center" vertical="top"/>
    </xf>
    <xf numFmtId="0" fontId="13" fillId="5" borderId="40" xfId="0" applyFont="1" applyFill="1" applyBorder="1" applyAlignment="1">
      <alignment horizontal="center" vertical="top"/>
    </xf>
    <xf numFmtId="0" fontId="13" fillId="5" borderId="112" xfId="0" applyFont="1" applyFill="1" applyBorder="1" applyAlignment="1">
      <alignment horizontal="center" vertical="top"/>
    </xf>
    <xf numFmtId="0" fontId="13" fillId="5" borderId="110" xfId="0" applyFont="1" applyFill="1" applyBorder="1" applyAlignment="1">
      <alignment vertical="top"/>
    </xf>
    <xf numFmtId="0" fontId="13" fillId="5" borderId="7" xfId="0" applyFont="1" applyFill="1" applyBorder="1" applyAlignment="1">
      <alignment vertical="top"/>
    </xf>
    <xf numFmtId="0" fontId="13" fillId="5" borderId="19" xfId="0" quotePrefix="1" applyFont="1" applyFill="1" applyBorder="1" applyAlignment="1">
      <alignment horizontal="center" vertical="top"/>
    </xf>
    <xf numFmtId="0" fontId="13" fillId="5" borderId="0" xfId="0" applyFont="1" applyFill="1" applyBorder="1" applyAlignment="1">
      <alignment vertical="center"/>
    </xf>
    <xf numFmtId="0" fontId="13" fillId="5" borderId="22" xfId="0" applyFont="1" applyFill="1" applyBorder="1" applyAlignment="1">
      <alignment vertical="top"/>
    </xf>
    <xf numFmtId="0" fontId="13" fillId="5" borderId="113" xfId="0" applyFont="1" applyFill="1" applyBorder="1" applyAlignment="1">
      <alignment vertical="top"/>
    </xf>
    <xf numFmtId="0" fontId="13" fillId="5" borderId="114" xfId="0" applyFont="1" applyFill="1" applyBorder="1" applyAlignment="1">
      <alignment horizontal="center" vertical="top"/>
    </xf>
    <xf numFmtId="0" fontId="13" fillId="5" borderId="12" xfId="0" applyFont="1" applyFill="1" applyBorder="1" applyAlignment="1">
      <alignment vertical="top"/>
    </xf>
    <xf numFmtId="0" fontId="13" fillId="5" borderId="21" xfId="0" applyFont="1" applyFill="1" applyBorder="1" applyAlignment="1">
      <alignment vertical="top"/>
    </xf>
    <xf numFmtId="0" fontId="9" fillId="15" borderId="17" xfId="0" applyFont="1" applyFill="1" applyBorder="1" applyAlignment="1">
      <alignment horizontal="center" vertical="center"/>
    </xf>
    <xf numFmtId="0" fontId="9" fillId="15" borderId="58" xfId="0" applyFont="1" applyFill="1" applyBorder="1" applyAlignment="1">
      <alignment horizontal="center" vertical="center"/>
    </xf>
    <xf numFmtId="0" fontId="13" fillId="5" borderId="9" xfId="0" applyFont="1" applyFill="1" applyBorder="1" applyAlignment="1">
      <alignment vertical="top"/>
    </xf>
    <xf numFmtId="0" fontId="0" fillId="5" borderId="23" xfId="0" applyFill="1" applyBorder="1" applyAlignment="1">
      <alignment horizontal="left"/>
    </xf>
    <xf numFmtId="0" fontId="0" fillId="5" borderId="22" xfId="0" applyFill="1" applyBorder="1" applyAlignment="1">
      <alignment horizontal="left"/>
    </xf>
    <xf numFmtId="0" fontId="0" fillId="5" borderId="26" xfId="0" applyFill="1" applyBorder="1" applyAlignment="1">
      <alignment horizontal="left"/>
    </xf>
    <xf numFmtId="165" fontId="46" fillId="5" borderId="28" xfId="0" applyNumberFormat="1" applyFont="1" applyFill="1" applyBorder="1" applyAlignment="1" applyProtection="1">
      <alignment horizontal="center" vertical="center" wrapText="1"/>
    </xf>
    <xf numFmtId="0" fontId="51" fillId="5" borderId="24" xfId="0" applyFont="1" applyFill="1" applyBorder="1"/>
    <xf numFmtId="0" fontId="59" fillId="5" borderId="21" xfId="0" applyFont="1" applyFill="1" applyBorder="1"/>
    <xf numFmtId="1" fontId="0" fillId="5" borderId="14" xfId="0" applyNumberFormat="1" applyFill="1" applyBorder="1" applyAlignment="1">
      <alignment horizontal="center"/>
    </xf>
    <xf numFmtId="0" fontId="3" fillId="5" borderId="15" xfId="0" applyFont="1" applyFill="1" applyBorder="1" applyAlignment="1">
      <alignment horizontal="center"/>
    </xf>
    <xf numFmtId="0" fontId="59" fillId="5" borderId="26" xfId="0" applyFont="1" applyFill="1" applyBorder="1"/>
    <xf numFmtId="0" fontId="0" fillId="5" borderId="93" xfId="0" applyFill="1" applyBorder="1"/>
    <xf numFmtId="0" fontId="0" fillId="5" borderId="24" xfId="0" applyNumberFormat="1" applyFill="1" applyBorder="1" applyAlignment="1">
      <alignment horizontal="center"/>
    </xf>
    <xf numFmtId="0" fontId="0" fillId="5" borderId="41" xfId="0" applyFill="1" applyBorder="1" applyAlignment="1">
      <alignment horizontal="center"/>
    </xf>
    <xf numFmtId="0" fontId="0" fillId="5" borderId="8" xfId="0" applyNumberFormat="1" applyFill="1" applyBorder="1" applyAlignment="1">
      <alignment horizontal="center"/>
    </xf>
    <xf numFmtId="0" fontId="0" fillId="5" borderId="23" xfId="0" applyNumberFormat="1" applyFill="1" applyBorder="1" applyAlignment="1">
      <alignment horizontal="center"/>
    </xf>
    <xf numFmtId="0" fontId="0" fillId="5" borderId="25" xfId="0" applyNumberFormat="1" applyFill="1" applyBorder="1" applyAlignment="1">
      <alignment horizontal="center"/>
    </xf>
    <xf numFmtId="0" fontId="0" fillId="5" borderId="22" xfId="0" applyNumberFormat="1" applyFill="1" applyBorder="1" applyAlignment="1">
      <alignment horizontal="center"/>
    </xf>
    <xf numFmtId="0" fontId="0" fillId="5" borderId="93" xfId="0" applyFill="1" applyBorder="1" applyAlignment="1">
      <alignment horizontal="center"/>
    </xf>
    <xf numFmtId="0" fontId="0" fillId="5" borderId="15" xfId="0" applyNumberFormat="1" applyFill="1" applyBorder="1" applyAlignment="1">
      <alignment horizontal="center"/>
    </xf>
    <xf numFmtId="0" fontId="0" fillId="5" borderId="26" xfId="0" applyNumberFormat="1" applyFill="1" applyBorder="1" applyAlignment="1">
      <alignment horizontal="center"/>
    </xf>
    <xf numFmtId="1" fontId="6" fillId="6" borderId="9" xfId="0" applyNumberFormat="1" applyFont="1" applyFill="1" applyBorder="1" applyAlignment="1">
      <alignment horizontal="center"/>
    </xf>
    <xf numFmtId="2" fontId="0" fillId="10" borderId="16" xfId="0" applyNumberFormat="1" applyFill="1" applyBorder="1" applyAlignment="1">
      <alignment horizontal="center"/>
    </xf>
    <xf numFmtId="1" fontId="0" fillId="10" borderId="16" xfId="0" applyNumberFormat="1" applyFill="1" applyBorder="1" applyAlignment="1">
      <alignment horizontal="center"/>
    </xf>
    <xf numFmtId="1" fontId="0" fillId="10" borderId="9" xfId="0" applyNumberFormat="1" applyFill="1" applyBorder="1" applyAlignment="1">
      <alignment horizontal="center"/>
    </xf>
    <xf numFmtId="0" fontId="2" fillId="5" borderId="9" xfId="0" applyFont="1" applyFill="1" applyBorder="1" applyAlignment="1">
      <alignment horizontal="center" vertical="top"/>
    </xf>
    <xf numFmtId="3" fontId="4" fillId="5" borderId="15" xfId="0" applyNumberFormat="1" applyFont="1" applyFill="1" applyBorder="1" applyAlignment="1" applyProtection="1">
      <alignment horizontal="center"/>
    </xf>
    <xf numFmtId="0" fontId="19" fillId="5" borderId="44" xfId="0" applyFont="1" applyFill="1" applyBorder="1" applyAlignment="1" applyProtection="1">
      <alignment vertical="center"/>
    </xf>
    <xf numFmtId="0" fontId="4" fillId="5" borderId="42" xfId="0" applyFont="1" applyFill="1" applyBorder="1" applyAlignment="1" applyProtection="1">
      <alignment horizontal="center" vertical="center"/>
    </xf>
    <xf numFmtId="0" fontId="55" fillId="5" borderId="42" xfId="0" applyFont="1" applyFill="1" applyBorder="1" applyAlignment="1" applyProtection="1">
      <alignment horizontal="center" vertical="center"/>
    </xf>
    <xf numFmtId="3" fontId="55" fillId="5" borderId="42" xfId="0" applyNumberFormat="1" applyFont="1" applyFill="1" applyBorder="1" applyAlignment="1" applyProtection="1">
      <alignment horizontal="center" vertical="center"/>
    </xf>
    <xf numFmtId="3" fontId="55" fillId="5" borderId="93" xfId="0" applyNumberFormat="1" applyFont="1" applyFill="1" applyBorder="1" applyAlignment="1" applyProtection="1">
      <alignment vertical="center"/>
    </xf>
    <xf numFmtId="3" fontId="55" fillId="5" borderId="15" xfId="0" applyNumberFormat="1" applyFont="1" applyFill="1" applyBorder="1" applyAlignment="1" applyProtection="1">
      <alignment horizontal="center" vertical="center"/>
    </xf>
    <xf numFmtId="3" fontId="4" fillId="4" borderId="42" xfId="0" applyNumberFormat="1" applyFont="1" applyFill="1" applyBorder="1" applyAlignment="1" applyProtection="1">
      <alignment horizontal="center" vertical="center"/>
      <protection locked="0"/>
    </xf>
    <xf numFmtId="3" fontId="4" fillId="5" borderId="42" xfId="0" applyNumberFormat="1" applyFont="1" applyFill="1" applyBorder="1" applyAlignment="1" applyProtection="1">
      <alignment horizontal="center" vertical="center"/>
      <protection locked="0"/>
    </xf>
    <xf numFmtId="3" fontId="4" fillId="5" borderId="93" xfId="0" applyNumberFormat="1" applyFont="1" applyFill="1" applyBorder="1" applyProtection="1"/>
    <xf numFmtId="3" fontId="4" fillId="5" borderId="37" xfId="0" applyNumberFormat="1" applyFont="1" applyFill="1" applyBorder="1" applyProtection="1"/>
    <xf numFmtId="3" fontId="4" fillId="5" borderId="28" xfId="0" applyNumberFormat="1" applyFont="1" applyFill="1" applyBorder="1" applyAlignment="1" applyProtection="1">
      <alignment horizontal="center"/>
    </xf>
    <xf numFmtId="0" fontId="13" fillId="5" borderId="94" xfId="0" applyFont="1" applyFill="1" applyBorder="1" applyAlignment="1" applyProtection="1">
      <alignment horizontal="center" vertical="center"/>
    </xf>
    <xf numFmtId="0" fontId="0" fillId="0" borderId="14" xfId="0" applyFill="1" applyBorder="1"/>
    <xf numFmtId="14" fontId="0" fillId="0" borderId="14" xfId="0" applyNumberFormat="1" applyFill="1" applyBorder="1"/>
    <xf numFmtId="0" fontId="28" fillId="6" borderId="8" xfId="0" applyFont="1" applyFill="1" applyBorder="1" applyAlignment="1" applyProtection="1">
      <alignment horizontal="left"/>
    </xf>
    <xf numFmtId="0" fontId="21" fillId="7" borderId="9" xfId="0" applyFont="1" applyFill="1" applyBorder="1" applyAlignment="1">
      <alignment horizontal="center"/>
    </xf>
    <xf numFmtId="0" fontId="0" fillId="5" borderId="23" xfId="0" applyFill="1" applyBorder="1" applyAlignment="1" applyProtection="1">
      <alignment horizontal="center"/>
    </xf>
    <xf numFmtId="0" fontId="0" fillId="5" borderId="22" xfId="0" applyFill="1" applyBorder="1" applyAlignment="1" applyProtection="1">
      <alignment horizontal="center"/>
    </xf>
    <xf numFmtId="0" fontId="0" fillId="5" borderId="26" xfId="0" applyFill="1" applyBorder="1" applyAlignment="1" applyProtection="1">
      <alignment horizontal="center"/>
    </xf>
    <xf numFmtId="0" fontId="6" fillId="16" borderId="23" xfId="0" applyFont="1" applyFill="1" applyBorder="1" applyAlignment="1">
      <alignment horizontal="center"/>
    </xf>
    <xf numFmtId="0" fontId="6" fillId="16" borderId="22" xfId="0" applyFont="1" applyFill="1" applyBorder="1" applyAlignment="1">
      <alignment horizontal="center"/>
    </xf>
    <xf numFmtId="0" fontId="6" fillId="16" borderId="12" xfId="0" applyFont="1" applyFill="1" applyBorder="1"/>
    <xf numFmtId="0" fontId="6" fillId="16" borderId="7" xfId="0" applyFont="1" applyFill="1" applyBorder="1"/>
    <xf numFmtId="0" fontId="33" fillId="16" borderId="7" xfId="0" applyFont="1" applyFill="1" applyBorder="1" applyAlignment="1">
      <alignment horizontal="right"/>
    </xf>
    <xf numFmtId="0" fontId="33" fillId="16" borderId="8" xfId="0" applyFont="1" applyFill="1" applyBorder="1" applyAlignment="1">
      <alignment horizontal="center"/>
    </xf>
    <xf numFmtId="0" fontId="6" fillId="16" borderId="24" xfId="0" applyFont="1" applyFill="1" applyBorder="1"/>
    <xf numFmtId="0" fontId="6" fillId="16" borderId="22" xfId="0" applyFont="1" applyFill="1" applyBorder="1"/>
    <xf numFmtId="0" fontId="39" fillId="16" borderId="22" xfId="0" applyFont="1" applyFill="1" applyBorder="1" applyAlignment="1">
      <alignment horizontal="center"/>
    </xf>
    <xf numFmtId="0" fontId="4" fillId="5" borderId="24" xfId="0" applyFont="1" applyFill="1" applyBorder="1" applyAlignment="1">
      <alignment horizontal="center"/>
    </xf>
    <xf numFmtId="0" fontId="6" fillId="6" borderId="12" xfId="0" applyFont="1" applyFill="1" applyBorder="1" applyAlignment="1">
      <alignment horizontal="center"/>
    </xf>
    <xf numFmtId="0" fontId="48" fillId="10" borderId="21" xfId="0" applyFont="1" applyFill="1" applyBorder="1" applyAlignment="1">
      <alignment horizontal="center"/>
    </xf>
    <xf numFmtId="0" fontId="0" fillId="16" borderId="23" xfId="0" applyFill="1" applyBorder="1"/>
    <xf numFmtId="0" fontId="0" fillId="5" borderId="16" xfId="0" applyFill="1" applyBorder="1" applyAlignment="1">
      <alignment horizontal="center"/>
    </xf>
    <xf numFmtId="169" fontId="13" fillId="4" borderId="9" xfId="0" applyNumberFormat="1" applyFont="1" applyFill="1" applyBorder="1" applyAlignment="1" applyProtection="1">
      <alignment horizontal="right"/>
    </xf>
    <xf numFmtId="0" fontId="8" fillId="13" borderId="66" xfId="0" applyFont="1" applyFill="1" applyBorder="1" applyAlignment="1">
      <alignment horizontal="center" vertical="center"/>
    </xf>
    <xf numFmtId="0" fontId="8" fillId="13" borderId="42" xfId="0" applyFont="1" applyFill="1" applyBorder="1" applyAlignment="1" applyProtection="1">
      <alignment horizontal="center"/>
    </xf>
    <xf numFmtId="0" fontId="5" fillId="5" borderId="0" xfId="0" applyFont="1" applyFill="1" applyBorder="1" applyAlignment="1">
      <alignment horizontal="left" vertical="center"/>
    </xf>
    <xf numFmtId="0" fontId="0" fillId="6" borderId="8" xfId="0" applyFill="1" applyBorder="1" applyAlignment="1">
      <alignment horizontal="center"/>
    </xf>
    <xf numFmtId="0" fontId="0" fillId="6" borderId="9" xfId="0" applyFill="1" applyBorder="1" applyAlignment="1">
      <alignment horizontal="center"/>
    </xf>
    <xf numFmtId="0" fontId="5" fillId="5" borderId="0" xfId="0" applyFont="1" applyFill="1" applyAlignment="1">
      <alignment horizontal="center" vertical="center"/>
    </xf>
    <xf numFmtId="0" fontId="5" fillId="5" borderId="0" xfId="0" applyFont="1" applyFill="1" applyAlignment="1">
      <alignment vertical="center"/>
    </xf>
    <xf numFmtId="0" fontId="0" fillId="5" borderId="0" xfId="0" applyFill="1" applyAlignment="1">
      <alignment horizontal="center" vertical="center"/>
    </xf>
    <xf numFmtId="0" fontId="0" fillId="5" borderId="17" xfId="0" applyFill="1" applyBorder="1"/>
    <xf numFmtId="0" fontId="3" fillId="5" borderId="42" xfId="0" applyFont="1" applyFill="1" applyBorder="1"/>
    <xf numFmtId="0" fontId="13" fillId="5" borderId="66" xfId="0" applyFont="1" applyFill="1" applyBorder="1" applyAlignment="1" applyProtection="1">
      <alignment horizontal="center" vertical="center"/>
      <protection locked="0"/>
    </xf>
    <xf numFmtId="0" fontId="13" fillId="5" borderId="115"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13" fillId="5" borderId="95"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0" fontId="13" fillId="5" borderId="116" xfId="0" applyFont="1" applyFill="1" applyBorder="1" applyAlignment="1" applyProtection="1">
      <alignment horizontal="center" vertical="center"/>
      <protection locked="0"/>
    </xf>
    <xf numFmtId="0" fontId="49" fillId="5" borderId="0" xfId="0" applyFont="1" applyFill="1" applyBorder="1" applyAlignment="1" applyProtection="1">
      <alignment horizontal="right"/>
      <protection hidden="1"/>
    </xf>
    <xf numFmtId="0" fontId="6" fillId="6" borderId="18" xfId="0" applyFont="1" applyFill="1" applyBorder="1" applyAlignment="1">
      <alignment horizontal="center"/>
    </xf>
    <xf numFmtId="2" fontId="0" fillId="5" borderId="25" xfId="0" applyNumberFormat="1" applyFill="1" applyBorder="1" applyAlignment="1">
      <alignment horizontal="center"/>
    </xf>
    <xf numFmtId="0" fontId="55" fillId="5" borderId="0" xfId="0" applyFont="1" applyFill="1" applyBorder="1" applyAlignment="1" applyProtection="1">
      <alignment vertical="center"/>
      <protection hidden="1"/>
    </xf>
    <xf numFmtId="0" fontId="4" fillId="5" borderId="77" xfId="0" applyFont="1" applyFill="1" applyBorder="1" applyProtection="1">
      <protection hidden="1"/>
    </xf>
    <xf numFmtId="0" fontId="8" fillId="5" borderId="14" xfId="0" applyFont="1" applyFill="1" applyBorder="1" applyAlignment="1" applyProtection="1">
      <alignment horizontal="right"/>
      <protection hidden="1"/>
    </xf>
    <xf numFmtId="1" fontId="8" fillId="0" borderId="14" xfId="0" applyNumberFormat="1" applyFont="1" applyBorder="1" applyProtection="1">
      <protection locked="0"/>
    </xf>
    <xf numFmtId="0" fontId="20" fillId="5" borderId="14" xfId="0" applyFont="1" applyFill="1" applyBorder="1" applyProtection="1">
      <protection hidden="1"/>
    </xf>
    <xf numFmtId="0" fontId="13" fillId="5" borderId="100" xfId="0" applyFont="1" applyFill="1" applyBorder="1" applyProtection="1">
      <protection hidden="1"/>
    </xf>
    <xf numFmtId="0" fontId="8" fillId="0" borderId="100" xfId="0" applyFont="1" applyFill="1" applyBorder="1" applyProtection="1">
      <protection hidden="1"/>
    </xf>
    <xf numFmtId="0" fontId="16" fillId="5" borderId="50" xfId="0" applyFont="1" applyFill="1" applyBorder="1" applyAlignment="1" applyProtection="1">
      <alignment horizontal="center" vertical="center"/>
      <protection locked="0"/>
    </xf>
    <xf numFmtId="0" fontId="4" fillId="0" borderId="12" xfId="0" applyFont="1" applyFill="1" applyBorder="1" applyProtection="1"/>
    <xf numFmtId="1" fontId="9" fillId="10" borderId="9" xfId="0" applyNumberFormat="1" applyFont="1" applyFill="1" applyBorder="1" applyAlignment="1" applyProtection="1">
      <alignment horizontal="center"/>
      <protection hidden="1"/>
    </xf>
    <xf numFmtId="1" fontId="4" fillId="10" borderId="9" xfId="0" applyNumberFormat="1" applyFont="1" applyFill="1" applyBorder="1"/>
    <xf numFmtId="0" fontId="13" fillId="17" borderId="12" xfId="0" applyFont="1" applyFill="1" applyBorder="1" applyAlignment="1">
      <alignment vertical="top"/>
    </xf>
    <xf numFmtId="0" fontId="13" fillId="17" borderId="7" xfId="0" applyFont="1" applyFill="1" applyBorder="1" applyAlignment="1">
      <alignment vertical="top"/>
    </xf>
    <xf numFmtId="0" fontId="13" fillId="17" borderId="8" xfId="0" applyFont="1" applyFill="1" applyBorder="1" applyAlignment="1">
      <alignment vertical="top"/>
    </xf>
    <xf numFmtId="0" fontId="13" fillId="17" borderId="117" xfId="0" applyFont="1" applyFill="1" applyBorder="1" applyAlignment="1">
      <alignment horizontal="center" vertical="top"/>
    </xf>
    <xf numFmtId="0" fontId="13" fillId="17" borderId="17" xfId="0" applyFont="1" applyFill="1" applyBorder="1" applyAlignment="1">
      <alignment horizontal="center" vertical="top"/>
    </xf>
    <xf numFmtId="0" fontId="13" fillId="17" borderId="58" xfId="0" applyFont="1" applyFill="1" applyBorder="1" applyAlignment="1">
      <alignment horizontal="center" vertical="top"/>
    </xf>
    <xf numFmtId="0" fontId="13" fillId="0" borderId="117" xfId="0" applyFont="1" applyBorder="1" applyAlignment="1">
      <alignment vertical="top"/>
    </xf>
    <xf numFmtId="0" fontId="13" fillId="0" borderId="17" xfId="0" applyFont="1" applyBorder="1" applyAlignment="1">
      <alignment vertical="top"/>
    </xf>
    <xf numFmtId="0" fontId="13" fillId="0" borderId="58" xfId="0" applyFont="1" applyBorder="1" applyAlignment="1">
      <alignment vertical="top"/>
    </xf>
    <xf numFmtId="0" fontId="6" fillId="12" borderId="11" xfId="0" applyFont="1" applyFill="1" applyBorder="1" applyAlignment="1" applyProtection="1">
      <alignment horizontal="center"/>
      <protection locked="0"/>
    </xf>
    <xf numFmtId="0" fontId="3" fillId="12" borderId="7" xfId="0" applyFont="1" applyFill="1" applyBorder="1" applyAlignment="1" applyProtection="1">
      <alignment horizontal="center"/>
      <protection locked="0"/>
    </xf>
    <xf numFmtId="0" fontId="3" fillId="4" borderId="7" xfId="0" applyFont="1" applyFill="1" applyBorder="1" applyAlignment="1" applyProtection="1">
      <alignment horizontal="left"/>
    </xf>
    <xf numFmtId="0" fontId="3" fillId="12" borderId="8" xfId="0" applyFont="1" applyFill="1" applyBorder="1" applyAlignment="1" applyProtection="1">
      <alignment horizontal="center"/>
      <protection locked="0"/>
    </xf>
    <xf numFmtId="0" fontId="8" fillId="12" borderId="8" xfId="0" applyFont="1" applyFill="1" applyBorder="1" applyProtection="1">
      <protection locked="0"/>
    </xf>
    <xf numFmtId="0" fontId="8" fillId="12" borderId="25" xfId="0" applyFont="1" applyFill="1" applyBorder="1" applyProtection="1">
      <protection locked="0"/>
    </xf>
    <xf numFmtId="0" fontId="8" fillId="12" borderId="15" xfId="0" applyFont="1" applyFill="1" applyBorder="1" applyProtection="1">
      <protection locked="0"/>
    </xf>
    <xf numFmtId="0" fontId="3" fillId="12" borderId="11" xfId="5" applyNumberFormat="1" applyFont="1" applyFill="1" applyBorder="1" applyAlignment="1" applyProtection="1">
      <alignment horizontal="center"/>
      <protection locked="0"/>
    </xf>
    <xf numFmtId="0" fontId="3" fillId="12" borderId="9" xfId="5" applyNumberFormat="1" applyFont="1" applyFill="1" applyBorder="1" applyAlignment="1" applyProtection="1">
      <alignment horizontal="center"/>
      <protection locked="0"/>
    </xf>
    <xf numFmtId="0" fontId="3" fillId="12" borderId="9" xfId="5" applyNumberFormat="1" applyFont="1" applyFill="1" applyBorder="1" applyAlignment="1" applyProtection="1">
      <alignment horizontal="left"/>
      <protection locked="0"/>
    </xf>
    <xf numFmtId="0" fontId="3" fillId="12" borderId="15" xfId="5" applyNumberFormat="1" applyFont="1" applyFill="1" applyBorder="1" applyAlignment="1" applyProtection="1">
      <alignment horizontal="left"/>
      <protection locked="0"/>
    </xf>
    <xf numFmtId="0" fontId="0" fillId="12" borderId="25" xfId="0" applyFill="1" applyBorder="1" applyAlignment="1" applyProtection="1">
      <alignment horizontal="center"/>
      <protection locked="0"/>
    </xf>
    <xf numFmtId="0" fontId="0" fillId="12" borderId="15" xfId="0" applyFill="1" applyBorder="1" applyAlignment="1" applyProtection="1">
      <alignment horizontal="center"/>
      <protection locked="0"/>
    </xf>
    <xf numFmtId="0" fontId="6" fillId="6" borderId="16" xfId="0" applyFont="1" applyFill="1" applyBorder="1" applyProtection="1"/>
    <xf numFmtId="0" fontId="0" fillId="6" borderId="18" xfId="0" applyFill="1" applyBorder="1" applyProtection="1"/>
    <xf numFmtId="0" fontId="0" fillId="5" borderId="24" xfId="0" applyFill="1" applyBorder="1" applyAlignment="1" applyProtection="1">
      <alignment horizontal="left"/>
    </xf>
    <xf numFmtId="0" fontId="0" fillId="5" borderId="25" xfId="0" applyFill="1" applyBorder="1" applyAlignment="1" applyProtection="1">
      <alignment horizontal="center"/>
    </xf>
    <xf numFmtId="0" fontId="0" fillId="5" borderId="21" xfId="0" applyFill="1" applyBorder="1" applyAlignment="1" applyProtection="1">
      <alignment horizontal="left"/>
    </xf>
    <xf numFmtId="0" fontId="0" fillId="5" borderId="15" xfId="0" applyFill="1" applyBorder="1" applyAlignment="1" applyProtection="1">
      <alignment horizontal="center"/>
    </xf>
    <xf numFmtId="0" fontId="0" fillId="5" borderId="11" xfId="0" applyFill="1" applyBorder="1" applyProtection="1"/>
    <xf numFmtId="0" fontId="0" fillId="5" borderId="0" xfId="0" applyFill="1" applyProtection="1"/>
    <xf numFmtId="0" fontId="28" fillId="6" borderId="16" xfId="0" applyFont="1" applyFill="1" applyBorder="1" applyAlignment="1" applyProtection="1">
      <alignment horizontal="left"/>
    </xf>
    <xf numFmtId="169" fontId="0" fillId="5" borderId="25" xfId="0" applyNumberFormat="1" applyFill="1" applyBorder="1" applyAlignment="1" applyProtection="1">
      <alignment horizontal="center"/>
    </xf>
    <xf numFmtId="169" fontId="0" fillId="5" borderId="15" xfId="0" applyNumberFormat="1" applyFill="1" applyBorder="1" applyAlignment="1" applyProtection="1">
      <alignment horizontal="center"/>
    </xf>
    <xf numFmtId="0" fontId="0" fillId="5" borderId="16" xfId="0" applyFill="1" applyBorder="1" applyProtection="1"/>
    <xf numFmtId="169" fontId="0" fillId="5" borderId="18" xfId="0" applyNumberFormat="1" applyFill="1" applyBorder="1" applyAlignment="1" applyProtection="1">
      <alignment horizontal="center"/>
    </xf>
    <xf numFmtId="0" fontId="2" fillId="10" borderId="27" xfId="5" applyNumberFormat="1" applyFont="1" applyFill="1" applyBorder="1" applyAlignment="1" applyProtection="1">
      <alignment horizontal="left"/>
      <protection locked="0"/>
    </xf>
    <xf numFmtId="1" fontId="8" fillId="5" borderId="26" xfId="0" applyNumberFormat="1" applyFont="1" applyFill="1" applyBorder="1" applyAlignment="1">
      <alignment horizontal="center"/>
    </xf>
    <xf numFmtId="169" fontId="8" fillId="5" borderId="26" xfId="0" applyNumberFormat="1" applyFont="1" applyFill="1" applyBorder="1" applyAlignment="1">
      <alignment horizontal="center"/>
    </xf>
    <xf numFmtId="1" fontId="8" fillId="5" borderId="26" xfId="0" applyNumberFormat="1" applyFont="1" applyFill="1" applyBorder="1" applyAlignment="1">
      <alignment horizontal="left"/>
    </xf>
    <xf numFmtId="1" fontId="8" fillId="5" borderId="0" xfId="0" applyNumberFormat="1" applyFont="1" applyFill="1" applyBorder="1" applyAlignment="1">
      <alignment horizontal="left"/>
    </xf>
    <xf numFmtId="1" fontId="8" fillId="5" borderId="0" xfId="0" applyNumberFormat="1" applyFont="1" applyFill="1" applyBorder="1" applyAlignment="1">
      <alignment horizontal="center"/>
    </xf>
    <xf numFmtId="169" fontId="8" fillId="5" borderId="0" xfId="0" applyNumberFormat="1" applyFont="1" applyFill="1" applyBorder="1" applyAlignment="1">
      <alignment horizontal="center"/>
    </xf>
    <xf numFmtId="1" fontId="24" fillId="14" borderId="16" xfId="0" applyNumberFormat="1" applyFont="1" applyFill="1" applyBorder="1" applyAlignment="1">
      <alignment horizontal="left"/>
    </xf>
    <xf numFmtId="1" fontId="24" fillId="14" borderId="11" xfId="0" applyNumberFormat="1" applyFont="1" applyFill="1" applyBorder="1" applyAlignment="1">
      <alignment horizontal="center"/>
    </xf>
    <xf numFmtId="1" fontId="8" fillId="5" borderId="23" xfId="0" applyNumberFormat="1" applyFont="1" applyFill="1" applyBorder="1" applyAlignment="1">
      <alignment horizontal="center"/>
    </xf>
    <xf numFmtId="0" fontId="3" fillId="5" borderId="21" xfId="0" applyFont="1" applyFill="1" applyBorder="1" applyAlignment="1" applyProtection="1">
      <alignment horizontal="left"/>
    </xf>
    <xf numFmtId="0" fontId="0" fillId="14" borderId="16" xfId="0" applyFill="1" applyBorder="1"/>
    <xf numFmtId="0" fontId="0" fillId="14" borderId="9" xfId="0" applyFill="1" applyBorder="1"/>
    <xf numFmtId="0" fontId="8" fillId="5" borderId="22" xfId="0" applyFont="1" applyFill="1" applyBorder="1" applyAlignment="1">
      <alignment horizontal="left"/>
    </xf>
    <xf numFmtId="1" fontId="0" fillId="5" borderId="21" xfId="0" applyNumberFormat="1" applyFill="1" applyBorder="1" applyAlignment="1">
      <alignment horizontal="center"/>
    </xf>
    <xf numFmtId="1" fontId="8" fillId="5" borderId="23" xfId="0" applyNumberFormat="1" applyFont="1" applyFill="1" applyBorder="1" applyAlignment="1">
      <alignment horizontal="left"/>
    </xf>
    <xf numFmtId="0" fontId="8" fillId="5" borderId="26" xfId="0" applyFont="1" applyFill="1" applyBorder="1" applyAlignment="1">
      <alignment horizontal="left"/>
    </xf>
    <xf numFmtId="169" fontId="21" fillId="6" borderId="18" xfId="0" applyNumberFormat="1" applyFont="1" applyFill="1" applyBorder="1" applyAlignment="1">
      <alignment horizontal="center"/>
    </xf>
    <xf numFmtId="0" fontId="8" fillId="5" borderId="14" xfId="0" applyFont="1" applyFill="1" applyBorder="1" applyAlignment="1">
      <alignment horizontal="center"/>
    </xf>
    <xf numFmtId="0" fontId="26" fillId="5" borderId="25" xfId="0" applyFont="1" applyFill="1" applyBorder="1" applyAlignment="1" applyProtection="1">
      <alignment horizontal="center"/>
    </xf>
    <xf numFmtId="0" fontId="13" fillId="5" borderId="118" xfId="0" applyFont="1" applyFill="1" applyBorder="1" applyAlignment="1">
      <alignment vertical="top"/>
    </xf>
    <xf numFmtId="0" fontId="13" fillId="5" borderId="32" xfId="0" applyFont="1" applyFill="1" applyBorder="1" applyAlignment="1">
      <alignment vertical="top"/>
    </xf>
    <xf numFmtId="0" fontId="13" fillId="5" borderId="119" xfId="0" applyFont="1" applyFill="1" applyBorder="1" applyAlignment="1">
      <alignment vertical="top"/>
    </xf>
    <xf numFmtId="0" fontId="13" fillId="5" borderId="12" xfId="0" applyFont="1" applyFill="1" applyBorder="1" applyAlignment="1">
      <alignment horizontal="center" vertical="top"/>
    </xf>
    <xf numFmtId="0" fontId="13" fillId="5" borderId="7" xfId="0" applyFont="1" applyFill="1" applyBorder="1" applyAlignment="1">
      <alignment horizontal="center" vertical="top"/>
    </xf>
    <xf numFmtId="0" fontId="13" fillId="5" borderId="8" xfId="0" applyFont="1" applyFill="1" applyBorder="1" applyAlignment="1">
      <alignment horizontal="center" vertical="top"/>
    </xf>
    <xf numFmtId="0" fontId="13" fillId="5" borderId="24" xfId="0" applyFont="1" applyFill="1" applyBorder="1" applyAlignment="1">
      <alignment vertical="top"/>
    </xf>
    <xf numFmtId="0" fontId="13" fillId="5" borderId="114" xfId="0" applyFont="1" applyFill="1" applyBorder="1" applyAlignment="1">
      <alignment vertical="top"/>
    </xf>
    <xf numFmtId="0" fontId="13" fillId="5" borderId="40" xfId="0" applyFont="1" applyFill="1" applyBorder="1" applyAlignment="1">
      <alignment vertical="top"/>
    </xf>
    <xf numFmtId="0" fontId="13" fillId="5" borderId="112" xfId="0" applyFont="1" applyFill="1" applyBorder="1" applyAlignment="1">
      <alignment vertical="top"/>
    </xf>
    <xf numFmtId="0" fontId="13" fillId="5" borderId="106" xfId="0" applyFont="1" applyFill="1" applyBorder="1" applyAlignment="1">
      <alignment vertical="top"/>
    </xf>
    <xf numFmtId="0" fontId="13" fillId="5" borderId="54" xfId="0" applyFont="1" applyFill="1" applyBorder="1" applyAlignment="1">
      <alignment vertical="top"/>
    </xf>
    <xf numFmtId="0" fontId="2" fillId="5" borderId="18" xfId="0" applyFont="1" applyFill="1" applyBorder="1" applyAlignment="1">
      <alignment horizontal="center" vertical="top"/>
    </xf>
    <xf numFmtId="0" fontId="0" fillId="12" borderId="9" xfId="0" applyFill="1" applyBorder="1" applyProtection="1">
      <protection locked="0"/>
    </xf>
    <xf numFmtId="0" fontId="4" fillId="5" borderId="24" xfId="0" applyFont="1" applyFill="1" applyBorder="1" applyAlignment="1">
      <alignment horizontal="left" vertical="center"/>
    </xf>
    <xf numFmtId="0" fontId="4" fillId="5" borderId="0"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25" fillId="5" borderId="105" xfId="0" applyFont="1" applyFill="1" applyBorder="1" applyAlignment="1">
      <alignment vertical="center"/>
    </xf>
    <xf numFmtId="0" fontId="5" fillId="5" borderId="117" xfId="0" applyFont="1" applyFill="1" applyBorder="1" applyAlignment="1">
      <alignment horizontal="center" vertical="center" wrapText="1"/>
    </xf>
    <xf numFmtId="0" fontId="8" fillId="0" borderId="0" xfId="5" applyNumberFormat="1" applyFont="1" applyAlignment="1">
      <alignment horizontal="center"/>
    </xf>
    <xf numFmtId="0" fontId="4" fillId="10" borderId="81" xfId="5" applyNumberFormat="1" applyFont="1" applyFill="1" applyBorder="1" applyAlignment="1" applyProtection="1">
      <alignment horizontal="right"/>
    </xf>
    <xf numFmtId="0" fontId="4" fillId="10" borderId="88" xfId="5" applyNumberFormat="1" applyFont="1" applyFill="1" applyBorder="1" applyAlignment="1" applyProtection="1">
      <alignment horizontal="right"/>
    </xf>
    <xf numFmtId="0" fontId="4" fillId="10" borderId="41" xfId="5" applyNumberFormat="1" applyFont="1" applyFill="1" applyBorder="1" applyAlignment="1" applyProtection="1">
      <alignment horizontal="right"/>
    </xf>
    <xf numFmtId="0" fontId="4" fillId="10" borderId="61" xfId="5" applyNumberFormat="1" applyFont="1" applyFill="1" applyBorder="1" applyAlignment="1" applyProtection="1">
      <alignment horizontal="right"/>
    </xf>
    <xf numFmtId="0" fontId="4" fillId="5" borderId="24" xfId="0" applyFont="1" applyFill="1" applyBorder="1" applyAlignment="1"/>
    <xf numFmtId="0" fontId="4" fillId="5" borderId="24" xfId="0" applyFont="1" applyFill="1" applyBorder="1" applyAlignment="1" applyProtection="1"/>
    <xf numFmtId="0" fontId="54" fillId="5" borderId="0" xfId="0" applyFont="1" applyFill="1" applyAlignment="1">
      <alignment horizontal="right" vertical="center"/>
    </xf>
    <xf numFmtId="0" fontId="3" fillId="0" borderId="37" xfId="5" applyNumberFormat="1" applyFont="1" applyBorder="1" applyAlignment="1">
      <alignment horizontal="center"/>
    </xf>
    <xf numFmtId="0" fontId="4" fillId="10" borderId="27" xfId="5" applyNumberFormat="1" applyFont="1" applyFill="1" applyBorder="1" applyAlignment="1" applyProtection="1">
      <alignment horizontal="left"/>
    </xf>
    <xf numFmtId="167" fontId="4" fillId="4" borderId="13" xfId="0" applyNumberFormat="1" applyFont="1" applyFill="1" applyBorder="1" applyAlignment="1" applyProtection="1">
      <alignment horizontal="center" vertical="center"/>
      <protection locked="0"/>
    </xf>
    <xf numFmtId="167" fontId="4" fillId="5" borderId="13" xfId="0" applyNumberFormat="1" applyFont="1" applyFill="1" applyBorder="1" applyAlignment="1" applyProtection="1">
      <alignment horizontal="center" vertical="center"/>
      <protection locked="0"/>
    </xf>
    <xf numFmtId="167" fontId="4" fillId="5" borderId="50"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13" fillId="5" borderId="20" xfId="0" quotePrefix="1" applyFont="1" applyFill="1" applyBorder="1" applyAlignment="1">
      <alignment horizontal="center" vertical="center"/>
    </xf>
    <xf numFmtId="0" fontId="13" fillId="5" borderId="19" xfId="0" quotePrefix="1" applyFont="1" applyFill="1" applyBorder="1" applyAlignment="1">
      <alignment horizontal="center" vertical="center"/>
    </xf>
    <xf numFmtId="0" fontId="0" fillId="5" borderId="92" xfId="0" applyFill="1" applyBorder="1"/>
    <xf numFmtId="0" fontId="0" fillId="5" borderId="94" xfId="0" applyFill="1" applyBorder="1"/>
    <xf numFmtId="9" fontId="4" fillId="10" borderId="26" xfId="0" applyNumberFormat="1" applyFont="1" applyFill="1" applyBorder="1"/>
    <xf numFmtId="9" fontId="4" fillId="10" borderId="22" xfId="0" applyNumberFormat="1" applyFont="1" applyFill="1" applyBorder="1"/>
    <xf numFmtId="0" fontId="0" fillId="5" borderId="9" xfId="0" applyFill="1" applyBorder="1" applyAlignment="1">
      <alignment horizontal="left"/>
    </xf>
    <xf numFmtId="0" fontId="0" fillId="5" borderId="23" xfId="0" applyFill="1" applyBorder="1" applyAlignment="1" applyProtection="1">
      <alignment horizontal="center"/>
      <protection locked="0"/>
    </xf>
    <xf numFmtId="169" fontId="9" fillId="5" borderId="25" xfId="0" applyNumberFormat="1" applyFont="1" applyFill="1" applyBorder="1" applyAlignment="1" applyProtection="1">
      <alignment horizontal="center" vertical="center"/>
    </xf>
    <xf numFmtId="169" fontId="9" fillId="5" borderId="42" xfId="0" applyNumberFormat="1" applyFont="1" applyFill="1" applyBorder="1" applyAlignment="1" applyProtection="1">
      <alignment horizontal="center"/>
    </xf>
    <xf numFmtId="1" fontId="18" fillId="5" borderId="26" xfId="0" applyNumberFormat="1" applyFont="1" applyFill="1" applyBorder="1" applyAlignment="1">
      <alignment horizontal="center"/>
    </xf>
    <xf numFmtId="0" fontId="0" fillId="5" borderId="26" xfId="0" applyFill="1" applyBorder="1" applyAlignment="1" applyProtection="1">
      <alignment horizontal="center"/>
      <protection locked="0"/>
    </xf>
    <xf numFmtId="171" fontId="0" fillId="5" borderId="23" xfId="0" applyNumberFormat="1" applyFill="1" applyBorder="1" applyAlignment="1">
      <alignment horizontal="center"/>
    </xf>
    <xf numFmtId="171" fontId="0" fillId="5" borderId="22" xfId="0" applyNumberFormat="1" applyFill="1" applyBorder="1" applyAlignment="1">
      <alignment horizontal="center"/>
    </xf>
    <xf numFmtId="171" fontId="0" fillId="5" borderId="26" xfId="0" applyNumberFormat="1" applyFill="1" applyBorder="1" applyAlignment="1">
      <alignment horizontal="center"/>
    </xf>
    <xf numFmtId="0" fontId="21" fillId="7" borderId="12" xfId="0" applyFont="1" applyFill="1" applyBorder="1" applyAlignment="1">
      <alignment horizontal="center"/>
    </xf>
    <xf numFmtId="0" fontId="21" fillId="7" borderId="120" xfId="0" applyFont="1" applyFill="1" applyBorder="1" applyAlignment="1">
      <alignment horizontal="center"/>
    </xf>
    <xf numFmtId="0" fontId="21" fillId="7" borderId="23" xfId="0" applyFont="1" applyFill="1" applyBorder="1" applyAlignment="1">
      <alignment horizontal="center"/>
    </xf>
    <xf numFmtId="171" fontId="0" fillId="5" borderId="12" xfId="0" applyNumberFormat="1" applyFill="1" applyBorder="1" applyAlignment="1">
      <alignment horizontal="center"/>
    </xf>
    <xf numFmtId="0" fontId="0" fillId="5" borderId="86" xfId="0" applyFill="1" applyBorder="1" applyAlignment="1" applyProtection="1">
      <alignment horizontal="center"/>
      <protection locked="0"/>
    </xf>
    <xf numFmtId="171" fontId="0" fillId="5" borderId="24" xfId="0" applyNumberFormat="1" applyFill="1" applyBorder="1" applyAlignment="1">
      <alignment horizontal="center"/>
    </xf>
    <xf numFmtId="171" fontId="0" fillId="5" borderId="21" xfId="0" applyNumberFormat="1" applyFill="1" applyBorder="1" applyAlignment="1">
      <alignment horizontal="center"/>
    </xf>
    <xf numFmtId="0" fontId="0" fillId="5" borderId="121" xfId="0" applyFill="1" applyBorder="1" applyAlignment="1" applyProtection="1">
      <alignment horizontal="center"/>
      <protection locked="0"/>
    </xf>
    <xf numFmtId="0" fontId="83" fillId="5" borderId="0" xfId="0" applyFont="1" applyFill="1" applyAlignment="1">
      <alignment horizontal="right"/>
    </xf>
    <xf numFmtId="171" fontId="3" fillId="10" borderId="9" xfId="0" applyNumberFormat="1" applyFont="1" applyFill="1" applyBorder="1" applyAlignment="1">
      <alignment horizontal="center"/>
    </xf>
    <xf numFmtId="171" fontId="0" fillId="10" borderId="9" xfId="0" applyNumberFormat="1" applyFill="1" applyBorder="1" applyAlignment="1">
      <alignment horizontal="center"/>
    </xf>
    <xf numFmtId="0" fontId="18" fillId="10" borderId="9" xfId="0" applyFont="1" applyFill="1" applyBorder="1"/>
    <xf numFmtId="0" fontId="21" fillId="7" borderId="12" xfId="0" applyFont="1" applyFill="1" applyBorder="1" applyAlignment="1">
      <alignment horizontal="left"/>
    </xf>
    <xf numFmtId="0" fontId="21" fillId="7" borderId="8" xfId="0" applyFont="1" applyFill="1" applyBorder="1" applyAlignment="1">
      <alignment horizontal="center"/>
    </xf>
    <xf numFmtId="169" fontId="0" fillId="5" borderId="12" xfId="0" applyNumberFormat="1" applyFill="1" applyBorder="1" applyAlignment="1">
      <alignment horizontal="left"/>
    </xf>
    <xf numFmtId="169" fontId="0" fillId="5" borderId="24" xfId="0" applyNumberFormat="1" applyFill="1" applyBorder="1" applyAlignment="1">
      <alignment horizontal="left"/>
    </xf>
    <xf numFmtId="169" fontId="0" fillId="5" borderId="21" xfId="0" applyNumberFormat="1" applyFill="1" applyBorder="1" applyAlignment="1">
      <alignment horizontal="left"/>
    </xf>
    <xf numFmtId="169" fontId="0" fillId="10" borderId="16" xfId="0" applyNumberFormat="1" applyFill="1" applyBorder="1" applyAlignment="1">
      <alignment horizontal="left"/>
    </xf>
    <xf numFmtId="169" fontId="0" fillId="10" borderId="9" xfId="0" applyNumberFormat="1" applyFill="1" applyBorder="1" applyAlignment="1">
      <alignment horizontal="center"/>
    </xf>
    <xf numFmtId="169" fontId="0" fillId="5" borderId="23" xfId="0" applyNumberFormat="1" applyFill="1" applyBorder="1" applyAlignment="1">
      <alignment horizontal="center"/>
    </xf>
    <xf numFmtId="169" fontId="0" fillId="5" borderId="18" xfId="0" applyNumberFormat="1" applyFill="1" applyBorder="1" applyAlignment="1">
      <alignment horizontal="center"/>
    </xf>
    <xf numFmtId="0" fontId="0" fillId="10" borderId="122" xfId="0" applyFill="1" applyBorder="1"/>
    <xf numFmtId="0" fontId="2" fillId="0" borderId="55" xfId="0" applyFont="1" applyBorder="1"/>
    <xf numFmtId="0" fontId="2" fillId="5" borderId="0" xfId="0" applyFont="1" applyFill="1"/>
    <xf numFmtId="0" fontId="52" fillId="0" borderId="0" xfId="5" applyNumberFormat="1" applyFont="1" applyBorder="1" applyAlignment="1">
      <alignment horizontal="left"/>
    </xf>
    <xf numFmtId="0" fontId="26" fillId="5" borderId="0" xfId="0" applyFont="1" applyFill="1" applyProtection="1">
      <protection locked="0"/>
    </xf>
    <xf numFmtId="0" fontId="13" fillId="5" borderId="23" xfId="0" applyFont="1" applyFill="1" applyBorder="1" applyAlignment="1">
      <alignment horizontal="left" vertical="top"/>
    </xf>
    <xf numFmtId="0" fontId="0" fillId="0" borderId="14" xfId="0" applyFill="1" applyBorder="1" applyAlignment="1">
      <alignment horizontal="center"/>
    </xf>
    <xf numFmtId="0" fontId="18" fillId="0" borderId="0" xfId="0" applyFont="1" applyAlignment="1">
      <alignment horizontal="left"/>
    </xf>
    <xf numFmtId="175" fontId="2" fillId="5" borderId="0" xfId="5" applyNumberFormat="1" applyFont="1" applyFill="1" applyBorder="1" applyAlignment="1">
      <alignment horizontal="center"/>
    </xf>
    <xf numFmtId="0" fontId="2" fillId="5" borderId="25" xfId="5" applyNumberFormat="1" applyFont="1" applyFill="1" applyBorder="1"/>
    <xf numFmtId="175" fontId="2" fillId="5" borderId="15" xfId="5" applyNumberFormat="1" applyFont="1" applyFill="1" applyBorder="1" applyAlignment="1">
      <alignment horizontal="center"/>
    </xf>
    <xf numFmtId="0" fontId="2" fillId="5" borderId="15" xfId="5" applyNumberFormat="1" applyFont="1" applyFill="1" applyBorder="1"/>
    <xf numFmtId="174" fontId="2" fillId="5" borderId="7" xfId="5" applyNumberFormat="1" applyFont="1" applyFill="1" applyBorder="1"/>
    <xf numFmtId="174" fontId="2" fillId="5" borderId="8" xfId="5" applyNumberFormat="1" applyFont="1" applyFill="1" applyBorder="1"/>
    <xf numFmtId="175" fontId="2" fillId="5" borderId="25" xfId="5" applyNumberFormat="1" applyFont="1" applyFill="1" applyBorder="1" applyAlignment="1">
      <alignment horizontal="center"/>
    </xf>
    <xf numFmtId="175" fontId="2" fillId="5" borderId="14" xfId="5" applyNumberFormat="1" applyFont="1" applyFill="1" applyBorder="1" applyAlignment="1">
      <alignment horizontal="center"/>
    </xf>
    <xf numFmtId="0" fontId="4" fillId="5" borderId="99" xfId="0" applyFont="1" applyFill="1" applyBorder="1" applyAlignment="1">
      <alignment horizontal="left" vertical="center" wrapText="1"/>
    </xf>
    <xf numFmtId="0" fontId="4" fillId="5" borderId="0" xfId="0" applyFont="1" applyFill="1" applyAlignment="1">
      <alignment vertical="center"/>
    </xf>
    <xf numFmtId="0" fontId="8" fillId="5" borderId="123" xfId="0" applyFont="1" applyFill="1" applyBorder="1" applyAlignment="1">
      <alignment horizontal="left" vertical="top" wrapText="1"/>
    </xf>
    <xf numFmtId="0" fontId="8" fillId="5" borderId="24" xfId="0" applyFont="1" applyFill="1" applyBorder="1" applyAlignment="1">
      <alignment vertical="top"/>
    </xf>
    <xf numFmtId="0" fontId="8" fillId="5" borderId="0" xfId="0" applyFont="1" applyFill="1" applyBorder="1" applyAlignment="1">
      <alignment vertical="top"/>
    </xf>
    <xf numFmtId="0" fontId="8" fillId="5" borderId="25" xfId="0" applyFont="1" applyFill="1" applyBorder="1" applyAlignment="1">
      <alignment vertical="top"/>
    </xf>
    <xf numFmtId="0" fontId="8" fillId="5" borderId="118" xfId="0" applyFont="1" applyFill="1" applyBorder="1" applyAlignment="1">
      <alignment vertical="top"/>
    </xf>
    <xf numFmtId="0" fontId="8" fillId="5" borderId="32" xfId="0" applyFont="1" applyFill="1" applyBorder="1" applyAlignment="1">
      <alignment vertical="top"/>
    </xf>
    <xf numFmtId="0" fontId="8" fillId="5" borderId="119" xfId="0" applyFont="1" applyFill="1" applyBorder="1" applyAlignment="1">
      <alignment vertical="top"/>
    </xf>
    <xf numFmtId="0" fontId="8" fillId="5" borderId="109" xfId="0" applyFont="1" applyFill="1" applyBorder="1" applyAlignment="1">
      <alignment horizontal="left" vertical="top" wrapText="1"/>
    </xf>
    <xf numFmtId="0" fontId="8" fillId="5" borderId="23" xfId="0" applyFont="1" applyFill="1" applyBorder="1" applyAlignment="1">
      <alignment horizontal="left" vertical="top"/>
    </xf>
    <xf numFmtId="0" fontId="8" fillId="5" borderId="22" xfId="0" applyFont="1" applyFill="1" applyBorder="1" applyAlignment="1">
      <alignment vertical="top"/>
    </xf>
    <xf numFmtId="0" fontId="8" fillId="5" borderId="26" xfId="0" applyFont="1" applyFill="1" applyBorder="1" applyAlignment="1">
      <alignment vertical="top"/>
    </xf>
    <xf numFmtId="0" fontId="8" fillId="5" borderId="16" xfId="0" applyFont="1" applyFill="1" applyBorder="1" applyAlignment="1">
      <alignment vertical="top"/>
    </xf>
    <xf numFmtId="0" fontId="8" fillId="5" borderId="11" xfId="0" applyFont="1" applyFill="1" applyBorder="1" applyAlignment="1">
      <alignment vertical="top"/>
    </xf>
    <xf numFmtId="0" fontId="8" fillId="5" borderId="18" xfId="0" applyFont="1" applyFill="1" applyBorder="1" applyAlignment="1">
      <alignment vertical="top"/>
    </xf>
    <xf numFmtId="0" fontId="6" fillId="7" borderId="18" xfId="0" applyFont="1" applyFill="1" applyBorder="1"/>
    <xf numFmtId="0" fontId="0" fillId="0" borderId="0" xfId="0" applyFont="1" applyFill="1"/>
    <xf numFmtId="0" fontId="2" fillId="0" borderId="0" xfId="0" applyFont="1" applyFill="1"/>
    <xf numFmtId="0" fontId="2" fillId="5" borderId="26" xfId="0" applyFont="1" applyFill="1" applyBorder="1"/>
    <xf numFmtId="0" fontId="2" fillId="5" borderId="12" xfId="0" applyFont="1" applyFill="1" applyBorder="1"/>
    <xf numFmtId="0" fontId="93" fillId="5" borderId="77" xfId="0" applyFont="1" applyFill="1" applyBorder="1" applyProtection="1">
      <protection hidden="1"/>
    </xf>
    <xf numFmtId="0" fontId="9" fillId="5" borderId="0" xfId="0" applyFont="1" applyFill="1" applyAlignment="1">
      <alignment vertical="top"/>
    </xf>
    <xf numFmtId="0" fontId="93" fillId="5" borderId="14" xfId="0" applyFont="1" applyFill="1" applyBorder="1" applyAlignment="1" applyProtection="1">
      <alignment horizontal="left"/>
      <protection hidden="1"/>
    </xf>
    <xf numFmtId="0" fontId="2" fillId="0" borderId="65" xfId="5" applyNumberFormat="1" applyFont="1" applyBorder="1" applyAlignment="1">
      <alignment horizontal="center"/>
    </xf>
    <xf numFmtId="14" fontId="2" fillId="0" borderId="0" xfId="0" applyNumberFormat="1" applyFont="1" applyFill="1"/>
    <xf numFmtId="0" fontId="9" fillId="0" borderId="0" xfId="5" applyNumberFormat="1" applyFont="1" applyAlignment="1">
      <alignment horizontal="right"/>
    </xf>
    <xf numFmtId="0" fontId="65" fillId="0" borderId="0" xfId="5" applyNumberFormat="1" applyFont="1"/>
    <xf numFmtId="0" fontId="2" fillId="0" borderId="0" xfId="5" applyNumberFormat="1" applyFont="1" applyAlignment="1">
      <alignment horizontal="left" wrapText="1"/>
    </xf>
    <xf numFmtId="0" fontId="0" fillId="0" borderId="0" xfId="0" applyAlignment="1">
      <alignment wrapText="1"/>
    </xf>
    <xf numFmtId="0" fontId="2" fillId="10" borderId="81" xfId="5" applyNumberFormat="1" applyFont="1" applyFill="1" applyBorder="1" applyAlignment="1" applyProtection="1">
      <alignment horizontal="left"/>
      <protection locked="0"/>
    </xf>
    <xf numFmtId="0" fontId="103" fillId="0" borderId="0" xfId="5" quotePrefix="1" applyNumberFormat="1" applyFont="1" applyAlignment="1">
      <alignment horizontal="right" wrapText="1"/>
    </xf>
    <xf numFmtId="0" fontId="103" fillId="0" borderId="0" xfId="5" applyNumberFormat="1" applyFont="1" applyAlignment="1">
      <alignment horizontal="right" wrapText="1"/>
    </xf>
    <xf numFmtId="0" fontId="2" fillId="10" borderId="27" xfId="5" applyNumberFormat="1" applyFont="1" applyFill="1" applyBorder="1" applyAlignment="1" applyProtection="1">
      <alignment horizontal="left"/>
      <protection locked="0"/>
    </xf>
    <xf numFmtId="0" fontId="2" fillId="5" borderId="81" xfId="5" applyNumberFormat="1" applyFont="1" applyFill="1" applyBorder="1" applyAlignment="1" applyProtection="1">
      <alignment horizontal="left"/>
      <protection locked="0"/>
    </xf>
    <xf numFmtId="0" fontId="2" fillId="0" borderId="0" xfId="5" applyNumberFormat="1" applyFont="1" applyBorder="1" applyAlignment="1">
      <alignment horizontal="right"/>
    </xf>
    <xf numFmtId="0" fontId="2" fillId="0" borderId="31" xfId="5" applyNumberFormat="1" applyFont="1" applyBorder="1" applyAlignment="1">
      <alignment horizontal="right"/>
    </xf>
    <xf numFmtId="0" fontId="1" fillId="0" borderId="0" xfId="5" applyNumberFormat="1" applyFont="1" applyAlignment="1">
      <alignment horizontal="left"/>
    </xf>
    <xf numFmtId="0" fontId="8" fillId="5" borderId="37" xfId="0" applyFont="1" applyFill="1" applyBorder="1" applyAlignment="1" applyProtection="1">
      <alignment horizontal="center"/>
      <protection locked="0"/>
    </xf>
    <xf numFmtId="0" fontId="0" fillId="0" borderId="28" xfId="0" applyBorder="1" applyAlignment="1" applyProtection="1">
      <alignment horizontal="center"/>
      <protection locked="0"/>
    </xf>
    <xf numFmtId="0" fontId="16" fillId="5" borderId="37" xfId="0" applyFont="1" applyFill="1" applyBorder="1" applyAlignment="1" applyProtection="1">
      <alignment horizontal="left" vertical="center"/>
    </xf>
    <xf numFmtId="0" fontId="16" fillId="5" borderId="27" xfId="0" applyFont="1" applyFill="1" applyBorder="1" applyAlignment="1" applyProtection="1">
      <alignment horizontal="left" vertical="center"/>
    </xf>
    <xf numFmtId="0" fontId="16" fillId="5" borderId="46" xfId="0" applyFont="1" applyFill="1" applyBorder="1" applyAlignment="1" applyProtection="1">
      <alignment horizontal="left" vertical="center"/>
    </xf>
    <xf numFmtId="0" fontId="8" fillId="5" borderId="21"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0" fontId="8" fillId="5" borderId="50" xfId="0" applyFont="1" applyFill="1" applyBorder="1" applyAlignment="1" applyProtection="1">
      <alignment horizontal="center"/>
      <protection locked="0"/>
    </xf>
    <xf numFmtId="0" fontId="0" fillId="0" borderId="51" xfId="0" applyBorder="1" applyAlignment="1" applyProtection="1">
      <alignment horizontal="center"/>
      <protection locked="0"/>
    </xf>
    <xf numFmtId="0" fontId="16" fillId="5" borderId="50" xfId="0" applyFont="1" applyFill="1" applyBorder="1" applyAlignment="1" applyProtection="1">
      <alignment horizontal="left" vertical="center"/>
    </xf>
    <xf numFmtId="0" fontId="16" fillId="5" borderId="47" xfId="0" applyFont="1" applyFill="1" applyBorder="1" applyAlignment="1" applyProtection="1">
      <alignment horizontal="left" vertical="center"/>
    </xf>
    <xf numFmtId="0" fontId="16" fillId="5" borderId="48" xfId="0" applyFont="1" applyFill="1" applyBorder="1" applyAlignment="1" applyProtection="1">
      <alignment horizontal="left" vertical="center"/>
    </xf>
    <xf numFmtId="0" fontId="8" fillId="10" borderId="37" xfId="0"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8" fillId="5" borderId="35" xfId="0" applyFont="1" applyFill="1" applyBorder="1" applyAlignment="1" applyProtection="1">
      <alignment horizontal="center" vertical="center"/>
      <protection locked="0"/>
    </xf>
    <xf numFmtId="0" fontId="0" fillId="0" borderId="36" xfId="0" applyBorder="1" applyAlignment="1" applyProtection="1">
      <alignment vertical="center"/>
      <protection locked="0"/>
    </xf>
    <xf numFmtId="0" fontId="9" fillId="5" borderId="12" xfId="0" applyFont="1" applyFill="1" applyBorder="1" applyAlignment="1" applyProtection="1">
      <alignment horizontal="left" vertical="center"/>
    </xf>
    <xf numFmtId="0" fontId="9" fillId="5" borderId="7" xfId="0" applyFont="1" applyFill="1" applyBorder="1" applyAlignment="1" applyProtection="1">
      <alignment horizontal="left" vertical="center"/>
    </xf>
    <xf numFmtId="0" fontId="9" fillId="5" borderId="8" xfId="0" applyFont="1" applyFill="1" applyBorder="1" applyAlignment="1" applyProtection="1">
      <alignment horizontal="left" vertical="center"/>
    </xf>
    <xf numFmtId="0" fontId="9" fillId="5" borderId="24" xfId="0" applyFont="1" applyFill="1" applyBorder="1" applyAlignment="1" applyProtection="1">
      <alignment horizontal="left" vertical="center"/>
    </xf>
    <xf numFmtId="0" fontId="9" fillId="5" borderId="0" xfId="0" applyFont="1" applyFill="1" applyBorder="1" applyAlignment="1" applyProtection="1">
      <alignment horizontal="left" vertical="center"/>
    </xf>
    <xf numFmtId="0" fontId="9" fillId="5" borderId="25" xfId="0" applyFont="1" applyFill="1" applyBorder="1" applyAlignment="1" applyProtection="1">
      <alignment horizontal="left" vertical="center"/>
    </xf>
    <xf numFmtId="0" fontId="9" fillId="5" borderId="21" xfId="0" applyFont="1" applyFill="1" applyBorder="1" applyAlignment="1" applyProtection="1">
      <alignment horizontal="left" vertical="center"/>
    </xf>
    <xf numFmtId="0" fontId="9" fillId="5" borderId="14" xfId="0" applyFont="1" applyFill="1" applyBorder="1" applyAlignment="1" applyProtection="1">
      <alignment horizontal="left" vertical="center"/>
    </xf>
    <xf numFmtId="0" fontId="9" fillId="5" borderId="15" xfId="0" applyFont="1" applyFill="1" applyBorder="1" applyAlignment="1" applyProtection="1">
      <alignment horizontal="left" vertical="center"/>
    </xf>
    <xf numFmtId="0" fontId="16" fillId="5" borderId="88" xfId="0" applyFont="1" applyFill="1" applyBorder="1" applyAlignment="1" applyProtection="1">
      <alignment horizontal="left" vertical="center"/>
    </xf>
    <xf numFmtId="0" fontId="16" fillId="5" borderId="81" xfId="0" applyFont="1" applyFill="1" applyBorder="1" applyAlignment="1" applyProtection="1">
      <alignment horizontal="left" vertical="center"/>
    </xf>
    <xf numFmtId="0" fontId="16" fillId="5" borderId="99" xfId="0" applyFont="1" applyFill="1" applyBorder="1" applyAlignment="1" applyProtection="1">
      <alignment horizontal="left" vertical="center"/>
    </xf>
    <xf numFmtId="0" fontId="46" fillId="5" borderId="35" xfId="0" applyFont="1" applyFill="1" applyBorder="1" applyAlignment="1" applyProtection="1">
      <alignment horizontal="left" vertical="center" wrapText="1"/>
    </xf>
    <xf numFmtId="0" fontId="0" fillId="0" borderId="45" xfId="0" applyBorder="1" applyAlignment="1">
      <alignment horizontal="left" vertical="center"/>
    </xf>
    <xf numFmtId="0" fontId="4" fillId="5" borderId="24" xfId="0" quotePrefix="1" applyFont="1" applyFill="1" applyBorder="1" applyAlignment="1">
      <alignment horizontal="left" vertical="center" wrapText="1"/>
    </xf>
    <xf numFmtId="0" fontId="4" fillId="5" borderId="0" xfId="0" quotePrefix="1"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5" borderId="24" xfId="0" quotePrefix="1" applyFont="1" applyFill="1" applyBorder="1" applyAlignment="1">
      <alignment horizontal="left" vertical="center"/>
    </xf>
    <xf numFmtId="0" fontId="4" fillId="5" borderId="0" xfId="0" quotePrefix="1" applyFont="1" applyFill="1" applyBorder="1" applyAlignment="1">
      <alignment horizontal="left" vertical="center"/>
    </xf>
    <xf numFmtId="0" fontId="4" fillId="5" borderId="25" xfId="0" quotePrefix="1" applyFont="1" applyFill="1" applyBorder="1" applyAlignment="1">
      <alignment horizontal="left" vertical="center"/>
    </xf>
    <xf numFmtId="0" fontId="4" fillId="5" borderId="124" xfId="0" applyFont="1" applyFill="1" applyBorder="1" applyAlignment="1">
      <alignment horizontal="left" vertical="center"/>
    </xf>
    <xf numFmtId="0" fontId="4" fillId="5" borderId="52" xfId="0" applyFont="1" applyFill="1" applyBorder="1" applyAlignment="1">
      <alignment horizontal="left" vertical="center"/>
    </xf>
    <xf numFmtId="0" fontId="4" fillId="5" borderId="98" xfId="0" applyFont="1" applyFill="1" applyBorder="1" applyAlignment="1">
      <alignment horizontal="left" vertical="center"/>
    </xf>
    <xf numFmtId="0" fontId="4" fillId="5" borderId="21" xfId="0" quotePrefix="1" applyFont="1" applyFill="1" applyBorder="1" applyAlignment="1">
      <alignment horizontal="left" vertical="center"/>
    </xf>
    <xf numFmtId="0" fontId="4" fillId="5" borderId="14" xfId="0" quotePrefix="1" applyFont="1" applyFill="1" applyBorder="1" applyAlignment="1">
      <alignment horizontal="left" vertical="center"/>
    </xf>
    <xf numFmtId="0" fontId="4" fillId="5" borderId="15" xfId="0" quotePrefix="1" applyFont="1" applyFill="1" applyBorder="1" applyAlignment="1">
      <alignment horizontal="left" vertical="center"/>
    </xf>
    <xf numFmtId="0" fontId="4" fillId="5" borderId="65" xfId="0" applyFont="1" applyFill="1" applyBorder="1" applyAlignment="1" applyProtection="1">
      <alignment horizontal="center" vertical="center" wrapText="1"/>
      <protection locked="0"/>
    </xf>
    <xf numFmtId="0" fontId="0" fillId="0" borderId="66" xfId="0" applyBorder="1" applyAlignment="1"/>
    <xf numFmtId="0" fontId="4" fillId="5" borderId="125" xfId="0" applyFont="1" applyFill="1" applyBorder="1" applyAlignment="1" applyProtection="1">
      <alignment horizontal="center" vertical="center" wrapText="1"/>
      <protection locked="0"/>
    </xf>
    <xf numFmtId="0" fontId="0" fillId="0" borderId="115" xfId="0" applyBorder="1" applyAlignment="1"/>
    <xf numFmtId="0" fontId="4" fillId="4" borderId="21"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25" fillId="5" borderId="12" xfId="0" applyFont="1" applyFill="1" applyBorder="1" applyAlignment="1" applyProtection="1">
      <alignment horizontal="left" vertical="center"/>
    </xf>
    <xf numFmtId="0" fontId="25" fillId="5" borderId="7" xfId="0" applyFont="1" applyFill="1" applyBorder="1" applyAlignment="1" applyProtection="1">
      <alignment horizontal="left" vertical="center"/>
    </xf>
    <xf numFmtId="0" fontId="25" fillId="5" borderId="8" xfId="0" applyFont="1" applyFill="1" applyBorder="1" applyAlignment="1" applyProtection="1">
      <alignment horizontal="left" vertical="center"/>
    </xf>
    <xf numFmtId="0" fontId="25" fillId="5" borderId="24" xfId="0" applyFont="1" applyFill="1" applyBorder="1" applyAlignment="1" applyProtection="1">
      <alignment horizontal="left" vertical="center"/>
    </xf>
    <xf numFmtId="0" fontId="25" fillId="5" borderId="0" xfId="0" applyFont="1" applyFill="1" applyBorder="1" applyAlignment="1" applyProtection="1">
      <alignment horizontal="left" vertical="center"/>
    </xf>
    <xf numFmtId="0" fontId="25" fillId="5" borderId="25" xfId="0" applyFont="1" applyFill="1" applyBorder="1" applyAlignment="1" applyProtection="1">
      <alignment horizontal="left" vertical="center"/>
    </xf>
    <xf numFmtId="0" fontId="25" fillId="5" borderId="21" xfId="0" applyFont="1" applyFill="1" applyBorder="1" applyAlignment="1" applyProtection="1">
      <alignment horizontal="left" vertical="center"/>
    </xf>
    <xf numFmtId="0" fontId="25" fillId="5" borderId="14" xfId="0" applyFont="1" applyFill="1" applyBorder="1" applyAlignment="1" applyProtection="1">
      <alignment horizontal="left" vertical="center"/>
    </xf>
    <xf numFmtId="0" fontId="25" fillId="5" borderId="15" xfId="0" applyFont="1" applyFill="1" applyBorder="1" applyAlignment="1" applyProtection="1">
      <alignment horizontal="left" vertical="center"/>
    </xf>
    <xf numFmtId="0" fontId="14" fillId="5" borderId="14" xfId="0" applyFont="1" applyFill="1" applyBorder="1" applyAlignment="1">
      <alignment horizontal="left" vertical="top" wrapText="1"/>
    </xf>
    <xf numFmtId="0" fontId="4" fillId="5" borderId="1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13" fillId="5" borderId="54" xfId="0" applyFont="1" applyFill="1" applyBorder="1" applyAlignment="1">
      <alignment horizontal="left" vertical="center" wrapText="1"/>
    </xf>
    <xf numFmtId="0" fontId="13" fillId="5" borderId="47" xfId="0" applyFont="1" applyFill="1" applyBorder="1" applyAlignment="1">
      <alignment horizontal="left" vertical="center" wrapText="1"/>
    </xf>
    <xf numFmtId="0" fontId="4" fillId="5" borderId="106"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46" xfId="0" applyFont="1" applyFill="1" applyBorder="1" applyAlignment="1">
      <alignment horizontal="left" vertical="center" wrapText="1"/>
    </xf>
    <xf numFmtId="0" fontId="4" fillId="5" borderId="88" xfId="0" applyFont="1" applyFill="1" applyBorder="1" applyAlignment="1">
      <alignment horizontal="left" vertical="center" wrapText="1"/>
    </xf>
    <xf numFmtId="0" fontId="4" fillId="5" borderId="81"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13" fillId="5" borderId="37" xfId="0" applyFont="1" applyFill="1" applyBorder="1" applyAlignment="1">
      <alignment horizontal="left" vertical="center" wrapText="1"/>
    </xf>
    <xf numFmtId="0" fontId="13" fillId="5" borderId="27" xfId="0" applyFont="1" applyFill="1" applyBorder="1" applyAlignment="1">
      <alignment horizontal="left" vertical="center" wrapText="1"/>
    </xf>
    <xf numFmtId="0" fontId="4" fillId="5" borderId="33" xfId="0" applyFont="1" applyFill="1" applyBorder="1" applyAlignment="1">
      <alignment horizontal="left" vertical="center" wrapText="1"/>
    </xf>
    <xf numFmtId="0" fontId="4" fillId="5" borderId="99" xfId="0" applyFont="1" applyFill="1" applyBorder="1" applyAlignment="1">
      <alignment horizontal="left" vertical="center" wrapText="1"/>
    </xf>
    <xf numFmtId="0" fontId="13" fillId="5" borderId="106" xfId="0" applyFont="1" applyFill="1" applyBorder="1" applyAlignment="1">
      <alignment horizontal="left" vertical="center" wrapText="1"/>
    </xf>
    <xf numFmtId="0" fontId="13" fillId="5" borderId="21"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37" fillId="5" borderId="16" xfId="0" applyFont="1" applyFill="1" applyBorder="1" applyAlignment="1">
      <alignment horizontal="left" vertical="center" wrapText="1"/>
    </xf>
    <xf numFmtId="0" fontId="37" fillId="5" borderId="11" xfId="0" applyFont="1" applyFill="1" applyBorder="1" applyAlignment="1">
      <alignment horizontal="left" vertical="center" wrapText="1"/>
    </xf>
    <xf numFmtId="0" fontId="37" fillId="5" borderId="18" xfId="0" applyFont="1" applyFill="1" applyBorder="1" applyAlignment="1">
      <alignment horizontal="left" vertical="center" wrapText="1"/>
    </xf>
    <xf numFmtId="0" fontId="13" fillId="5" borderId="126" xfId="0" applyFont="1" applyFill="1" applyBorder="1" applyAlignment="1">
      <alignment horizontal="right" vertical="center" wrapText="1"/>
    </xf>
    <xf numFmtId="0" fontId="13" fillId="5" borderId="11" xfId="0" applyFont="1" applyFill="1" applyBorder="1" applyAlignment="1">
      <alignment horizontal="right" vertical="center" wrapText="1"/>
    </xf>
    <xf numFmtId="0" fontId="13" fillId="5" borderId="92" xfId="0" applyFont="1" applyFill="1" applyBorder="1" applyAlignment="1">
      <alignment horizontal="right" vertical="center" wrapText="1"/>
    </xf>
    <xf numFmtId="0" fontId="25" fillId="5" borderId="16"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92" xfId="0" applyFont="1" applyFill="1" applyBorder="1" applyAlignment="1">
      <alignment horizontal="left" vertical="center" wrapText="1"/>
    </xf>
    <xf numFmtId="0" fontId="4" fillId="4" borderId="15" xfId="0" applyFont="1" applyFill="1" applyBorder="1" applyAlignment="1" applyProtection="1">
      <alignment horizontal="left" vertical="top" wrapText="1"/>
      <protection locked="0"/>
    </xf>
    <xf numFmtId="0" fontId="4" fillId="0" borderId="23" xfId="0" applyFont="1" applyBorder="1" applyAlignment="1">
      <alignment horizontal="center" textRotation="90"/>
    </xf>
    <xf numFmtId="0" fontId="4" fillId="0" borderId="22" xfId="0" applyFont="1" applyBorder="1" applyAlignment="1">
      <alignment horizontal="center" textRotation="90"/>
    </xf>
    <xf numFmtId="0" fontId="4" fillId="0" borderId="26" xfId="0" applyFont="1" applyBorder="1" applyAlignment="1">
      <alignment horizontal="center" textRotation="90"/>
    </xf>
    <xf numFmtId="0" fontId="8" fillId="0" borderId="49" xfId="0" applyFont="1" applyFill="1" applyBorder="1" applyAlignment="1" applyProtection="1">
      <alignment vertical="center"/>
      <protection hidden="1"/>
    </xf>
    <xf numFmtId="0" fontId="0" fillId="0" borderId="7" xfId="0" applyBorder="1"/>
    <xf numFmtId="0" fontId="0" fillId="0" borderId="60" xfId="0" applyBorder="1"/>
    <xf numFmtId="173" fontId="9" fillId="0" borderId="12" xfId="0" applyNumberFormat="1" applyFont="1" applyFill="1" applyBorder="1" applyAlignment="1" applyProtection="1">
      <alignment horizontal="left" vertical="center"/>
    </xf>
    <xf numFmtId="173" fontId="9" fillId="0" borderId="7" xfId="0" applyNumberFormat="1" applyFont="1" applyFill="1" applyBorder="1" applyAlignment="1" applyProtection="1">
      <alignment horizontal="left" vertical="center"/>
    </xf>
    <xf numFmtId="173" fontId="9" fillId="0" borderId="8" xfId="0" applyNumberFormat="1" applyFont="1" applyFill="1" applyBorder="1" applyAlignment="1" applyProtection="1">
      <alignment horizontal="left" vertical="center"/>
    </xf>
    <xf numFmtId="173" fontId="9" fillId="0" borderId="24" xfId="0" applyNumberFormat="1" applyFont="1" applyFill="1" applyBorder="1" applyAlignment="1" applyProtection="1">
      <alignment horizontal="left" vertical="center"/>
    </xf>
    <xf numFmtId="173" fontId="9" fillId="0" borderId="0" xfId="0" applyNumberFormat="1" applyFont="1" applyFill="1" applyBorder="1" applyAlignment="1" applyProtection="1">
      <alignment horizontal="left" vertical="center"/>
    </xf>
    <xf numFmtId="173" fontId="9" fillId="0" borderId="25" xfId="0" applyNumberFormat="1" applyFont="1" applyFill="1" applyBorder="1" applyAlignment="1" applyProtection="1">
      <alignment horizontal="left" vertical="center"/>
    </xf>
    <xf numFmtId="173" fontId="9" fillId="0" borderId="21" xfId="0" applyNumberFormat="1" applyFont="1" applyFill="1" applyBorder="1" applyAlignment="1" applyProtection="1">
      <alignment horizontal="left" vertical="center"/>
    </xf>
    <xf numFmtId="173" fontId="9" fillId="0" borderId="14" xfId="0" applyNumberFormat="1" applyFont="1" applyFill="1" applyBorder="1" applyAlignment="1" applyProtection="1">
      <alignment horizontal="left" vertical="center"/>
    </xf>
    <xf numFmtId="173" fontId="9" fillId="0" borderId="15" xfId="0" applyNumberFormat="1" applyFont="1" applyFill="1" applyBorder="1" applyAlignment="1" applyProtection="1">
      <alignment horizontal="left" vertical="center"/>
    </xf>
    <xf numFmtId="0" fontId="8" fillId="0" borderId="88" xfId="0" applyFont="1" applyFill="1" applyBorder="1" applyProtection="1">
      <protection hidden="1"/>
    </xf>
    <xf numFmtId="0" fontId="8" fillId="0" borderId="81" xfId="0" applyFont="1" applyFill="1" applyBorder="1" applyProtection="1">
      <protection hidden="1"/>
    </xf>
    <xf numFmtId="0" fontId="8" fillId="0" borderId="83" xfId="0" applyFont="1" applyFill="1" applyBorder="1" applyProtection="1">
      <protection hidden="1"/>
    </xf>
    <xf numFmtId="0" fontId="8" fillId="0" borderId="7" xfId="0" applyFont="1" applyFill="1" applyBorder="1" applyAlignment="1" applyProtection="1">
      <alignment vertical="center"/>
      <protection hidden="1"/>
    </xf>
    <xf numFmtId="0" fontId="8" fillId="0" borderId="60" xfId="0" applyFont="1" applyFill="1" applyBorder="1" applyAlignment="1" applyProtection="1">
      <alignment vertical="center"/>
      <protection hidden="1"/>
    </xf>
    <xf numFmtId="0" fontId="8" fillId="4" borderId="35" xfId="0" applyFont="1" applyFill="1" applyBorder="1" applyAlignment="1" applyProtection="1">
      <alignment horizontal="left" vertical="center"/>
      <protection locked="0" hidden="1"/>
    </xf>
    <xf numFmtId="0" fontId="8" fillId="4" borderId="82" xfId="0" applyFont="1" applyFill="1" applyBorder="1" applyAlignment="1" applyProtection="1">
      <alignment horizontal="left" vertical="center"/>
      <protection locked="0" hidden="1"/>
    </xf>
    <xf numFmtId="0" fontId="8" fillId="4" borderId="127" xfId="0" applyFont="1" applyFill="1" applyBorder="1" applyAlignment="1" applyProtection="1">
      <alignment horizontal="left" vertical="center"/>
      <protection locked="0" hidden="1"/>
    </xf>
    <xf numFmtId="0" fontId="46" fillId="0" borderId="81" xfId="0" applyFont="1" applyFill="1" applyBorder="1" applyAlignment="1" applyProtection="1">
      <alignment horizontal="center"/>
      <protection hidden="1"/>
    </xf>
    <xf numFmtId="0" fontId="8" fillId="4" borderId="37" xfId="0" applyFont="1" applyFill="1" applyBorder="1" applyProtection="1">
      <protection hidden="1"/>
    </xf>
    <xf numFmtId="0" fontId="8" fillId="4" borderId="27" xfId="0" applyFont="1" applyFill="1" applyBorder="1" applyProtection="1">
      <protection hidden="1"/>
    </xf>
    <xf numFmtId="0" fontId="8" fillId="4" borderId="84" xfId="0" applyFont="1" applyFill="1" applyBorder="1" applyProtection="1">
      <protection hidden="1"/>
    </xf>
    <xf numFmtId="0" fontId="62" fillId="5" borderId="81" xfId="0" applyFont="1" applyFill="1" applyBorder="1" applyAlignment="1" applyProtection="1">
      <alignment horizontal="center"/>
      <protection hidden="1"/>
    </xf>
    <xf numFmtId="0" fontId="18" fillId="10" borderId="35" xfId="0" applyFont="1" applyFill="1" applyBorder="1" applyAlignment="1" applyProtection="1">
      <alignment horizontal="left"/>
      <protection locked="0"/>
    </xf>
    <xf numFmtId="0" fontId="18" fillId="10" borderId="45" xfId="0" applyFont="1" applyFill="1" applyBorder="1" applyAlignment="1" applyProtection="1">
      <alignment horizontal="left"/>
      <protection locked="0"/>
    </xf>
    <xf numFmtId="0" fontId="9" fillId="10" borderId="35" xfId="0" applyFont="1" applyFill="1" applyBorder="1" applyAlignment="1" applyProtection="1">
      <alignment horizontal="left"/>
      <protection locked="0"/>
    </xf>
    <xf numFmtId="0" fontId="9" fillId="10" borderId="45" xfId="0" applyFont="1" applyFill="1" applyBorder="1" applyAlignment="1" applyProtection="1">
      <alignment horizontal="left"/>
      <protection locked="0"/>
    </xf>
    <xf numFmtId="0" fontId="50" fillId="5" borderId="24" xfId="0" applyFont="1" applyFill="1" applyBorder="1" applyAlignment="1">
      <alignment horizontal="left"/>
    </xf>
    <xf numFmtId="0" fontId="50" fillId="5" borderId="25" xfId="0" applyFont="1" applyFill="1" applyBorder="1" applyAlignment="1">
      <alignment horizontal="left"/>
    </xf>
    <xf numFmtId="0" fontId="80" fillId="5" borderId="11" xfId="0" applyFont="1" applyFill="1" applyBorder="1" applyAlignment="1" applyProtection="1">
      <alignment horizontal="left" vertical="center" wrapText="1"/>
    </xf>
    <xf numFmtId="0" fontId="0" fillId="5" borderId="0" xfId="0" applyFill="1" applyAlignment="1">
      <alignment horizontal="right"/>
    </xf>
    <xf numFmtId="0" fontId="8" fillId="5" borderId="54" xfId="0" applyFont="1" applyFill="1" applyBorder="1" applyAlignment="1">
      <alignment horizontal="center"/>
    </xf>
    <xf numFmtId="0" fontId="8" fillId="5" borderId="51" xfId="0" applyFont="1" applyFill="1" applyBorder="1" applyAlignment="1">
      <alignment horizontal="center"/>
    </xf>
    <xf numFmtId="0" fontId="9" fillId="4" borderId="35" xfId="0" applyFont="1" applyFill="1" applyBorder="1" applyAlignment="1" applyProtection="1">
      <alignment horizontal="left"/>
      <protection locked="0"/>
    </xf>
    <xf numFmtId="0" fontId="9" fillId="4" borderId="45" xfId="0" applyFont="1" applyFill="1" applyBorder="1" applyAlignment="1" applyProtection="1">
      <alignment horizontal="left"/>
      <protection locked="0"/>
    </xf>
    <xf numFmtId="0" fontId="9" fillId="5" borderId="126" xfId="0" applyFont="1" applyFill="1" applyBorder="1" applyAlignment="1" applyProtection="1">
      <alignment horizontal="center"/>
    </xf>
    <xf numFmtId="0" fontId="9" fillId="5" borderId="92" xfId="0" applyFont="1" applyFill="1" applyBorder="1" applyAlignment="1" applyProtection="1">
      <alignment horizontal="center"/>
    </xf>
    <xf numFmtId="0" fontId="9" fillId="5" borderId="11" xfId="0" applyFont="1" applyFill="1" applyBorder="1" applyAlignment="1" applyProtection="1">
      <alignment horizontal="center"/>
    </xf>
    <xf numFmtId="0" fontId="4" fillId="5" borderId="24" xfId="0" applyFont="1" applyFill="1" applyBorder="1" applyAlignment="1">
      <alignment horizontal="left" vertical="center"/>
    </xf>
    <xf numFmtId="0" fontId="4" fillId="5" borderId="0" xfId="0" applyFont="1" applyFill="1" applyBorder="1" applyAlignment="1">
      <alignment horizontal="left" vertical="center"/>
    </xf>
    <xf numFmtId="0" fontId="4" fillId="5" borderId="25" xfId="0" applyFont="1" applyFill="1" applyBorder="1" applyAlignment="1">
      <alignment horizontal="left" vertical="center"/>
    </xf>
    <xf numFmtId="0" fontId="4" fillId="5" borderId="0"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77" fillId="0" borderId="21" xfId="0" applyFont="1" applyBorder="1" applyAlignment="1" applyProtection="1">
      <alignment vertical="center"/>
      <protection locked="0"/>
    </xf>
    <xf numFmtId="0" fontId="77" fillId="0" borderId="14" xfId="0" applyFont="1" applyBorder="1" applyAlignment="1" applyProtection="1">
      <alignment vertical="center"/>
      <protection locked="0"/>
    </xf>
    <xf numFmtId="0" fontId="5" fillId="5" borderId="21" xfId="0" applyFont="1" applyFill="1" applyBorder="1" applyAlignment="1">
      <alignment horizontal="left" vertical="center"/>
    </xf>
    <xf numFmtId="0" fontId="5" fillId="5" borderId="14" xfId="0" applyFont="1" applyFill="1" applyBorder="1" applyAlignment="1">
      <alignment horizontal="left" vertical="center"/>
    </xf>
    <xf numFmtId="0" fontId="5" fillId="5" borderId="15" xfId="0" applyFont="1" applyFill="1" applyBorder="1" applyAlignment="1">
      <alignment horizontal="left" vertical="center"/>
    </xf>
    <xf numFmtId="0" fontId="4" fillId="5" borderId="0" xfId="0" applyFont="1" applyFill="1" applyBorder="1" applyAlignment="1" applyProtection="1">
      <alignment horizontal="left" vertical="center"/>
    </xf>
    <xf numFmtId="0" fontId="4" fillId="5" borderId="25" xfId="0" applyFont="1" applyFill="1" applyBorder="1" applyAlignment="1" applyProtection="1">
      <alignment horizontal="left" vertical="center"/>
    </xf>
    <xf numFmtId="0" fontId="5" fillId="5" borderId="12" xfId="0" applyFont="1" applyFill="1" applyBorder="1" applyAlignment="1">
      <alignment horizontal="left" vertical="center"/>
    </xf>
    <xf numFmtId="0" fontId="4" fillId="5" borderId="14"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xf>
    <xf numFmtId="0" fontId="5" fillId="5" borderId="25" xfId="0" applyFont="1" applyFill="1" applyBorder="1" applyAlignment="1" applyProtection="1">
      <alignment horizontal="left" vertical="center"/>
    </xf>
    <xf numFmtId="0" fontId="5" fillId="5" borderId="24" xfId="0" applyFont="1" applyFill="1" applyBorder="1" applyAlignment="1">
      <alignment horizontal="left" vertical="center"/>
    </xf>
    <xf numFmtId="0" fontId="5" fillId="5" borderId="0" xfId="0" applyFont="1" applyFill="1" applyBorder="1" applyAlignment="1">
      <alignment horizontal="left" vertical="center"/>
    </xf>
    <xf numFmtId="0" fontId="5" fillId="5" borderId="25" xfId="0" applyFont="1" applyFill="1" applyBorder="1" applyAlignment="1">
      <alignment horizontal="left" vertical="center"/>
    </xf>
    <xf numFmtId="0" fontId="47" fillId="5" borderId="11" xfId="0" applyFont="1" applyFill="1" applyBorder="1" applyAlignment="1" applyProtection="1">
      <alignment horizontal="center"/>
    </xf>
    <xf numFmtId="0" fontId="4" fillId="5" borderId="108" xfId="0" applyFont="1" applyFill="1" applyBorder="1" applyAlignment="1">
      <alignment horizontal="center"/>
    </xf>
    <xf numFmtId="0" fontId="4" fillId="5" borderId="40" xfId="0" applyFont="1" applyFill="1" applyBorder="1" applyAlignment="1">
      <alignment horizontal="center"/>
    </xf>
    <xf numFmtId="0" fontId="4" fillId="5" borderId="49" xfId="0" applyFont="1" applyFill="1" applyBorder="1" applyAlignment="1" applyProtection="1">
      <alignment horizontal="center"/>
    </xf>
    <xf numFmtId="0" fontId="4" fillId="5" borderId="108" xfId="0" applyFont="1" applyFill="1" applyBorder="1" applyAlignment="1" applyProtection="1">
      <alignment horizontal="center"/>
    </xf>
    <xf numFmtId="0" fontId="8" fillId="5" borderId="24" xfId="0" applyFont="1" applyFill="1" applyBorder="1" applyAlignment="1" applyProtection="1">
      <alignment horizontal="center"/>
    </xf>
    <xf numFmtId="0" fontId="8" fillId="5" borderId="25" xfId="0" applyFont="1" applyFill="1" applyBorder="1" applyAlignment="1" applyProtection="1">
      <alignment horizontal="center"/>
    </xf>
    <xf numFmtId="0" fontId="0" fillId="5" borderId="24" xfId="0" applyFill="1" applyBorder="1" applyAlignment="1">
      <alignment horizontal="center"/>
    </xf>
    <xf numFmtId="0" fontId="0" fillId="5" borderId="25" xfId="0" applyFill="1" applyBorder="1" applyAlignment="1">
      <alignment horizontal="center"/>
    </xf>
    <xf numFmtId="0" fontId="8" fillId="5" borderId="0" xfId="0" applyFont="1" applyFill="1" applyBorder="1" applyAlignment="1" applyProtection="1">
      <alignment horizontal="center"/>
    </xf>
    <xf numFmtId="0" fontId="0" fillId="5" borderId="21" xfId="0" applyFill="1" applyBorder="1" applyAlignment="1">
      <alignment horizontal="center"/>
    </xf>
    <xf numFmtId="0" fontId="0" fillId="5" borderId="15" xfId="0" applyFill="1" applyBorder="1" applyAlignment="1">
      <alignment horizontal="center"/>
    </xf>
    <xf numFmtId="0" fontId="8" fillId="6" borderId="12" xfId="0" quotePrefix="1" applyFont="1" applyFill="1" applyBorder="1" applyAlignment="1" applyProtection="1">
      <alignment horizontal="center"/>
    </xf>
    <xf numFmtId="0" fontId="8" fillId="6" borderId="8" xfId="0" quotePrefix="1" applyFont="1" applyFill="1" applyBorder="1" applyAlignment="1" applyProtection="1">
      <alignment horizontal="center"/>
    </xf>
    <xf numFmtId="0" fontId="6" fillId="6" borderId="49" xfId="0" applyFont="1" applyFill="1" applyBorder="1" applyAlignment="1">
      <alignment horizontal="center"/>
    </xf>
    <xf numFmtId="0" fontId="6" fillId="6" borderId="8" xfId="0" applyFont="1" applyFill="1" applyBorder="1" applyAlignment="1">
      <alignment horizontal="center"/>
    </xf>
    <xf numFmtId="0" fontId="8" fillId="5" borderId="0" xfId="0" applyFont="1" applyFill="1" applyAlignment="1" applyProtection="1">
      <alignment horizontal="center"/>
    </xf>
    <xf numFmtId="0" fontId="8" fillId="5" borderId="21" xfId="0" applyFont="1" applyFill="1" applyBorder="1" applyAlignment="1" applyProtection="1">
      <alignment horizontal="center"/>
    </xf>
    <xf numFmtId="0" fontId="8" fillId="5" borderId="15" xfId="0" applyFont="1" applyFill="1" applyBorder="1" applyAlignment="1" applyProtection="1">
      <alignment horizontal="center"/>
    </xf>
    <xf numFmtId="0" fontId="6" fillId="7" borderId="16" xfId="0" applyFont="1" applyFill="1" applyBorder="1" applyAlignment="1">
      <alignment horizontal="left"/>
    </xf>
    <xf numFmtId="0" fontId="6" fillId="7" borderId="8" xfId="0" applyFont="1" applyFill="1" applyBorder="1" applyAlignment="1">
      <alignment horizontal="left"/>
    </xf>
    <xf numFmtId="0" fontId="6" fillId="16" borderId="23" xfId="0" applyFont="1" applyFill="1" applyBorder="1" applyAlignment="1">
      <alignment horizontal="center"/>
    </xf>
    <xf numFmtId="174" fontId="9" fillId="10" borderId="21" xfId="12" applyNumberFormat="1" applyFont="1" applyFill="1" applyBorder="1" applyAlignment="1">
      <alignment horizontal="left"/>
    </xf>
    <xf numFmtId="174" fontId="9" fillId="10" borderId="14" xfId="12" applyNumberFormat="1" applyFont="1" applyFill="1" applyBorder="1" applyAlignment="1">
      <alignment horizontal="left"/>
    </xf>
    <xf numFmtId="0" fontId="28" fillId="6" borderId="12" xfId="0" applyFont="1" applyFill="1" applyBorder="1" applyAlignment="1" applyProtection="1">
      <alignment horizontal="center"/>
    </xf>
    <xf numFmtId="0" fontId="28" fillId="6" borderId="8" xfId="0" applyFont="1" applyFill="1" applyBorder="1" applyAlignment="1" applyProtection="1">
      <alignment horizontal="center"/>
    </xf>
    <xf numFmtId="0" fontId="21" fillId="6" borderId="12" xfId="0" applyFont="1" applyFill="1" applyBorder="1" applyAlignment="1">
      <alignment horizontal="center"/>
    </xf>
    <xf numFmtId="0" fontId="21" fillId="6" borderId="8" xfId="0" applyFont="1" applyFill="1" applyBorder="1" applyAlignment="1">
      <alignment horizontal="center"/>
    </xf>
    <xf numFmtId="0" fontId="6" fillId="7" borderId="0" xfId="0" applyFont="1" applyFill="1" applyBorder="1" applyAlignment="1"/>
    <xf numFmtId="0" fontId="6" fillId="0" borderId="25" xfId="0" applyFont="1" applyBorder="1" applyAlignment="1"/>
    <xf numFmtId="0" fontId="6" fillId="6" borderId="9" xfId="0" applyFont="1" applyFill="1" applyBorder="1" applyAlignment="1">
      <alignment horizontal="center"/>
    </xf>
    <xf numFmtId="0" fontId="0" fillId="5" borderId="9" xfId="0" applyFill="1" applyBorder="1" applyAlignment="1">
      <alignment horizontal="center"/>
    </xf>
  </cellXfs>
  <cellStyles count="22">
    <cellStyle name="Cella collegata" xfId="1"/>
    <cellStyle name="Cella da controllare" xfId="2"/>
    <cellStyle name="Nota" xfId="3"/>
    <cellStyle name="Notiz" xfId="21" builtinId="10" hidden="1"/>
    <cellStyle name="Prozent" xfId="4" builtinId="5"/>
    <cellStyle name="Standard" xfId="0" builtinId="0"/>
    <cellStyle name="Standard_Entwurf Erläuterungen.XLT" xfId="5"/>
    <cellStyle name="Testo avviso" xfId="6"/>
    <cellStyle name="Titolo" xfId="7"/>
    <cellStyle name="Titolo 1" xfId="8"/>
    <cellStyle name="Titolo 2" xfId="9"/>
    <cellStyle name="Titolo 3" xfId="10"/>
    <cellStyle name="Titolo 4" xfId="11"/>
    <cellStyle name="Überschrift" xfId="13" builtinId="15" hidden="1"/>
    <cellStyle name="Überschrift 1" xfId="14" builtinId="16" hidden="1"/>
    <cellStyle name="Überschrift 2" xfId="15" builtinId="17" hidden="1"/>
    <cellStyle name="Überschrift 3" xfId="16" builtinId="18" hidden="1"/>
    <cellStyle name="Überschrift 4" xfId="17" builtinId="19" hidden="1"/>
    <cellStyle name="Verknüpfte Zelle" xfId="18" builtinId="24" hidden="1"/>
    <cellStyle name="Währung" xfId="12" builtinId="4"/>
    <cellStyle name="Warnender Text" xfId="20" builtinId="11" hidden="1"/>
    <cellStyle name="Zelle überprüfen" xfId="19" builtinId="23" hidden="1"/>
  </cellStyles>
  <dxfs count="196">
    <dxf>
      <fill>
        <patternFill>
          <bgColor indexed="13"/>
        </patternFill>
      </fill>
    </dxf>
    <dxf>
      <fill>
        <patternFill>
          <bgColor indexed="43"/>
        </patternFill>
      </fill>
    </dxf>
    <dxf>
      <fill>
        <patternFill>
          <bgColor indexed="43"/>
        </patternFill>
      </fill>
    </dxf>
    <dxf>
      <fill>
        <patternFill>
          <bgColor indexed="43"/>
        </patternFill>
      </fill>
    </dxf>
    <dxf>
      <border>
        <right style="thin">
          <color indexed="64"/>
        </right>
      </border>
    </dxf>
    <dxf>
      <border>
        <top style="thin">
          <color indexed="64"/>
        </top>
      </border>
    </dxf>
    <dxf>
      <border>
        <right style="hair">
          <color indexed="64"/>
        </right>
      </border>
    </dxf>
    <dxf>
      <border>
        <top style="thin">
          <color indexed="64"/>
        </top>
      </border>
    </dxf>
    <dxf>
      <border>
        <top style="thin">
          <color indexed="64"/>
        </top>
      </border>
    </dxf>
    <dxf>
      <border>
        <top style="thin">
          <color indexed="64"/>
        </top>
      </border>
    </dxf>
    <dxf>
      <border>
        <left style="thin">
          <color indexed="64"/>
        </left>
        <top/>
        <bottom style="thin">
          <color indexed="64"/>
        </bottom>
      </border>
    </dxf>
    <dxf>
      <font>
        <strike val="0"/>
        <condense val="0"/>
        <extend val="0"/>
        <color indexed="9"/>
      </font>
      <fill>
        <patternFill patternType="none">
          <bgColor indexed="65"/>
        </patternFill>
      </fill>
    </dxf>
    <dxf>
      <border>
        <top style="thin">
          <color indexed="64"/>
        </top>
      </border>
    </dxf>
    <dxf>
      <fill>
        <patternFill>
          <bgColor indexed="43"/>
        </patternFill>
      </fill>
    </dxf>
    <dxf>
      <fill>
        <patternFill patternType="none">
          <bgColor indexed="65"/>
        </patternFill>
      </fill>
    </dxf>
    <dxf>
      <fill>
        <patternFill>
          <bgColor indexed="9"/>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ont>
        <condense val="0"/>
        <extend val="0"/>
        <color auto="1"/>
      </font>
      <fill>
        <patternFill>
          <bgColor indexed="13"/>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fgColor indexed="29"/>
          <bgColor indexed="42"/>
        </patternFill>
      </fill>
    </dxf>
    <dxf>
      <fill>
        <patternFill>
          <bgColor indexed="43"/>
        </patternFill>
      </fill>
    </dxf>
    <dxf>
      <fill>
        <patternFill>
          <bgColor indexed="13"/>
        </patternFill>
      </fill>
    </dxf>
    <dxf>
      <fill>
        <patternFill>
          <bgColor indexed="34"/>
        </patternFill>
      </fill>
    </dxf>
    <dxf>
      <fill>
        <patternFill>
          <bgColor indexed="43"/>
        </patternFill>
      </fill>
    </dxf>
    <dxf>
      <fill>
        <patternFill>
          <bgColor indexed="34"/>
        </patternFill>
      </fill>
    </dxf>
    <dxf>
      <fill>
        <patternFill>
          <bgColor indexed="13"/>
        </patternFill>
      </fill>
    </dxf>
    <dxf>
      <fill>
        <patternFill>
          <bgColor indexed="43"/>
        </patternFill>
      </fill>
    </dxf>
    <dxf>
      <fill>
        <patternFill>
          <bgColor indexed="34"/>
        </patternFill>
      </fill>
    </dxf>
    <dxf>
      <fill>
        <patternFill>
          <bgColor indexed="13"/>
        </patternFill>
      </fill>
    </dxf>
    <dxf>
      <fill>
        <patternFill>
          <bgColor indexed="13"/>
        </patternFill>
      </fill>
    </dxf>
    <dxf>
      <fill>
        <patternFill>
          <bgColor indexed="9"/>
        </patternFill>
      </fill>
    </dxf>
    <dxf>
      <fill>
        <patternFill>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ill>
        <patternFill>
          <bgColor indexed="34"/>
        </patternFill>
      </fill>
    </dxf>
    <dxf>
      <fill>
        <patternFill>
          <bgColor indexed="34"/>
        </patternFill>
      </fill>
    </dxf>
    <dxf>
      <fill>
        <patternFill patternType="solid">
          <bgColor indexed="13"/>
        </patternFill>
      </fill>
    </dxf>
    <dxf>
      <fill>
        <patternFill>
          <bgColor indexed="34"/>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ill>
        <patternFill>
          <bgColor indexed="13"/>
        </patternFill>
      </fill>
    </dxf>
    <dxf>
      <fill>
        <patternFill>
          <bgColor indexed="9"/>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9"/>
        </patternFill>
      </fill>
    </dxf>
    <dxf>
      <fill>
        <patternFill>
          <bgColor indexed="43"/>
        </patternFill>
      </fill>
    </dxf>
    <dxf>
      <fill>
        <patternFill>
          <bgColor indexed="13"/>
        </patternFill>
      </fill>
    </dxf>
    <dxf>
      <fill>
        <patternFill>
          <bgColor indexed="43"/>
        </patternFill>
      </fill>
    </dxf>
    <dxf>
      <fill>
        <patternFill>
          <bgColor indexed="34"/>
        </patternFill>
      </fill>
    </dxf>
    <dxf>
      <fill>
        <patternFill>
          <bgColor indexed="43"/>
        </patternFill>
      </fill>
    </dxf>
    <dxf>
      <fill>
        <patternFill>
          <bgColor indexed="34"/>
        </patternFill>
      </fill>
    </dxf>
    <dxf>
      <fill>
        <patternFill>
          <bgColor indexed="13"/>
        </patternFill>
      </fill>
    </dxf>
    <dxf>
      <fill>
        <patternFill>
          <bgColor indexed="9"/>
        </patternFill>
      </fill>
    </dxf>
    <dxf>
      <font>
        <condense val="0"/>
        <extend val="0"/>
        <color auto="1"/>
      </font>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34"/>
        </patternFill>
      </fill>
    </dxf>
    <dxf>
      <fill>
        <patternFill>
          <bgColor indexed="9"/>
        </patternFill>
      </fill>
    </dxf>
    <dxf>
      <fill>
        <patternFill>
          <bgColor indexed="13"/>
        </patternFill>
      </fill>
    </dxf>
    <dxf>
      <fill>
        <patternFill>
          <bgColor indexed="9"/>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9"/>
        </patternFill>
      </fill>
    </dxf>
    <dxf>
      <fill>
        <patternFill>
          <bgColor indexed="1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ont>
        <b val="0"/>
        <i val="0"/>
        <condense val="0"/>
        <extend val="0"/>
        <color auto="1"/>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ont>
        <condense val="0"/>
        <extend val="0"/>
        <color indexed="9"/>
      </font>
    </dxf>
    <dxf>
      <fill>
        <patternFill>
          <bgColor indexed="9"/>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condense val="0"/>
        <extend val="0"/>
        <color indexed="10"/>
      </font>
    </dxf>
    <dxf>
      <fill>
        <patternFill>
          <bgColor indexed="34"/>
        </patternFill>
      </fill>
    </dxf>
    <dxf>
      <font>
        <b/>
        <i val="0"/>
        <condense val="0"/>
        <extend val="0"/>
        <color indexed="10"/>
      </font>
      <fill>
        <patternFill>
          <bgColor indexed="13"/>
        </patternFill>
      </fill>
    </dxf>
    <dxf>
      <fill>
        <patternFill>
          <bgColor indexed="34"/>
        </patternFill>
      </fill>
    </dxf>
    <dxf>
      <font>
        <b/>
        <i val="0"/>
        <condense val="0"/>
        <extend val="0"/>
        <color indexed="10"/>
      </font>
      <fill>
        <patternFill>
          <bgColor indexed="34"/>
        </patternFill>
      </fill>
    </dxf>
    <dxf>
      <fill>
        <patternFill>
          <bgColor indexed="34"/>
        </patternFill>
      </fill>
    </dxf>
    <dxf>
      <font>
        <b/>
        <i val="0"/>
        <condense val="0"/>
        <extend val="0"/>
        <color indexed="10"/>
      </font>
      <fill>
        <patternFill>
          <bgColor indexed="34"/>
        </patternFill>
      </fill>
    </dxf>
    <dxf>
      <fill>
        <patternFill>
          <bgColor indexed="34"/>
        </patternFill>
      </fill>
    </dxf>
    <dxf>
      <font>
        <b/>
        <i val="0"/>
        <condense val="0"/>
        <extend val="0"/>
        <color indexed="10"/>
      </font>
      <fill>
        <patternFill>
          <bgColor indexed="34"/>
        </patternFill>
      </fill>
    </dxf>
    <dxf>
      <font>
        <b/>
        <i val="0"/>
        <condense val="0"/>
        <extend val="0"/>
        <color indexed="10"/>
      </font>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ill>
        <patternFill>
          <fgColor indexed="9"/>
          <bgColor indexed="9"/>
        </patternFill>
      </fill>
    </dxf>
    <dxf>
      <font>
        <b/>
        <i val="0"/>
        <condense val="0"/>
        <extend val="0"/>
        <color indexed="13"/>
      </font>
      <fill>
        <patternFill>
          <bgColor indexed="10"/>
        </patternFill>
      </fill>
    </dxf>
    <dxf>
      <fill>
        <patternFill>
          <bgColor indexed="34"/>
        </patternFill>
      </fill>
    </dxf>
    <dxf>
      <fill>
        <patternFill>
          <bgColor indexed="9"/>
        </patternFill>
      </fill>
    </dxf>
    <dxf>
      <font>
        <condense val="0"/>
        <extend val="0"/>
        <color indexed="10"/>
      </font>
    </dxf>
    <dxf>
      <fill>
        <patternFill>
          <bgColor indexed="13"/>
        </patternFill>
      </fill>
      <border>
        <bottom style="hair">
          <color indexed="64"/>
        </bottom>
      </border>
    </dxf>
    <dxf>
      <font>
        <condense val="0"/>
        <extend val="0"/>
        <color auto="1"/>
      </font>
    </dxf>
    <dxf>
      <font>
        <condense val="0"/>
        <extend val="0"/>
        <color auto="1"/>
      </font>
    </dxf>
    <dxf>
      <font>
        <condense val="0"/>
        <extend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51" dropStyle="combo" dx="16" fmlaLink="Standardwerte!$BG$12" fmlaRange="Standardwerte!$BG$5:$BG$9" noThreeD="1" sel="0" val="0"/>
</file>

<file path=xl/ctrlProps/ctrlProp2.xml><?xml version="1.0" encoding="utf-8"?>
<formControlPr xmlns="http://schemas.microsoft.com/office/spreadsheetml/2009/9/main" objectType="Drop" dropLines="4" dropStyle="combo" dx="16" fmlaLink="Standardwerte!$BH$12" fmlaRange="Standardwerte!$BH$5:$BH$8" noThreeD="1" sel="0" val="0"/>
</file>

<file path=xl/ctrlProps/ctrlProp3.xml><?xml version="1.0" encoding="utf-8"?>
<formControlPr xmlns="http://schemas.microsoft.com/office/spreadsheetml/2009/9/main" objectType="CheckBox" fmlaLink="Standardwerte!$BG$25" lockText="1" noThreeD="1"/>
</file>

<file path=xl/ctrlProps/ctrlProp4.xml><?xml version="1.0" encoding="utf-8"?>
<formControlPr xmlns="http://schemas.microsoft.com/office/spreadsheetml/2009/9/main" objectType="CheckBox" fmlaLink="Standardwerte!$BG$24" lockText="1" noThreeD="1"/>
</file>

<file path=xl/ctrlProps/ctrlProp5.xml><?xml version="1.0" encoding="utf-8"?>
<formControlPr xmlns="http://schemas.microsoft.com/office/spreadsheetml/2009/9/main" objectType="Drop" dropLines="51" dropStyle="combo" dx="16" fmlaLink="Standardwerte!$N$24" fmlaRange="Standardwerte!$I$9:$I$21" noThreeD="1" sel="0" val="0"/>
</file>

<file path=xl/ctrlProps/ctrlProp6.xml><?xml version="1.0" encoding="utf-8"?>
<formControlPr xmlns="http://schemas.microsoft.com/office/spreadsheetml/2009/9/main" objectType="Drop" dropLines="51" dropStyle="combo" dx="16" fmlaLink="Standardwerte!$R$24" fmlaRange="Standardwerte!$I$9:$I$21" noThreeD="1" sel="0" val="0"/>
</file>

<file path=xl/ctrlProps/ctrlProp7.xml><?xml version="1.0" encoding="utf-8"?>
<formControlPr xmlns="http://schemas.microsoft.com/office/spreadsheetml/2009/9/main" objectType="Drop" dropLines="13" dropStyle="combo" dx="16" fmlaLink="Standardwerte!$N$28" fmlaRange="Standardwerte!$I$9:$I$21" noThreeD="1" sel="0" val="0"/>
</file>

<file path=xl/ctrlProps/ctrlProp8.xml><?xml version="1.0" encoding="utf-8"?>
<formControlPr xmlns="http://schemas.microsoft.com/office/spreadsheetml/2009/9/main" objectType="Drop" dropLines="13" dropStyle="combo" dx="16" fmlaLink="Standardwerte!$R$28" fmlaRange="Standardwerte!$I$9:$I$21" noThreeD="1" sel="0" val="0"/>
</file>

<file path=xl/ctrlProps/ctrlProp9.xml><?xml version="1.0" encoding="utf-8"?>
<formControlPr xmlns="http://schemas.microsoft.com/office/spreadsheetml/2009/9/main" objectType="CheckBox" fmlaLink="Standardwerte!$BG$26" lockText="1" noThreeD="1"/>
</file>

<file path=xl/ctrlProps/ctrlProp10.xml><?xml version="1.0" encoding="utf-8"?>
<formControlPr xmlns="http://schemas.microsoft.com/office/spreadsheetml/2009/9/main" objectType="Drop" dropLines="7" dropStyle="combo" dx="16" fmlaLink="Klima" fmlaRange="Standardwerte!$B$7:$B$47" noThreeD="1" sel="0" val="0"/>
</file>

<file path=xl/ctrlProps/ctrlProp11.xml><?xml version="1.0" encoding="utf-8"?>
<formControlPr xmlns="http://schemas.microsoft.com/office/spreadsheetml/2009/9/main" objectType="CheckBox" fmlaLink="Reduktion" noThreeD="1"/>
</file>

<file path=xl/ctrlProps/ctrlProp12.xml><?xml version="1.0" encoding="utf-8"?>
<formControlPr xmlns="http://schemas.microsoft.com/office/spreadsheetml/2009/9/main" objectType="Drop" dropLines="3" dropStyle="combo" dx="16" fmlaLink="Standardwerte!$BF$33" fmlaRange="Standardwerte!$BF$30:$BF$32" noThreeD="1" sel="1" val="0"/>
</file>

<file path=xl/ctrlProps/ctrlProp13.xml><?xml version="1.0" encoding="utf-8"?>
<formControlPr xmlns="http://schemas.microsoft.com/office/spreadsheetml/2009/9/main" objectType="Drop" dropLines="14" dropStyle="combo" dx="16" fmlaLink="Kanton" fmlaRange="Standardwerte!$A$97:$A$125" noThreeD="1" sel="1" val="0"/>
</file>

<file path=xl/ctrlProps/ctrlProp14.xml><?xml version="1.0" encoding="utf-8"?>
<formControlPr xmlns="http://schemas.microsoft.com/office/spreadsheetml/2009/9/main" objectType="Drop" dropLines="3" dropStyle="combo" dx="16" fmlaLink="Standardwerte!$BG$33" fmlaRange="Standardwerte!$BG$30:$BG$32" noThreeD="1" sel="0" val="0"/>
</file>

<file path=xl/ctrlProps/ctrlProp15.xml><?xml version="1.0" encoding="utf-8"?>
<formControlPr xmlns="http://schemas.microsoft.com/office/spreadsheetml/2009/9/main" objectType="Drop" dropLines="3" dropStyle="combo" dx="16" fmlaLink="Standardwerte!$BH$33" fmlaRange="Standardwerte!$BH$30:$BH$32" noThreeD="1" sel="0" val="0"/>
</file>

<file path=xl/ctrlProps/ctrlProp16.xml><?xml version="1.0" encoding="utf-8"?>
<formControlPr xmlns="http://schemas.microsoft.com/office/spreadsheetml/2009/9/main" objectType="Drop" dropLines="59" dropStyle="combo" dx="16" fmlaLink="Standardwerte!$N$24" fmlaRange="Standardwerte!$I$9:$I$21" noThreeD="1" sel="0" val="0"/>
</file>

<file path=xl/ctrlProps/ctrlProp17.xml><?xml version="1.0" encoding="utf-8"?>
<formControlPr xmlns="http://schemas.microsoft.com/office/spreadsheetml/2009/9/main" objectType="Drop" dropLines="59" dropStyle="combo" dx="16" fmlaLink="Standardwerte!$R$24" fmlaRange="Standardwerte!$I$9:$I$21" noThreeD="1" sel="0" val="0"/>
</file>

<file path=xl/ctrlProps/ctrlProp18.xml><?xml version="1.0" encoding="utf-8"?>
<formControlPr xmlns="http://schemas.microsoft.com/office/spreadsheetml/2009/9/main" objectType="Drop" dropLines="59" dropStyle="combo" dx="16" fmlaLink="Standardwerte!$N$28" fmlaRange="Standardwerte!$I$9:$I$21" noThreeD="1" sel="0" val="0"/>
</file>

<file path=xl/ctrlProps/ctrlProp19.xml><?xml version="1.0" encoding="utf-8"?>
<formControlPr xmlns="http://schemas.microsoft.com/office/spreadsheetml/2009/9/main" objectType="Drop" dropLines="59" dropStyle="combo" dx="16" fmlaLink="Standardwerte!$R$28" fmlaRange="Standardwerte!$I$9:$I$21" noThreeD="1" sel="0" val="0"/>
</file>

<file path=xl/ctrlProps/ctrlProp20.xml><?xml version="1.0" encoding="utf-8"?>
<formControlPr xmlns="http://schemas.microsoft.com/office/spreadsheetml/2009/9/main" objectType="Drop" dropLines="7" dropStyle="combo" dx="16" fmlaLink="Klima" fmlaRange="Standardwerte!$B$7:$B$47" noThreeD="1" sel="0" val="0"/>
</file>

<file path=xl/ctrlProps/ctrlProp21.xml><?xml version="1.0" encoding="utf-8"?>
<formControlPr xmlns="http://schemas.microsoft.com/office/spreadsheetml/2009/9/main" objectType="Drop" dropLines="59" dropStyle="combo" dx="16" fmlaLink="Lüftung1" fmlaRange="Ausk_Lueftung1" noThreeD="1" sel="1" val="0"/>
</file>

<file path=xl/ctrlProps/ctrlProp22.xml><?xml version="1.0" encoding="utf-8"?>
<formControlPr xmlns="http://schemas.microsoft.com/office/spreadsheetml/2009/9/main" objectType="Drop" dropLines="59" dropStyle="combo" dx="16" fmlaLink="Lüftung2" fmlaRange="Ausk_Lueftung2" noThreeD="1" sel="1" val="0"/>
</file>

<file path=xl/ctrlProps/ctrlProp23.xml><?xml version="1.0" encoding="utf-8"?>
<formControlPr xmlns="http://schemas.microsoft.com/office/spreadsheetml/2009/9/main" objectType="Drop" dropLines="45" dropStyle="combo" dx="16" fmlaLink="Lüftung3" fmlaRange="Ausk_Lueftung3" noThreeD="1" sel="1" val="0"/>
</file>

<file path=xl/ctrlProps/ctrlProp24.xml><?xml version="1.0" encoding="utf-8"?>
<formControlPr xmlns="http://schemas.microsoft.com/office/spreadsheetml/2009/9/main" objectType="Drop" dropLines="7" dropStyle="combo" dx="16" fmlaLink="Lüftung4" fmlaRange="Ausk_Lueftung4" noThreeD="1" sel="1" val="0"/>
</file>

<file path=xl/ctrlProps/ctrlProp25.xml><?xml version="1.0" encoding="utf-8"?>
<formControlPr xmlns="http://schemas.microsoft.com/office/spreadsheetml/2009/9/main" objectType="Drop" dropLines="3" dropStyle="combo" dx="16" fmlaLink="Standardwerte!$R$43" fmlaRange="Standardwerte!$AI$23:$AI$25" noThreeD="1" sel="0" val="0"/>
</file>

<file path=xl/ctrlProps/ctrlProp26.xml><?xml version="1.0" encoding="utf-8"?>
<formControlPr xmlns="http://schemas.microsoft.com/office/spreadsheetml/2009/9/main" objectType="Drop" dropLines="3" dropStyle="combo" dx="16" fmlaLink="Standardwerte!$R$44" fmlaRange="Standardwerte!$AI$23:$AI$25" noThreeD="1" sel="0" val="0"/>
</file>

<file path=xl/ctrlProps/ctrlProp27.xml><?xml version="1.0" encoding="utf-8"?>
<formControlPr xmlns="http://schemas.microsoft.com/office/spreadsheetml/2009/9/main" objectType="Drop" dropLines="3" dropStyle="combo" dx="16" fmlaLink="Standardwerte!$R$45" fmlaRange="Standardwerte!$AI$23:$AI$25" noThreeD="1" sel="0" val="0"/>
</file>

<file path=xl/ctrlProps/ctrlProp28.xml><?xml version="1.0" encoding="utf-8"?>
<formControlPr xmlns="http://schemas.microsoft.com/office/spreadsheetml/2009/9/main" objectType="Drop" dropLines="3" dropStyle="combo" dx="16" fmlaLink="Standardwerte!$R$46" fmlaRange="Standardwerte!$AI$23:$AI$25" noThreeD="1" sel="0" val="0"/>
</file>

<file path=xl/ctrlProps/ctrlProp29.xml><?xml version="1.0" encoding="utf-8"?>
<formControlPr xmlns="http://schemas.microsoft.com/office/spreadsheetml/2009/9/main" objectType="Drop" dropLines="4" dropStyle="combo" dx="16" fmlaLink="Standardlüftung1" fmlaRange="Standardwerte!$AG$39:$AG$42" noThreeD="1" sel="2" val="0"/>
</file>

<file path=xl/ctrlProps/ctrlProp30.xml><?xml version="1.0" encoding="utf-8"?>
<formControlPr xmlns="http://schemas.microsoft.com/office/spreadsheetml/2009/9/main" objectType="Drop" dropLines="4" dropStyle="combo" dx="16" fmlaLink="Standardlüftung2" fmlaRange="Standardwerte!$AI$39:$AI$42" noThreeD="1" sel="1" val="0"/>
</file>

<file path=xl/ctrlProps/ctrlProp31.xml><?xml version="1.0" encoding="utf-8"?>
<formControlPr xmlns="http://schemas.microsoft.com/office/spreadsheetml/2009/9/main" objectType="Drop" dropLines="4" dropStyle="combo" dx="16" fmlaLink="Standardlüftung3" fmlaRange="Standardwerte!$AK$39:$AK$42" noThreeD="1" sel="1" val="0"/>
</file>

<file path=xl/ctrlProps/ctrlProp32.xml><?xml version="1.0" encoding="utf-8"?>
<formControlPr xmlns="http://schemas.microsoft.com/office/spreadsheetml/2009/9/main" objectType="Drop" dropLines="4" dropStyle="combo" dx="16" fmlaLink="Standardlüftung4" fmlaRange="Standardwerte!$AM$39:$AM$42" noThreeD="1" sel="1" val="0"/>
</file>

<file path=xl/ctrlProps/ctrlProp33.xml><?xml version="1.0" encoding="utf-8"?>
<formControlPr xmlns="http://schemas.microsoft.com/office/spreadsheetml/2009/9/main" objectType="CheckBox" fmlaLink="$L$47" lockText="1" noThreeD="1"/>
</file>

<file path=xl/ctrlProps/ctrlProp34.xml><?xml version="1.0" encoding="utf-8"?>
<formControlPr xmlns="http://schemas.microsoft.com/office/spreadsheetml/2009/9/main" objectType="CheckBox" fmlaLink="$L$48"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L$49" lockText="1" noThreeD="1"/>
</file>

<file path=xl/ctrlProps/ctrlProp37.xml><?xml version="1.0" encoding="utf-8"?>
<formControlPr xmlns="http://schemas.microsoft.com/office/spreadsheetml/2009/9/main" objectType="CheckBox" fmlaLink="$L$50" lockText="1" noThreeD="1"/>
</file>

<file path=xl/ctrlProps/ctrlProp38.xml><?xml version="1.0" encoding="utf-8"?>
<formControlPr xmlns="http://schemas.microsoft.com/office/spreadsheetml/2009/9/main" objectType="CheckBox" fmlaLink="$L$51" lockText="1" noThreeD="1"/>
</file>

<file path=xl/ctrlProps/ctrlProp39.xml><?xml version="1.0" encoding="utf-8"?>
<formControlPr xmlns="http://schemas.microsoft.com/office/spreadsheetml/2009/9/main" objectType="CheckBox" fmlaLink="$L$5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L$53"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Drop" dropLines="59" dropStyle="combo" dx="16" fmlaLink="WRGtyp1" fmlaRange="Aerazione!$O$28:$O$30" noThreeD="1" sel="1" val="0"/>
</file>

<file path=xl/ctrlProps/ctrlProp48.xml><?xml version="1.0" encoding="utf-8"?>
<formControlPr xmlns="http://schemas.microsoft.com/office/spreadsheetml/2009/9/main" objectType="Drop" dropLines="59" dropStyle="combo" dx="16" fmlaLink="WRGtyp2" fmlaRange="Aerazione!$O$69:$O$71" noThreeD="1" sel="1" val="0"/>
</file>

<file path=xl/ctrlProps/ctrlProp49.xml><?xml version="1.0" encoding="utf-8"?>
<formControlPr xmlns="http://schemas.microsoft.com/office/spreadsheetml/2009/9/main" objectType="Drop" dropLines="5" dropStyle="combo" dx="16" fmlaLink="WRGtyp3" fmlaRange="Aerazione!$O$110:$O$112" noThreeD="1" sel="1" val="0"/>
</file>

<file path=xl/ctrlProps/ctrlProp50.xml><?xml version="1.0" encoding="utf-8"?>
<formControlPr xmlns="http://schemas.microsoft.com/office/spreadsheetml/2009/9/main" objectType="Drop" dropLines="5" dropStyle="combo" dx="16" fmlaLink="WRGtyp4" fmlaRange="Aerazione!$O$151:$O$153" noThreeD="1" sel="1" val="0"/>
</file>

<file path=xl/ctrlProps/ctrlProp51.xml><?xml version="1.0" encoding="utf-8"?>
<formControlPr xmlns="http://schemas.microsoft.com/office/spreadsheetml/2009/9/main" objectType="Drop" dropLines="59" dropStyle="combo" dx="16" fmlaLink="ACDC1" fmlaRange="Ausk_Motor1" noThreeD="1" sel="1" val="0"/>
</file>

<file path=xl/ctrlProps/ctrlProp52.xml><?xml version="1.0" encoding="utf-8"?>
<formControlPr xmlns="http://schemas.microsoft.com/office/spreadsheetml/2009/9/main" objectType="Drop" dropLines="59" dropStyle="combo" dx="16" fmlaLink="ACDC2" fmlaRange="Ausk_Motor2" noThreeD="1" sel="1" val="0"/>
</file>

<file path=xl/ctrlProps/ctrlProp53.xml><?xml version="1.0" encoding="utf-8"?>
<formControlPr xmlns="http://schemas.microsoft.com/office/spreadsheetml/2009/9/main" objectType="Drop" dropLines="2" dropStyle="combo" dx="16" fmlaLink="ACDC3" fmlaRange="Ausk_Motor3" noThreeD="1" sel="1" val="0"/>
</file>

<file path=xl/ctrlProps/ctrlProp54.xml><?xml version="1.0" encoding="utf-8"?>
<formControlPr xmlns="http://schemas.microsoft.com/office/spreadsheetml/2009/9/main" objectType="Drop" dropLines="3" dropStyle="combo" dx="16" fmlaLink="ACDC4" fmlaRange="Ausk_Motor4" noThreeD="1" sel="1" val="0"/>
</file>

<file path=xl/ctrlProps/ctrlProp55.xml><?xml version="1.0" encoding="utf-8"?>
<formControlPr xmlns="http://schemas.microsoft.com/office/spreadsheetml/2009/9/main" objectType="Drop" dropLines="59" dropStyle="combo" dx="16" fmlaLink="abgabe1" fmlaRange="Standardwerte!$AE$23:$AE$29" noThreeD="1" sel="0" val="0"/>
</file>

<file path=xl/ctrlProps/ctrlProp56.xml><?xml version="1.0" encoding="utf-8"?>
<formControlPr xmlns="http://schemas.microsoft.com/office/spreadsheetml/2009/9/main" objectType="Drop" dropLines="7" dropStyle="combo" dx="16" fmlaLink="abgabe4" fmlaRange="Standardwerte!$AE$23:$AE$29" noThreeD="1" sel="0" val="0"/>
</file>

<file path=xl/ctrlProps/ctrlProp57.xml><?xml version="1.0" encoding="utf-8"?>
<formControlPr xmlns="http://schemas.microsoft.com/office/spreadsheetml/2009/9/main" objectType="Drop" dropLines="7" dropStyle="combo" dx="16" fmlaLink="abgabe3" fmlaRange="Standardwerte!$AE$23:$AE$29" noThreeD="1" sel="0" val="0"/>
</file>

<file path=xl/ctrlProps/ctrlProp58.xml><?xml version="1.0" encoding="utf-8"?>
<formControlPr xmlns="http://schemas.microsoft.com/office/spreadsheetml/2009/9/main" objectType="Drop" dropLines="59" dropStyle="combo" dx="16" fmlaLink="abgabe2" fmlaRange="Standardwerte!$AE$23:$AE$29" noThreeD="1" sel="0" val="0"/>
</file>

<file path=xl/ctrlProps/ctrlProp59.xml><?xml version="1.0" encoding="utf-8"?>
<formControlPr xmlns="http://schemas.microsoft.com/office/spreadsheetml/2009/9/main" objectType="CheckBox" fmlaLink="$L$46" lockText="1" noThreeD="1"/>
</file>

<file path=xl/ctrlProps/ctrlProp60.xml><?xml version="1.0" encoding="utf-8"?>
<formControlPr xmlns="http://schemas.microsoft.com/office/spreadsheetml/2009/9/main" objectType="CheckBox" fmlaLink="$M$46" lockText="1" noThreeD="1"/>
</file>

<file path=xl/ctrlProps/ctrlProp61.xml><?xml version="1.0" encoding="utf-8"?>
<formControlPr xmlns="http://schemas.microsoft.com/office/spreadsheetml/2009/9/main" objectType="Drop" dropLines="2" dropStyle="combo" dx="16" fmlaLink="_WW1" fmlaRange="Standardwerte!$J$99:$J$100" noThreeD="1" sel="1" val="0"/>
</file>

<file path=xl/ctrlProps/ctrlProp62.xml><?xml version="1.0" encoding="utf-8"?>
<formControlPr xmlns="http://schemas.microsoft.com/office/spreadsheetml/2009/9/main" objectType="Drop" dropLines="2" dropStyle="combo" dx="16" fmlaLink="_WW2" fmlaRange="Standardwerte!$K$99:$K$100" noThreeD="1" sel="1" val="0"/>
</file>

<file path=xl/ctrlProps/ctrlProp63.xml><?xml version="1.0" encoding="utf-8"?>
<formControlPr xmlns="http://schemas.microsoft.com/office/spreadsheetml/2009/9/main" objectType="Drop" dropLines="2" dropStyle="combo" dx="16" fmlaLink="_WW3" fmlaRange="Standardwerte!$L$99:$L$100" noThreeD="1" sel="1" val="0"/>
</file>

<file path=xl/ctrlProps/ctrlProp64.xml><?xml version="1.0" encoding="utf-8"?>
<formControlPr xmlns="http://schemas.microsoft.com/office/spreadsheetml/2009/9/main" objectType="Drop" dropLines="2" dropStyle="combo" dx="16" fmlaLink="_WW4" fmlaRange="Standardwerte!$M$99:$M$100" noThreeD="1" sel="1" val="0"/>
</file>

<file path=xl/ctrlProps/ctrlProp65.xml><?xml version="1.0" encoding="utf-8"?>
<formControlPr xmlns="http://schemas.microsoft.com/office/spreadsheetml/2009/9/main" objectType="Drop" dropLines="5" dropStyle="combo" dx="16" fmlaLink="Standardwerte!$J$118" fmlaRange="Standardwerte!$J$113:$J$117" noThreeD="1" sel="1" val="0"/>
</file>

<file path=xl/ctrlProps/ctrlProp66.xml><?xml version="1.0" encoding="utf-8"?>
<formControlPr xmlns="http://schemas.microsoft.com/office/spreadsheetml/2009/9/main" objectType="Drop" dropLines="5" dropStyle="combo" dx="16" fmlaLink="Standardwerte!$K$118" fmlaRange="Standardwerte!$K$113:$K$117" noThreeD="1" sel="1" val="0"/>
</file>

<file path=xl/ctrlProps/ctrlProp67.xml><?xml version="1.0" encoding="utf-8"?>
<formControlPr xmlns="http://schemas.microsoft.com/office/spreadsheetml/2009/9/main" objectType="Drop" dropLines="5" dropStyle="combo" dx="16" fmlaLink="Standardwerte!$L$118" fmlaRange="Standardwerte!$L$113:$L$117" noThreeD="1" sel="1" val="0"/>
</file>

<file path=xl/ctrlProps/ctrlProp68.xml><?xml version="1.0" encoding="utf-8"?>
<formControlPr xmlns="http://schemas.microsoft.com/office/spreadsheetml/2009/9/main" objectType="Drop" dropLines="5" dropStyle="combo" dx="16" fmlaLink="Standardwerte!$M$118" fmlaRange="Standardwerte!$M$113:$M$117" noThreeD="1" sel="1" val="0"/>
</file>

<file path=xl/ctrlProps/ctrlProp69.xml><?xml version="1.0" encoding="utf-8"?>
<formControlPr xmlns="http://schemas.microsoft.com/office/spreadsheetml/2009/9/main" objectType="CheckBox" fmlaLink="$L$53" lockText="1" noThreeD="1"/>
</file>

<file path=xl/ctrlProps/ctrlProp70.xml><?xml version="1.0" encoding="utf-8"?>
<formControlPr xmlns="http://schemas.microsoft.com/office/spreadsheetml/2009/9/main" objectType="CheckBox" fmlaLink="$M$53" lockText="1" noThreeD="1"/>
</file>

<file path=xl/ctrlProps/ctrlProp71.xml><?xml version="1.0" encoding="utf-8"?>
<formControlPr xmlns="http://schemas.microsoft.com/office/spreadsheetml/2009/9/main" objectType="Drop" dropLines="59" dropStyle="combo" dx="16" fmlaLink="Lüftung1" fmlaRange="Ausw_Lueftung1" noThreeD="1" sel="1" val="0"/>
</file>

<file path=xl/ctrlProps/ctrlProp72.xml><?xml version="1.0" encoding="utf-8"?>
<formControlPr xmlns="http://schemas.microsoft.com/office/spreadsheetml/2009/9/main" objectType="Drop" dropLines="59" dropStyle="combo" dx="16" fmlaLink="$M$17" fmlaRange="$N$17:$N$23" noThreeD="1" sel="5" val="0"/>
</file>

<file path=xl/ctrlProps/ctrlProp73.xml><?xml version="1.0" encoding="utf-8"?>
<formControlPr xmlns="http://schemas.microsoft.com/office/spreadsheetml/2009/9/main" objectType="Drop" dropLines="51" dropStyle="combo" dx="16" fmlaLink="$M$24" fmlaRange="Standardwerte!$CD$35:$CD$39" noThreeD="1" sel="1" val="0"/>
</file>

<file path=xl/ctrlProps/ctrlProp74.xml><?xml version="1.0" encoding="utf-8"?>
<formControlPr xmlns="http://schemas.microsoft.com/office/spreadsheetml/2009/9/main" objectType="Drop" dropLines="45" dropStyle="combo" dx="16" fmlaLink="WRGtyp1" fmlaRange="$N$28:$N$30" noThreeD="1" sel="1" val="0"/>
</file>

<file path=xl/ctrlProps/ctrlProp75.xml><?xml version="1.0" encoding="utf-8"?>
<formControlPr xmlns="http://schemas.microsoft.com/office/spreadsheetml/2009/9/main" objectType="Drop" dropLines="3" dropStyle="combo" dx="16" fmlaLink="ACDC1" fmlaRange="$N$31:$N$32" noThreeD="1" sel="1" val="0"/>
</file>

<file path=xl/ctrlProps/ctrlProp76.xml><?xml version="1.0" encoding="utf-8"?>
<formControlPr xmlns="http://schemas.microsoft.com/office/spreadsheetml/2009/9/main" objectType="Drop" dropLines="55" dropStyle="combo" dx="16" fmlaLink="$M$34" fmlaRange="$N$34:$N$35" noThreeD="1" sel="1" val="0"/>
</file>

<file path=xl/ctrlProps/ctrlProp77.xml><?xml version="1.0" encoding="utf-8"?>
<formControlPr xmlns="http://schemas.microsoft.com/office/spreadsheetml/2009/9/main" objectType="Drop" dropLines="7" dropStyle="combo" dx="16" fmlaLink="Lüftung2" fmlaRange="Ausw_Lueftung2" noThreeD="1" sel="1" val="0"/>
</file>

<file path=xl/ctrlProps/ctrlProp78.xml><?xml version="1.0" encoding="utf-8"?>
<formControlPr xmlns="http://schemas.microsoft.com/office/spreadsheetml/2009/9/main" objectType="Drop" dropLines="59" dropStyle="combo" dx="16" fmlaLink="$M$58" fmlaRange="$N$58:$N$64" noThreeD="1" sel="5" val="0"/>
</file>

<file path=xl/ctrlProps/ctrlProp79.xml><?xml version="1.0" encoding="utf-8"?>
<formControlPr xmlns="http://schemas.microsoft.com/office/spreadsheetml/2009/9/main" objectType="Drop" dropLines="59" dropStyle="combo" dx="16" fmlaLink="$M$65" fmlaRange="Standardwerte!$CE$35:$CE$39" noThreeD="1" sel="1" val="0"/>
</file>

<file path=xl/ctrlProps/ctrlProp80.xml><?xml version="1.0" encoding="utf-8"?>
<formControlPr xmlns="http://schemas.microsoft.com/office/spreadsheetml/2009/9/main" objectType="Drop" dropLines="3" dropStyle="combo" dx="16" fmlaLink="WRGtyp2" fmlaRange="$N$69:$N$71" noThreeD="1" sel="1" val="0"/>
</file>

<file path=xl/ctrlProps/ctrlProp81.xml><?xml version="1.0" encoding="utf-8"?>
<formControlPr xmlns="http://schemas.microsoft.com/office/spreadsheetml/2009/9/main" objectType="Drop" dropLines="3" dropStyle="combo" dx="16" fmlaLink="ACDC2" fmlaRange="$N$72:$N$73" noThreeD="1" sel="1" val="0"/>
</file>

<file path=xl/ctrlProps/ctrlProp82.xml><?xml version="1.0" encoding="utf-8"?>
<formControlPr xmlns="http://schemas.microsoft.com/office/spreadsheetml/2009/9/main" objectType="Drop" dropLines="59" dropStyle="combo" dx="16" fmlaLink="$M$75" fmlaRange="$N$75:$N$76" noThreeD="1" sel="1" val="0"/>
</file>

<file path=xl/ctrlProps/ctrlProp83.xml><?xml version="1.0" encoding="utf-8"?>
<formControlPr xmlns="http://schemas.microsoft.com/office/spreadsheetml/2009/9/main" objectType="Drop" dropLines="7" dropStyle="combo" dx="16" fmlaLink="Lüftung3" fmlaRange="Ausw_Lueftung3" noThreeD="1" sel="1" val="0"/>
</file>

<file path=xl/ctrlProps/ctrlProp84.xml><?xml version="1.0" encoding="utf-8"?>
<formControlPr xmlns="http://schemas.microsoft.com/office/spreadsheetml/2009/9/main" objectType="Drop" dropLines="7" dropStyle="combo" dx="16" fmlaLink="$M$99" fmlaRange="$N$99:$N$105" noThreeD="1" sel="5" val="0"/>
</file>

<file path=xl/ctrlProps/ctrlProp85.xml><?xml version="1.0" encoding="utf-8"?>
<formControlPr xmlns="http://schemas.microsoft.com/office/spreadsheetml/2009/9/main" objectType="Drop" dropLines="7" dropStyle="combo" dx="16" fmlaLink="$M$106" fmlaRange="Standardwerte!$CF$35:$CF$39" noThreeD="1" sel="1" val="0"/>
</file>

<file path=xl/ctrlProps/ctrlProp86.xml><?xml version="1.0" encoding="utf-8"?>
<formControlPr xmlns="http://schemas.microsoft.com/office/spreadsheetml/2009/9/main" objectType="Drop" dropLines="3" dropStyle="combo" dx="16" fmlaLink="WRGtyp3" fmlaRange="$N$110:$N$112" noThreeD="1" sel="1" val="0"/>
</file>

<file path=xl/ctrlProps/ctrlProp87.xml><?xml version="1.0" encoding="utf-8"?>
<formControlPr xmlns="http://schemas.microsoft.com/office/spreadsheetml/2009/9/main" objectType="Drop" dropLines="3" dropStyle="combo" dx="16" fmlaLink="ACDC3" fmlaRange="$N$113:$N$114" noThreeD="1" sel="1" val="0"/>
</file>

<file path=xl/ctrlProps/ctrlProp88.xml><?xml version="1.0" encoding="utf-8"?>
<formControlPr xmlns="http://schemas.microsoft.com/office/spreadsheetml/2009/9/main" objectType="Drop" dropLines="3" dropStyle="combo" dx="16" fmlaLink="$M$116" fmlaRange="$N$116:$N$117" noThreeD="1" sel="1" val="0"/>
</file>

<file path=xl/ctrlProps/ctrlProp89.xml><?xml version="1.0" encoding="utf-8"?>
<formControlPr xmlns="http://schemas.microsoft.com/office/spreadsheetml/2009/9/main" objectType="Drop" dropLines="7" dropStyle="combo" dx="16" fmlaLink="Lüftung4" fmlaRange="Ausw_Lueftung4" noThreeD="1" sel="1" val="0"/>
</file>

<file path=xl/ctrlProps/ctrlProp90.xml><?xml version="1.0" encoding="utf-8"?>
<formControlPr xmlns="http://schemas.microsoft.com/office/spreadsheetml/2009/9/main" objectType="Drop" dropLines="7" dropStyle="combo" dx="16" fmlaLink="$M$140" fmlaRange="$N$140:$N$146" noThreeD="1" sel="5" val="0"/>
</file>

<file path=xl/ctrlProps/ctrlProp91.xml><?xml version="1.0" encoding="utf-8"?>
<formControlPr xmlns="http://schemas.microsoft.com/office/spreadsheetml/2009/9/main" objectType="Drop" dropLines="7" dropStyle="combo" dx="16" fmlaLink="$M$147" fmlaRange="Standardwerte!$CG$35:$CG$39" noThreeD="1" sel="1" val="0"/>
</file>

<file path=xl/ctrlProps/ctrlProp92.xml><?xml version="1.0" encoding="utf-8"?>
<formControlPr xmlns="http://schemas.microsoft.com/office/spreadsheetml/2009/9/main" objectType="Drop" dropLines="3" dropStyle="combo" dx="16" fmlaLink="WRGtyp4" fmlaRange="$N$151:$N$153" noThreeD="1" sel="1" val="0"/>
</file>

<file path=xl/ctrlProps/ctrlProp93.xml><?xml version="1.0" encoding="utf-8"?>
<formControlPr xmlns="http://schemas.microsoft.com/office/spreadsheetml/2009/9/main" objectType="Drop" dropLines="3" dropStyle="combo" dx="16" fmlaLink="ACDC4" fmlaRange="$N$154:$N$155" noThreeD="1" sel="1" val="0"/>
</file>

<file path=xl/ctrlProps/ctrlProp94.xml><?xml version="1.0" encoding="utf-8"?>
<formControlPr xmlns="http://schemas.microsoft.com/office/spreadsheetml/2009/9/main" objectType="Drop" dropLines="3" dropStyle="combo" dx="16" fmlaLink="$M$157" fmlaRange="$N$157:$N$158" noThreeD="1" sel="1" val="0"/>
</file>

<file path=xl/ctrlProps/ctrlProp95.xml><?xml version="1.0" encoding="utf-8"?>
<formControlPr xmlns="http://schemas.microsoft.com/office/spreadsheetml/2009/9/main" objectType="Drop" dropLines="18" dropStyle="combo" dx="16" fmlaLink="Standardwerte!$W$55" fmlaRange="Standardwerte!$T$6:$T$47" noThreeD="1" sel="1" val="0"/>
</file>

<file path=xl/ctrlProps/ctrlProp96.xml><?xml version="1.0" encoding="utf-8"?>
<formControlPr xmlns="http://schemas.microsoft.com/office/spreadsheetml/2009/9/main" objectType="Drop" dropLines="18" dropStyle="combo" dx="16" fmlaLink="Standardwerte!$W$56" fmlaRange="Standardwerte!$T$6:$T$47" noThreeD="1" sel="1" val="0"/>
</file>

<file path=xl/ctrlProps/ctrlProp97.xml><?xml version="1.0" encoding="utf-8"?>
<formControlPr xmlns="http://schemas.microsoft.com/office/spreadsheetml/2009/9/main" objectType="Drop" dropLines="18" dropStyle="combo" dx="16" fmlaLink="Standardwerte!$W$57" fmlaRange="Standardwerte!$T$6:$T$47" noThreeD="1" sel="1" val="24"/>
</file>

<file path=xl/ctrlProps/ctrlProp98.xml><?xml version="1.0" encoding="utf-8"?>
<formControlPr xmlns="http://schemas.microsoft.com/office/spreadsheetml/2009/9/main" objectType="Drop" dropLines="18" dropStyle="combo" dx="16" fmlaLink="Standardwerte!$W$58" fmlaRange="Standardwerte!$T$6:$T$47" noThreeD="1" sel="1" val="0"/>
</file>

<file path=xl/ctrlProps/ctrlProp99.xml><?xml version="1.0" encoding="utf-8"?>
<formControlPr xmlns="http://schemas.microsoft.com/office/spreadsheetml/2009/9/main" objectType="CheckBox" checked="Checked" fmlaLink="Standardwerte!$BL$63" lockText="1" noThreeD="1"/>
</file>

<file path=xl/ctrlProps/ctrlProp100.xml><?xml version="1.0" encoding="utf-8"?>
<formControlPr xmlns="http://schemas.microsoft.com/office/spreadsheetml/2009/9/main" objectType="CheckBox" checked="Checked" fmlaLink="E39"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Drop" dropLines="3" dropStyle="combo" dx="16" fmlaLink="Standardwerte!$BN$28" fmlaRange="Standardwerte!$BL$29:$BL$31"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13</xdr:row>
          <xdr:rowOff>0</xdr:rowOff>
        </xdr:from>
        <xdr:to>
          <xdr:col>6</xdr:col>
          <xdr:colOff>0</xdr:colOff>
          <xdr:row>14</xdr:row>
          <xdr:rowOff>7620</xdr:rowOff>
        </xdr:to>
        <xdr:sp macro="" textlink="">
          <xdr:nvSpPr>
            <xdr:cNvPr id="16393" name="Drop Down 9" hidden="1">
              <a:extLst>
                <a:ext uri="{63B3BB69-23CF-44E3-9099-C40C66FF867C}">
                  <a14:compatExt spid="_x0000_s16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13</xdr:row>
          <xdr:rowOff>0</xdr:rowOff>
        </xdr:from>
        <xdr:to>
          <xdr:col>10</xdr:col>
          <xdr:colOff>0</xdr:colOff>
          <xdr:row>14</xdr:row>
          <xdr:rowOff>7620</xdr:rowOff>
        </xdr:to>
        <xdr:sp macro="" textlink="">
          <xdr:nvSpPr>
            <xdr:cNvPr id="16398" name="Drop Down 14" hidden="1">
              <a:extLst>
                <a:ext uri="{63B3BB69-23CF-44E3-9099-C40C66FF867C}">
                  <a14:compatExt spid="_x0000_s16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685800</xdr:colOff>
          <xdr:row>21</xdr:row>
          <xdr:rowOff>259080</xdr:rowOff>
        </xdr:from>
        <xdr:to>
          <xdr:col>6</xdr:col>
          <xdr:colOff>106680</xdr:colOff>
          <xdr:row>23</xdr:row>
          <xdr:rowOff>30480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632460</xdr:colOff>
          <xdr:row>21</xdr:row>
          <xdr:rowOff>251460</xdr:rowOff>
        </xdr:from>
        <xdr:to>
          <xdr:col>4</xdr:col>
          <xdr:colOff>83820</xdr:colOff>
          <xdr:row>23</xdr:row>
          <xdr:rowOff>22860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10</xdr:row>
          <xdr:rowOff>182880</xdr:rowOff>
        </xdr:from>
        <xdr:to>
          <xdr:col>6</xdr:col>
          <xdr:colOff>0</xdr:colOff>
          <xdr:row>12</xdr:row>
          <xdr:rowOff>0</xdr:rowOff>
        </xdr:to>
        <xdr:sp macro="" textlink="">
          <xdr:nvSpPr>
            <xdr:cNvPr id="16415" name="Drop Down 31" hidden="1">
              <a:extLst>
                <a:ext uri="{63B3BB69-23CF-44E3-9099-C40C66FF867C}">
                  <a14:compatExt spid="_x0000_s16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xdr:row>
          <xdr:rowOff>182880</xdr:rowOff>
        </xdr:from>
        <xdr:to>
          <xdr:col>8</xdr:col>
          <xdr:colOff>0</xdr:colOff>
          <xdr:row>12</xdr:row>
          <xdr:rowOff>0</xdr:rowOff>
        </xdr:to>
        <xdr:sp macro="" textlink="">
          <xdr:nvSpPr>
            <xdr:cNvPr id="16416" name="Drop Down 32" hidden="1">
              <a:extLst>
                <a:ext uri="{63B3BB69-23CF-44E3-9099-C40C66FF867C}">
                  <a14:compatExt spid="_x0000_s16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10</xdr:row>
          <xdr:rowOff>182880</xdr:rowOff>
        </xdr:from>
        <xdr:to>
          <xdr:col>9</xdr:col>
          <xdr:colOff>0</xdr:colOff>
          <xdr:row>12</xdr:row>
          <xdr:rowOff>0</xdr:rowOff>
        </xdr:to>
        <xdr:sp macro="" textlink="">
          <xdr:nvSpPr>
            <xdr:cNvPr id="16417" name="Drop Down 33" hidden="1">
              <a:extLst>
                <a:ext uri="{63B3BB69-23CF-44E3-9099-C40C66FF867C}">
                  <a14:compatExt spid="_x0000_s16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10</xdr:row>
          <xdr:rowOff>182880</xdr:rowOff>
        </xdr:from>
        <xdr:to>
          <xdr:col>10</xdr:col>
          <xdr:colOff>0</xdr:colOff>
          <xdr:row>12</xdr:row>
          <xdr:rowOff>0</xdr:rowOff>
        </xdr:to>
        <xdr:sp macro="" textlink="">
          <xdr:nvSpPr>
            <xdr:cNvPr id="16418" name="Drop Down 34" hidden="1">
              <a:extLst>
                <a:ext uri="{63B3BB69-23CF-44E3-9099-C40C66FF867C}">
                  <a14:compatExt spid="_x0000_s16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678180</xdr:colOff>
          <xdr:row>21</xdr:row>
          <xdr:rowOff>259080</xdr:rowOff>
        </xdr:from>
        <xdr:to>
          <xdr:col>9</xdr:col>
          <xdr:colOff>68580</xdr:colOff>
          <xdr:row>23</xdr:row>
          <xdr:rowOff>38100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5</xdr:col>
          <xdr:colOff>518160</xdr:colOff>
          <xdr:row>25</xdr:row>
          <xdr:rowOff>7620</xdr:rowOff>
        </xdr:to>
        <xdr:sp macro="" textlink="">
          <xdr:nvSpPr>
            <xdr:cNvPr id="16433" name="Drop Down 49" hidden="1">
              <a:extLst>
                <a:ext uri="{63B3BB69-23CF-44E3-9099-C40C66FF867C}">
                  <a14:compatExt spid="_x0000_s16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464820</xdr:colOff>
          <xdr:row>14</xdr:row>
          <xdr:rowOff>114300</xdr:rowOff>
        </xdr:from>
        <xdr:to>
          <xdr:col>9</xdr:col>
          <xdr:colOff>708660</xdr:colOff>
          <xdr:row>16</xdr:row>
          <xdr:rowOff>7620</xdr:rowOff>
        </xdr:to>
        <xdr:sp macro=""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xdr:row>
          <xdr:rowOff>99060</xdr:rowOff>
        </xdr:from>
        <xdr:to>
          <xdr:col>10</xdr:col>
          <xdr:colOff>0</xdr:colOff>
          <xdr:row>30</xdr:row>
          <xdr:rowOff>0</xdr:rowOff>
        </xdr:to>
        <xdr:sp macro="" textlink="">
          <xdr:nvSpPr>
            <xdr:cNvPr id="16444" name="Drop Down 60" hidden="1">
              <a:extLst>
                <a:ext uri="{63B3BB69-23CF-44E3-9099-C40C66FF867C}">
                  <a14:compatExt spid="_x0000_s16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464820</xdr:colOff>
          <xdr:row>8</xdr:row>
          <xdr:rowOff>22860</xdr:rowOff>
        </xdr:from>
        <xdr:to>
          <xdr:col>10</xdr:col>
          <xdr:colOff>76200</xdr:colOff>
          <xdr:row>8</xdr:row>
          <xdr:rowOff>236220</xdr:rowOff>
        </xdr:to>
        <xdr:sp macro="" textlink="">
          <xdr:nvSpPr>
            <xdr:cNvPr id="16448" name="Drop Down 64" hidden="1">
              <a:extLst>
                <a:ext uri="{63B3BB69-23CF-44E3-9099-C40C66FF867C}">
                  <a14:compatExt spid="_x0000_s16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30</xdr:row>
          <xdr:rowOff>22860</xdr:rowOff>
        </xdr:from>
        <xdr:to>
          <xdr:col>10</xdr:col>
          <xdr:colOff>0</xdr:colOff>
          <xdr:row>31</xdr:row>
          <xdr:rowOff>22860</xdr:rowOff>
        </xdr:to>
        <xdr:sp macro="" textlink="">
          <xdr:nvSpPr>
            <xdr:cNvPr id="16449" name="Drop Down 65" hidden="1">
              <a:extLst>
                <a:ext uri="{63B3BB69-23CF-44E3-9099-C40C66FF867C}">
                  <a14:compatExt spid="_x0000_s16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31</xdr:row>
          <xdr:rowOff>30480</xdr:rowOff>
        </xdr:from>
        <xdr:to>
          <xdr:col>10</xdr:col>
          <xdr:colOff>0</xdr:colOff>
          <xdr:row>32</xdr:row>
          <xdr:rowOff>0</xdr:rowOff>
        </xdr:to>
        <xdr:sp macro="" textlink="">
          <xdr:nvSpPr>
            <xdr:cNvPr id="16458" name="Drop Down 74" hidden="1">
              <a:extLst>
                <a:ext uri="{63B3BB69-23CF-44E3-9099-C40C66FF867C}">
                  <a14:compatExt spid="_x0000_s16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11</xdr:row>
          <xdr:rowOff>38100</xdr:rowOff>
        </xdr:from>
        <xdr:to>
          <xdr:col>5</xdr:col>
          <xdr:colOff>0</xdr:colOff>
          <xdr:row>11</xdr:row>
          <xdr:rowOff>266700</xdr:rowOff>
        </xdr:to>
        <xdr:sp macro="" textlink="">
          <xdr:nvSpPr>
            <xdr:cNvPr id="10296" name="Drop Down 56" hidden="1">
              <a:extLst>
                <a:ext uri="{63B3BB69-23CF-44E3-9099-C40C66FF867C}">
                  <a14:compatExt spid="_x0000_s10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11</xdr:row>
          <xdr:rowOff>38100</xdr:rowOff>
        </xdr:from>
        <xdr:to>
          <xdr:col>6</xdr:col>
          <xdr:colOff>0</xdr:colOff>
          <xdr:row>11</xdr:row>
          <xdr:rowOff>266700</xdr:rowOff>
        </xdr:to>
        <xdr:sp macro="" textlink="">
          <xdr:nvSpPr>
            <xdr:cNvPr id="10297" name="Drop Down 57" hidden="1">
              <a:extLst>
                <a:ext uri="{63B3BB69-23CF-44E3-9099-C40C66FF867C}">
                  <a14:compatExt spid="_x0000_s10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xdr:row>
          <xdr:rowOff>38100</xdr:rowOff>
        </xdr:from>
        <xdr:to>
          <xdr:col>7</xdr:col>
          <xdr:colOff>0</xdr:colOff>
          <xdr:row>11</xdr:row>
          <xdr:rowOff>266700</xdr:rowOff>
        </xdr:to>
        <xdr:sp macro="" textlink="">
          <xdr:nvSpPr>
            <xdr:cNvPr id="10298" name="Drop Down 58" hidden="1">
              <a:extLst>
                <a:ext uri="{63B3BB69-23CF-44E3-9099-C40C66FF867C}">
                  <a14:compatExt spid="_x0000_s10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11</xdr:row>
          <xdr:rowOff>38100</xdr:rowOff>
        </xdr:from>
        <xdr:to>
          <xdr:col>8</xdr:col>
          <xdr:colOff>0</xdr:colOff>
          <xdr:row>11</xdr:row>
          <xdr:rowOff>266700</xdr:rowOff>
        </xdr:to>
        <xdr:sp macro="" textlink="">
          <xdr:nvSpPr>
            <xdr:cNvPr id="10299" name="Drop Down 59" hidden="1">
              <a:extLst>
                <a:ext uri="{63B3BB69-23CF-44E3-9099-C40C66FF867C}">
                  <a14:compatExt spid="_x0000_s10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8</xdr:row>
          <xdr:rowOff>7620</xdr:rowOff>
        </xdr:from>
        <xdr:to>
          <xdr:col>9</xdr:col>
          <xdr:colOff>601980</xdr:colOff>
          <xdr:row>8</xdr:row>
          <xdr:rowOff>236220</xdr:rowOff>
        </xdr:to>
        <xdr:sp macro="" textlink="">
          <xdr:nvSpPr>
            <xdr:cNvPr id="10300" name="Drop Down 60" hidden="1">
              <a:extLst>
                <a:ext uri="{63B3BB69-23CF-44E3-9099-C40C66FF867C}">
                  <a14:compatExt spid="_x0000_s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26</xdr:row>
          <xdr:rowOff>45720</xdr:rowOff>
        </xdr:from>
        <xdr:to>
          <xdr:col>5</xdr:col>
          <xdr:colOff>0</xdr:colOff>
          <xdr:row>26</xdr:row>
          <xdr:rowOff>266700</xdr:rowOff>
        </xdr:to>
        <xdr:sp macro="" textlink="">
          <xdr:nvSpPr>
            <xdr:cNvPr id="10301" name="Drop Down 61" hidden="1">
              <a:extLst>
                <a:ext uri="{63B3BB69-23CF-44E3-9099-C40C66FF867C}">
                  <a14:compatExt spid="_x0000_s10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45720</xdr:rowOff>
        </xdr:from>
        <xdr:to>
          <xdr:col>6</xdr:col>
          <xdr:colOff>0</xdr:colOff>
          <xdr:row>26</xdr:row>
          <xdr:rowOff>266700</xdr:rowOff>
        </xdr:to>
        <xdr:sp macro="" textlink="">
          <xdr:nvSpPr>
            <xdr:cNvPr id="10302" name="Drop Down 62" hidden="1">
              <a:extLst>
                <a:ext uri="{63B3BB69-23CF-44E3-9099-C40C66FF867C}">
                  <a14:compatExt spid="_x0000_s10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45720</xdr:rowOff>
        </xdr:from>
        <xdr:to>
          <xdr:col>7</xdr:col>
          <xdr:colOff>0</xdr:colOff>
          <xdr:row>26</xdr:row>
          <xdr:rowOff>266700</xdr:rowOff>
        </xdr:to>
        <xdr:sp macro="" textlink="">
          <xdr:nvSpPr>
            <xdr:cNvPr id="10303" name="Drop Down 63" hidden="1">
              <a:extLst>
                <a:ext uri="{63B3BB69-23CF-44E3-9099-C40C66FF867C}">
                  <a14:compatExt spid="_x0000_s10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45720</xdr:rowOff>
        </xdr:from>
        <xdr:to>
          <xdr:col>8</xdr:col>
          <xdr:colOff>0</xdr:colOff>
          <xdr:row>26</xdr:row>
          <xdr:rowOff>266700</xdr:rowOff>
        </xdr:to>
        <xdr:sp macro="" textlink="">
          <xdr:nvSpPr>
            <xdr:cNvPr id="10304" name="Drop Down 64" hidden="1">
              <a:extLst>
                <a:ext uri="{63B3BB69-23CF-44E3-9099-C40C66FF867C}">
                  <a14:compatExt spid="_x0000_s10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38100</xdr:rowOff>
        </xdr:from>
        <xdr:to>
          <xdr:col>5</xdr:col>
          <xdr:colOff>0</xdr:colOff>
          <xdr:row>16</xdr:row>
          <xdr:rowOff>266700</xdr:rowOff>
        </xdr:to>
        <xdr:sp macro="" textlink="">
          <xdr:nvSpPr>
            <xdr:cNvPr id="10305" name="Drop Down 65" hidden="1">
              <a:extLst>
                <a:ext uri="{63B3BB69-23CF-44E3-9099-C40C66FF867C}">
                  <a14:compatExt spid="_x0000_s10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16</xdr:row>
          <xdr:rowOff>38100</xdr:rowOff>
        </xdr:from>
        <xdr:to>
          <xdr:col>6</xdr:col>
          <xdr:colOff>0</xdr:colOff>
          <xdr:row>16</xdr:row>
          <xdr:rowOff>266700</xdr:rowOff>
        </xdr:to>
        <xdr:sp macro="" textlink="">
          <xdr:nvSpPr>
            <xdr:cNvPr id="10306" name="Drop Down 66" hidden="1">
              <a:extLst>
                <a:ext uri="{63B3BB69-23CF-44E3-9099-C40C66FF867C}">
                  <a14:compatExt spid="_x0000_s10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38100</xdr:rowOff>
        </xdr:from>
        <xdr:to>
          <xdr:col>7</xdr:col>
          <xdr:colOff>0</xdr:colOff>
          <xdr:row>16</xdr:row>
          <xdr:rowOff>266700</xdr:rowOff>
        </xdr:to>
        <xdr:sp macro="" textlink="">
          <xdr:nvSpPr>
            <xdr:cNvPr id="10307" name="Drop Down 67" hidden="1">
              <a:extLst>
                <a:ext uri="{63B3BB69-23CF-44E3-9099-C40C66FF867C}">
                  <a14:compatExt spid="_x0000_s10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16</xdr:row>
          <xdr:rowOff>38100</xdr:rowOff>
        </xdr:from>
        <xdr:to>
          <xdr:col>8</xdr:col>
          <xdr:colOff>0</xdr:colOff>
          <xdr:row>16</xdr:row>
          <xdr:rowOff>266700</xdr:rowOff>
        </xdr:to>
        <xdr:sp macro="" textlink="">
          <xdr:nvSpPr>
            <xdr:cNvPr id="10308" name="Drop Down 68" hidden="1">
              <a:extLst>
                <a:ext uri="{63B3BB69-23CF-44E3-9099-C40C66FF867C}">
                  <a14:compatExt spid="_x0000_s10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25</xdr:row>
          <xdr:rowOff>45720</xdr:rowOff>
        </xdr:from>
        <xdr:to>
          <xdr:col>5</xdr:col>
          <xdr:colOff>0</xdr:colOff>
          <xdr:row>25</xdr:row>
          <xdr:rowOff>266700</xdr:rowOff>
        </xdr:to>
        <xdr:sp macro="" textlink="">
          <xdr:nvSpPr>
            <xdr:cNvPr id="10309" name="Drop Down 69" hidden="1">
              <a:extLst>
                <a:ext uri="{63B3BB69-23CF-44E3-9099-C40C66FF867C}">
                  <a14:compatExt spid="_x0000_s10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45720</xdr:rowOff>
        </xdr:from>
        <xdr:to>
          <xdr:col>6</xdr:col>
          <xdr:colOff>0</xdr:colOff>
          <xdr:row>25</xdr:row>
          <xdr:rowOff>266700</xdr:rowOff>
        </xdr:to>
        <xdr:sp macro="" textlink="">
          <xdr:nvSpPr>
            <xdr:cNvPr id="10310" name="Drop Down 70" hidden="1">
              <a:extLst>
                <a:ext uri="{63B3BB69-23CF-44E3-9099-C40C66FF867C}">
                  <a14:compatExt spid="_x0000_s10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45720</xdr:rowOff>
        </xdr:from>
        <xdr:to>
          <xdr:col>7</xdr:col>
          <xdr:colOff>0</xdr:colOff>
          <xdr:row>25</xdr:row>
          <xdr:rowOff>266700</xdr:rowOff>
        </xdr:to>
        <xdr:sp macro="" textlink="">
          <xdr:nvSpPr>
            <xdr:cNvPr id="10311" name="Drop Down 7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45720</xdr:rowOff>
        </xdr:from>
        <xdr:to>
          <xdr:col>8</xdr:col>
          <xdr:colOff>0</xdr:colOff>
          <xdr:row>25</xdr:row>
          <xdr:rowOff>266700</xdr:rowOff>
        </xdr:to>
        <xdr:sp macro="" textlink="">
          <xdr:nvSpPr>
            <xdr:cNvPr id="10312" name="Drop Down 72" hidden="1">
              <a:extLst>
                <a:ext uri="{63B3BB69-23CF-44E3-9099-C40C66FF867C}">
                  <a14:compatExt spid="_x0000_s10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46</xdr:row>
          <xdr:rowOff>7620</xdr:rowOff>
        </xdr:from>
        <xdr:to>
          <xdr:col>5</xdr:col>
          <xdr:colOff>601980</xdr:colOff>
          <xdr:row>47</xdr:row>
          <xdr:rowOff>7620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47</xdr:row>
          <xdr:rowOff>7620</xdr:rowOff>
        </xdr:from>
        <xdr:to>
          <xdr:col>5</xdr:col>
          <xdr:colOff>601980</xdr:colOff>
          <xdr:row>48</xdr:row>
          <xdr:rowOff>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47</xdr:row>
          <xdr:rowOff>7620</xdr:rowOff>
        </xdr:from>
        <xdr:to>
          <xdr:col>6</xdr:col>
          <xdr:colOff>457200</xdr:colOff>
          <xdr:row>48</xdr:row>
          <xdr:rowOff>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48</xdr:row>
          <xdr:rowOff>7620</xdr:rowOff>
        </xdr:from>
        <xdr:to>
          <xdr:col>5</xdr:col>
          <xdr:colOff>601980</xdr:colOff>
          <xdr:row>49</xdr:row>
          <xdr:rowOff>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49</xdr:row>
          <xdr:rowOff>7620</xdr:rowOff>
        </xdr:from>
        <xdr:to>
          <xdr:col>5</xdr:col>
          <xdr:colOff>601980</xdr:colOff>
          <xdr:row>50</xdr:row>
          <xdr:rowOff>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50</xdr:row>
          <xdr:rowOff>7620</xdr:rowOff>
        </xdr:from>
        <xdr:to>
          <xdr:col>5</xdr:col>
          <xdr:colOff>601980</xdr:colOff>
          <xdr:row>51</xdr:row>
          <xdr:rowOff>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51</xdr:row>
          <xdr:rowOff>7620</xdr:rowOff>
        </xdr:from>
        <xdr:to>
          <xdr:col>5</xdr:col>
          <xdr:colOff>601980</xdr:colOff>
          <xdr:row>52</xdr:row>
          <xdr:rowOff>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48</xdr:row>
          <xdr:rowOff>7620</xdr:rowOff>
        </xdr:from>
        <xdr:to>
          <xdr:col>6</xdr:col>
          <xdr:colOff>457200</xdr:colOff>
          <xdr:row>49</xdr:row>
          <xdr:rowOff>0</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49</xdr:row>
          <xdr:rowOff>7620</xdr:rowOff>
        </xdr:from>
        <xdr:to>
          <xdr:col>6</xdr:col>
          <xdr:colOff>457200</xdr:colOff>
          <xdr:row>50</xdr:row>
          <xdr:rowOff>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52</xdr:row>
          <xdr:rowOff>7620</xdr:rowOff>
        </xdr:from>
        <xdr:to>
          <xdr:col>5</xdr:col>
          <xdr:colOff>601980</xdr:colOff>
          <xdr:row>53</xdr:row>
          <xdr:rowOff>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46</xdr:row>
          <xdr:rowOff>7620</xdr:rowOff>
        </xdr:from>
        <xdr:to>
          <xdr:col>6</xdr:col>
          <xdr:colOff>457200</xdr:colOff>
          <xdr:row>47</xdr:row>
          <xdr:rowOff>7620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50</xdr:row>
          <xdr:rowOff>7620</xdr:rowOff>
        </xdr:from>
        <xdr:to>
          <xdr:col>6</xdr:col>
          <xdr:colOff>457200</xdr:colOff>
          <xdr:row>51</xdr:row>
          <xdr:rowOff>0</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51</xdr:row>
          <xdr:rowOff>7620</xdr:rowOff>
        </xdr:from>
        <xdr:to>
          <xdr:col>6</xdr:col>
          <xdr:colOff>457200</xdr:colOff>
          <xdr:row>52</xdr:row>
          <xdr:rowOff>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52</xdr:row>
          <xdr:rowOff>7620</xdr:rowOff>
        </xdr:from>
        <xdr:to>
          <xdr:col>6</xdr:col>
          <xdr:colOff>457200</xdr:colOff>
          <xdr:row>53</xdr:row>
          <xdr:rowOff>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45720</xdr:rowOff>
        </xdr:from>
        <xdr:to>
          <xdr:col>5</xdr:col>
          <xdr:colOff>0</xdr:colOff>
          <xdr:row>29</xdr:row>
          <xdr:rowOff>266700</xdr:rowOff>
        </xdr:to>
        <xdr:sp macro="" textlink="">
          <xdr:nvSpPr>
            <xdr:cNvPr id="10327" name="Drop Down 87" hidden="1">
              <a:extLst>
                <a:ext uri="{63B3BB69-23CF-44E3-9099-C40C66FF867C}">
                  <a14:compatExt spid="_x0000_s10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45720</xdr:rowOff>
        </xdr:from>
        <xdr:to>
          <xdr:col>6</xdr:col>
          <xdr:colOff>0</xdr:colOff>
          <xdr:row>29</xdr:row>
          <xdr:rowOff>266700</xdr:rowOff>
        </xdr:to>
        <xdr:sp macro="" textlink="">
          <xdr:nvSpPr>
            <xdr:cNvPr id="10328" name="Drop Down 88" hidden="1">
              <a:extLst>
                <a:ext uri="{63B3BB69-23CF-44E3-9099-C40C66FF867C}">
                  <a14:compatExt spid="_x0000_s10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45720</xdr:rowOff>
        </xdr:from>
        <xdr:to>
          <xdr:col>7</xdr:col>
          <xdr:colOff>0</xdr:colOff>
          <xdr:row>29</xdr:row>
          <xdr:rowOff>266700</xdr:rowOff>
        </xdr:to>
        <xdr:sp macro="" textlink="">
          <xdr:nvSpPr>
            <xdr:cNvPr id="10329" name="Drop Down 89" hidden="1">
              <a:extLst>
                <a:ext uri="{63B3BB69-23CF-44E3-9099-C40C66FF867C}">
                  <a14:compatExt spid="_x0000_s10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45720</xdr:rowOff>
        </xdr:from>
        <xdr:to>
          <xdr:col>8</xdr:col>
          <xdr:colOff>0</xdr:colOff>
          <xdr:row>29</xdr:row>
          <xdr:rowOff>266700</xdr:rowOff>
        </xdr:to>
        <xdr:sp macro="" textlink="">
          <xdr:nvSpPr>
            <xdr:cNvPr id="10330" name="Drop Down 90" hidden="1">
              <a:extLst>
                <a:ext uri="{63B3BB69-23CF-44E3-9099-C40C66FF867C}">
                  <a14:compatExt spid="_x0000_s10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30</xdr:row>
          <xdr:rowOff>45720</xdr:rowOff>
        </xdr:from>
        <xdr:to>
          <xdr:col>5</xdr:col>
          <xdr:colOff>0</xdr:colOff>
          <xdr:row>30</xdr:row>
          <xdr:rowOff>266700</xdr:rowOff>
        </xdr:to>
        <xdr:sp macro="" textlink="">
          <xdr:nvSpPr>
            <xdr:cNvPr id="10331" name="Drop Down 91" hidden="1">
              <a:extLst>
                <a:ext uri="{63B3BB69-23CF-44E3-9099-C40C66FF867C}">
                  <a14:compatExt spid="_x0000_s10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30</xdr:row>
          <xdr:rowOff>45720</xdr:rowOff>
        </xdr:from>
        <xdr:to>
          <xdr:col>6</xdr:col>
          <xdr:colOff>0</xdr:colOff>
          <xdr:row>30</xdr:row>
          <xdr:rowOff>266700</xdr:rowOff>
        </xdr:to>
        <xdr:sp macro="" textlink="">
          <xdr:nvSpPr>
            <xdr:cNvPr id="10332" name="Drop Down 92" hidden="1">
              <a:extLst>
                <a:ext uri="{63B3BB69-23CF-44E3-9099-C40C66FF867C}">
                  <a14:compatExt spid="_x0000_s10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45720</xdr:rowOff>
        </xdr:from>
        <xdr:to>
          <xdr:col>7</xdr:col>
          <xdr:colOff>0</xdr:colOff>
          <xdr:row>30</xdr:row>
          <xdr:rowOff>266700</xdr:rowOff>
        </xdr:to>
        <xdr:sp macro="" textlink="">
          <xdr:nvSpPr>
            <xdr:cNvPr id="10333" name="Drop Down 93" hidden="1">
              <a:extLst>
                <a:ext uri="{63B3BB69-23CF-44E3-9099-C40C66FF867C}">
                  <a14:compatExt spid="_x0000_s10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45720</xdr:rowOff>
        </xdr:from>
        <xdr:to>
          <xdr:col>8</xdr:col>
          <xdr:colOff>0</xdr:colOff>
          <xdr:row>30</xdr:row>
          <xdr:rowOff>266700</xdr:rowOff>
        </xdr:to>
        <xdr:sp macro="" textlink="">
          <xdr:nvSpPr>
            <xdr:cNvPr id="10334" name="Drop Down 94" hidden="1">
              <a:extLst>
                <a:ext uri="{63B3BB69-23CF-44E3-9099-C40C66FF867C}">
                  <a14:compatExt spid="_x0000_s10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38100</xdr:rowOff>
        </xdr:from>
        <xdr:to>
          <xdr:col>5</xdr:col>
          <xdr:colOff>0</xdr:colOff>
          <xdr:row>17</xdr:row>
          <xdr:rowOff>266700</xdr:rowOff>
        </xdr:to>
        <xdr:sp macro="" textlink="">
          <xdr:nvSpPr>
            <xdr:cNvPr id="10376" name="Drop Down 136" hidden="1">
              <a:extLst>
                <a:ext uri="{63B3BB69-23CF-44E3-9099-C40C66FF867C}">
                  <a14:compatExt spid="_x0000_s10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38100</xdr:rowOff>
        </xdr:from>
        <xdr:to>
          <xdr:col>8</xdr:col>
          <xdr:colOff>0</xdr:colOff>
          <xdr:row>17</xdr:row>
          <xdr:rowOff>266700</xdr:rowOff>
        </xdr:to>
        <xdr:sp macro="" textlink="">
          <xdr:nvSpPr>
            <xdr:cNvPr id="10377" name="Drop Down 137" hidden="1">
              <a:extLst>
                <a:ext uri="{63B3BB69-23CF-44E3-9099-C40C66FF867C}">
                  <a14:compatExt spid="_x0000_s10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xdr:row>
          <xdr:rowOff>38100</xdr:rowOff>
        </xdr:from>
        <xdr:to>
          <xdr:col>7</xdr:col>
          <xdr:colOff>0</xdr:colOff>
          <xdr:row>17</xdr:row>
          <xdr:rowOff>266700</xdr:rowOff>
        </xdr:to>
        <xdr:sp macro="" textlink="">
          <xdr:nvSpPr>
            <xdr:cNvPr id="10378" name="Drop Down 138" hidden="1">
              <a:extLst>
                <a:ext uri="{63B3BB69-23CF-44E3-9099-C40C66FF867C}">
                  <a14:compatExt spid="_x0000_s10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38100</xdr:rowOff>
        </xdr:from>
        <xdr:to>
          <xdr:col>6</xdr:col>
          <xdr:colOff>0</xdr:colOff>
          <xdr:row>17</xdr:row>
          <xdr:rowOff>266700</xdr:rowOff>
        </xdr:to>
        <xdr:sp macro="" textlink="">
          <xdr:nvSpPr>
            <xdr:cNvPr id="10379" name="Drop Down 139" hidden="1">
              <a:extLst>
                <a:ext uri="{63B3BB69-23CF-44E3-9099-C40C66FF867C}">
                  <a14:compatExt spid="_x0000_s10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45</xdr:row>
          <xdr:rowOff>7620</xdr:rowOff>
        </xdr:from>
        <xdr:to>
          <xdr:col>5</xdr:col>
          <xdr:colOff>601980</xdr:colOff>
          <xdr:row>46</xdr:row>
          <xdr:rowOff>7620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45</xdr:row>
          <xdr:rowOff>7620</xdr:rowOff>
        </xdr:from>
        <xdr:to>
          <xdr:col>6</xdr:col>
          <xdr:colOff>457200</xdr:colOff>
          <xdr:row>46</xdr:row>
          <xdr:rowOff>7620</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xdr:row>
          <xdr:rowOff>38100</xdr:rowOff>
        </xdr:from>
        <xdr:to>
          <xdr:col>5</xdr:col>
          <xdr:colOff>0</xdr:colOff>
          <xdr:row>12</xdr:row>
          <xdr:rowOff>266700</xdr:rowOff>
        </xdr:to>
        <xdr:sp macro="" textlink="">
          <xdr:nvSpPr>
            <xdr:cNvPr id="10396" name="Drop Down 156" hidden="1">
              <a:extLst>
                <a:ext uri="{63B3BB69-23CF-44E3-9099-C40C66FF867C}">
                  <a14:compatExt spid="_x0000_s10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38100</xdr:rowOff>
        </xdr:from>
        <xdr:to>
          <xdr:col>6</xdr:col>
          <xdr:colOff>0</xdr:colOff>
          <xdr:row>12</xdr:row>
          <xdr:rowOff>266700</xdr:rowOff>
        </xdr:to>
        <xdr:sp macro="" textlink="">
          <xdr:nvSpPr>
            <xdr:cNvPr id="10397" name="Drop Down 157" hidden="1">
              <a:extLst>
                <a:ext uri="{63B3BB69-23CF-44E3-9099-C40C66FF867C}">
                  <a14:compatExt spid="_x0000_s10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xdr:row>
          <xdr:rowOff>38100</xdr:rowOff>
        </xdr:from>
        <xdr:to>
          <xdr:col>7</xdr:col>
          <xdr:colOff>0</xdr:colOff>
          <xdr:row>12</xdr:row>
          <xdr:rowOff>266700</xdr:rowOff>
        </xdr:to>
        <xdr:sp macro="" textlink="">
          <xdr:nvSpPr>
            <xdr:cNvPr id="10398" name="Drop Down 158" hidden="1">
              <a:extLst>
                <a:ext uri="{63B3BB69-23CF-44E3-9099-C40C66FF867C}">
                  <a14:compatExt spid="_x0000_s10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12</xdr:row>
          <xdr:rowOff>38100</xdr:rowOff>
        </xdr:from>
        <xdr:to>
          <xdr:col>8</xdr:col>
          <xdr:colOff>0</xdr:colOff>
          <xdr:row>12</xdr:row>
          <xdr:rowOff>266700</xdr:rowOff>
        </xdr:to>
        <xdr:sp macro="" textlink="">
          <xdr:nvSpPr>
            <xdr:cNvPr id="10399" name="Drop Down 159" hidden="1">
              <a:extLst>
                <a:ext uri="{63B3BB69-23CF-44E3-9099-C40C66FF867C}">
                  <a14:compatExt spid="_x0000_s10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38100</xdr:rowOff>
        </xdr:from>
        <xdr:to>
          <xdr:col>5</xdr:col>
          <xdr:colOff>0</xdr:colOff>
          <xdr:row>34</xdr:row>
          <xdr:rowOff>259080</xdr:rowOff>
        </xdr:to>
        <xdr:sp macro="" textlink="">
          <xdr:nvSpPr>
            <xdr:cNvPr id="10408" name="Drop Down 168" hidden="1">
              <a:extLst>
                <a:ext uri="{63B3BB69-23CF-44E3-9099-C40C66FF867C}">
                  <a14:compatExt spid="_x0000_s10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34</xdr:row>
          <xdr:rowOff>38100</xdr:rowOff>
        </xdr:from>
        <xdr:to>
          <xdr:col>6</xdr:col>
          <xdr:colOff>0</xdr:colOff>
          <xdr:row>34</xdr:row>
          <xdr:rowOff>259080</xdr:rowOff>
        </xdr:to>
        <xdr:sp macro="" textlink="">
          <xdr:nvSpPr>
            <xdr:cNvPr id="10409" name="Drop Down 169" hidden="1">
              <a:extLst>
                <a:ext uri="{63B3BB69-23CF-44E3-9099-C40C66FF867C}">
                  <a14:compatExt spid="_x0000_s10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38100</xdr:rowOff>
        </xdr:from>
        <xdr:to>
          <xdr:col>7</xdr:col>
          <xdr:colOff>0</xdr:colOff>
          <xdr:row>34</xdr:row>
          <xdr:rowOff>259080</xdr:rowOff>
        </xdr:to>
        <xdr:sp macro="" textlink="">
          <xdr:nvSpPr>
            <xdr:cNvPr id="10410" name="Drop Down 170" hidden="1">
              <a:extLst>
                <a:ext uri="{63B3BB69-23CF-44E3-9099-C40C66FF867C}">
                  <a14:compatExt spid="_x0000_s10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34</xdr:row>
          <xdr:rowOff>38100</xdr:rowOff>
        </xdr:from>
        <xdr:to>
          <xdr:col>8</xdr:col>
          <xdr:colOff>0</xdr:colOff>
          <xdr:row>34</xdr:row>
          <xdr:rowOff>259080</xdr:rowOff>
        </xdr:to>
        <xdr:sp macro="" textlink="">
          <xdr:nvSpPr>
            <xdr:cNvPr id="10411" name="Drop Down 171" hidden="1">
              <a:extLst>
                <a:ext uri="{63B3BB69-23CF-44E3-9099-C40C66FF867C}">
                  <a14:compatExt spid="_x0000_s10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52</xdr:row>
          <xdr:rowOff>7620</xdr:rowOff>
        </xdr:from>
        <xdr:to>
          <xdr:col>5</xdr:col>
          <xdr:colOff>601980</xdr:colOff>
          <xdr:row>53</xdr:row>
          <xdr:rowOff>0</xdr:rowOff>
        </xdr:to>
        <xdr:sp macro="" textlink="">
          <xdr:nvSpPr>
            <xdr:cNvPr id="10432" name="Check Box 192" hidden="1">
              <a:extLst>
                <a:ext uri="{63B3BB69-23CF-44E3-9099-C40C66FF867C}">
                  <a14:compatExt spid="_x0000_s1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52</xdr:row>
          <xdr:rowOff>7620</xdr:rowOff>
        </xdr:from>
        <xdr:to>
          <xdr:col>6</xdr:col>
          <xdr:colOff>457200</xdr:colOff>
          <xdr:row>53</xdr:row>
          <xdr:rowOff>0</xdr:rowOff>
        </xdr:to>
        <xdr:sp macro="" textlink="">
          <xdr:nvSpPr>
            <xdr:cNvPr id="10433" name="Check Box 193" hidden="1">
              <a:extLst>
                <a:ext uri="{63B3BB69-23CF-44E3-9099-C40C66FF867C}">
                  <a14:compatExt spid="_x0000_s1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9</xdr:row>
          <xdr:rowOff>0</xdr:rowOff>
        </xdr:from>
        <xdr:to>
          <xdr:col>10</xdr:col>
          <xdr:colOff>0</xdr:colOff>
          <xdr:row>10</xdr:row>
          <xdr:rowOff>0</xdr:rowOff>
        </xdr:to>
        <xdr:sp macro="" textlink="">
          <xdr:nvSpPr>
            <xdr:cNvPr id="19299" name="Drop Down 867" hidden="1">
              <a:extLst>
                <a:ext uri="{63B3BB69-23CF-44E3-9099-C40C66FF867C}">
                  <a14:compatExt spid="_x0000_s19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15</xdr:row>
          <xdr:rowOff>106680</xdr:rowOff>
        </xdr:from>
        <xdr:to>
          <xdr:col>10</xdr:col>
          <xdr:colOff>0</xdr:colOff>
          <xdr:row>17</xdr:row>
          <xdr:rowOff>0</xdr:rowOff>
        </xdr:to>
        <xdr:sp macro="" textlink="">
          <xdr:nvSpPr>
            <xdr:cNvPr id="19300" name="Drop Down 868" hidden="1">
              <a:extLst>
                <a:ext uri="{63B3BB69-23CF-44E3-9099-C40C66FF867C}">
                  <a14:compatExt spid="_x0000_s19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21</xdr:row>
          <xdr:rowOff>0</xdr:rowOff>
        </xdr:from>
        <xdr:to>
          <xdr:col>10</xdr:col>
          <xdr:colOff>0</xdr:colOff>
          <xdr:row>22</xdr:row>
          <xdr:rowOff>0</xdr:rowOff>
        </xdr:to>
        <xdr:sp macro="" textlink="">
          <xdr:nvSpPr>
            <xdr:cNvPr id="19301" name="Drop Down 869" hidden="1">
              <a:extLst>
                <a:ext uri="{63B3BB69-23CF-44E3-9099-C40C66FF867C}">
                  <a14:compatExt spid="_x0000_s19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0</xdr:rowOff>
        </xdr:from>
        <xdr:to>
          <xdr:col>10</xdr:col>
          <xdr:colOff>0</xdr:colOff>
          <xdr:row>26</xdr:row>
          <xdr:rowOff>0</xdr:rowOff>
        </xdr:to>
        <xdr:sp macro="" textlink="">
          <xdr:nvSpPr>
            <xdr:cNvPr id="19302" name="Drop Down 870" hidden="1">
              <a:extLst>
                <a:ext uri="{63B3BB69-23CF-44E3-9099-C40C66FF867C}">
                  <a14:compatExt spid="_x0000_s19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0</xdr:rowOff>
        </xdr:from>
        <xdr:to>
          <xdr:col>10</xdr:col>
          <xdr:colOff>0</xdr:colOff>
          <xdr:row>27</xdr:row>
          <xdr:rowOff>0</xdr:rowOff>
        </xdr:to>
        <xdr:sp macro="" textlink="">
          <xdr:nvSpPr>
            <xdr:cNvPr id="19303" name="Drop Down 871" hidden="1">
              <a:extLst>
                <a:ext uri="{63B3BB69-23CF-44E3-9099-C40C66FF867C}">
                  <a14:compatExt spid="_x0000_s19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0</xdr:rowOff>
        </xdr:from>
        <xdr:to>
          <xdr:col>10</xdr:col>
          <xdr:colOff>0</xdr:colOff>
          <xdr:row>28</xdr:row>
          <xdr:rowOff>0</xdr:rowOff>
        </xdr:to>
        <xdr:sp macro="" textlink="">
          <xdr:nvSpPr>
            <xdr:cNvPr id="19304" name="Drop Down 872" hidden="1">
              <a:extLst>
                <a:ext uri="{63B3BB69-23CF-44E3-9099-C40C66FF867C}">
                  <a14:compatExt spid="_x0000_s19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50</xdr:row>
          <xdr:rowOff>0</xdr:rowOff>
        </xdr:from>
        <xdr:to>
          <xdr:col>10</xdr:col>
          <xdr:colOff>0</xdr:colOff>
          <xdr:row>51</xdr:row>
          <xdr:rowOff>0</xdr:rowOff>
        </xdr:to>
        <xdr:sp macro="" textlink="">
          <xdr:nvSpPr>
            <xdr:cNvPr id="19305" name="Drop Down 873" hidden="1">
              <a:extLst>
                <a:ext uri="{63B3BB69-23CF-44E3-9099-C40C66FF867C}">
                  <a14:compatExt spid="_x0000_s19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56</xdr:row>
          <xdr:rowOff>106680</xdr:rowOff>
        </xdr:from>
        <xdr:to>
          <xdr:col>10</xdr:col>
          <xdr:colOff>0</xdr:colOff>
          <xdr:row>58</xdr:row>
          <xdr:rowOff>0</xdr:rowOff>
        </xdr:to>
        <xdr:sp macro="" textlink="">
          <xdr:nvSpPr>
            <xdr:cNvPr id="19306" name="Drop Down 874" hidden="1">
              <a:extLst>
                <a:ext uri="{63B3BB69-23CF-44E3-9099-C40C66FF867C}">
                  <a14:compatExt spid="_x0000_s19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62</xdr:row>
          <xdr:rowOff>0</xdr:rowOff>
        </xdr:from>
        <xdr:to>
          <xdr:col>10</xdr:col>
          <xdr:colOff>0</xdr:colOff>
          <xdr:row>63</xdr:row>
          <xdr:rowOff>0</xdr:rowOff>
        </xdr:to>
        <xdr:sp macro="" textlink="">
          <xdr:nvSpPr>
            <xdr:cNvPr id="19307" name="Drop Down 875" hidden="1">
              <a:extLst>
                <a:ext uri="{63B3BB69-23CF-44E3-9099-C40C66FF867C}">
                  <a14:compatExt spid="_x0000_s19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66</xdr:row>
          <xdr:rowOff>0</xdr:rowOff>
        </xdr:from>
        <xdr:to>
          <xdr:col>10</xdr:col>
          <xdr:colOff>0</xdr:colOff>
          <xdr:row>67</xdr:row>
          <xdr:rowOff>0</xdr:rowOff>
        </xdr:to>
        <xdr:sp macro="" textlink="">
          <xdr:nvSpPr>
            <xdr:cNvPr id="19308" name="Drop Down 876" hidden="1">
              <a:extLst>
                <a:ext uri="{63B3BB69-23CF-44E3-9099-C40C66FF867C}">
                  <a14:compatExt spid="_x0000_s19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67</xdr:row>
          <xdr:rowOff>0</xdr:rowOff>
        </xdr:from>
        <xdr:to>
          <xdr:col>10</xdr:col>
          <xdr:colOff>0</xdr:colOff>
          <xdr:row>68</xdr:row>
          <xdr:rowOff>0</xdr:rowOff>
        </xdr:to>
        <xdr:sp macro="" textlink="">
          <xdr:nvSpPr>
            <xdr:cNvPr id="19309" name="Drop Down 877" hidden="1">
              <a:extLst>
                <a:ext uri="{63B3BB69-23CF-44E3-9099-C40C66FF867C}">
                  <a14:compatExt spid="_x0000_s19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68</xdr:row>
          <xdr:rowOff>0</xdr:rowOff>
        </xdr:from>
        <xdr:to>
          <xdr:col>10</xdr:col>
          <xdr:colOff>0</xdr:colOff>
          <xdr:row>69</xdr:row>
          <xdr:rowOff>0</xdr:rowOff>
        </xdr:to>
        <xdr:sp macro="" textlink="">
          <xdr:nvSpPr>
            <xdr:cNvPr id="19310" name="Drop Down 878" hidden="1">
              <a:extLst>
                <a:ext uri="{63B3BB69-23CF-44E3-9099-C40C66FF867C}">
                  <a14:compatExt spid="_x0000_s19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91</xdr:row>
          <xdr:rowOff>0</xdr:rowOff>
        </xdr:from>
        <xdr:to>
          <xdr:col>10</xdr:col>
          <xdr:colOff>0</xdr:colOff>
          <xdr:row>92</xdr:row>
          <xdr:rowOff>0</xdr:rowOff>
        </xdr:to>
        <xdr:sp macro="" textlink="">
          <xdr:nvSpPr>
            <xdr:cNvPr id="19311" name="Drop Down 879" hidden="1">
              <a:extLst>
                <a:ext uri="{63B3BB69-23CF-44E3-9099-C40C66FF867C}">
                  <a14:compatExt spid="_x0000_s19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97</xdr:row>
          <xdr:rowOff>106680</xdr:rowOff>
        </xdr:from>
        <xdr:to>
          <xdr:col>10</xdr:col>
          <xdr:colOff>0</xdr:colOff>
          <xdr:row>99</xdr:row>
          <xdr:rowOff>0</xdr:rowOff>
        </xdr:to>
        <xdr:sp macro="" textlink="">
          <xdr:nvSpPr>
            <xdr:cNvPr id="19312" name="Drop Down 880" hidden="1">
              <a:extLst>
                <a:ext uri="{63B3BB69-23CF-44E3-9099-C40C66FF867C}">
                  <a14:compatExt spid="_x0000_s19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103</xdr:row>
          <xdr:rowOff>0</xdr:rowOff>
        </xdr:from>
        <xdr:to>
          <xdr:col>10</xdr:col>
          <xdr:colOff>0</xdr:colOff>
          <xdr:row>104</xdr:row>
          <xdr:rowOff>30480</xdr:rowOff>
        </xdr:to>
        <xdr:sp macro="" textlink="">
          <xdr:nvSpPr>
            <xdr:cNvPr id="19313" name="Drop Down 881" hidden="1">
              <a:extLst>
                <a:ext uri="{63B3BB69-23CF-44E3-9099-C40C66FF867C}">
                  <a14:compatExt spid="_x0000_s19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107</xdr:row>
          <xdr:rowOff>0</xdr:rowOff>
        </xdr:from>
        <xdr:to>
          <xdr:col>10</xdr:col>
          <xdr:colOff>0</xdr:colOff>
          <xdr:row>108</xdr:row>
          <xdr:rowOff>0</xdr:rowOff>
        </xdr:to>
        <xdr:sp macro="" textlink="">
          <xdr:nvSpPr>
            <xdr:cNvPr id="19314" name="Drop Down 882" hidden="1">
              <a:extLst>
                <a:ext uri="{63B3BB69-23CF-44E3-9099-C40C66FF867C}">
                  <a14:compatExt spid="_x0000_s19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108</xdr:row>
          <xdr:rowOff>0</xdr:rowOff>
        </xdr:from>
        <xdr:to>
          <xdr:col>10</xdr:col>
          <xdr:colOff>0</xdr:colOff>
          <xdr:row>109</xdr:row>
          <xdr:rowOff>0</xdr:rowOff>
        </xdr:to>
        <xdr:sp macro="" textlink="">
          <xdr:nvSpPr>
            <xdr:cNvPr id="19315" name="Drop Down 883" hidden="1">
              <a:extLst>
                <a:ext uri="{63B3BB69-23CF-44E3-9099-C40C66FF867C}">
                  <a14:compatExt spid="_x0000_s19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109</xdr:row>
          <xdr:rowOff>0</xdr:rowOff>
        </xdr:from>
        <xdr:to>
          <xdr:col>10</xdr:col>
          <xdr:colOff>0</xdr:colOff>
          <xdr:row>110</xdr:row>
          <xdr:rowOff>0</xdr:rowOff>
        </xdr:to>
        <xdr:sp macro="" textlink="">
          <xdr:nvSpPr>
            <xdr:cNvPr id="19316" name="Drop Down 884" hidden="1">
              <a:extLst>
                <a:ext uri="{63B3BB69-23CF-44E3-9099-C40C66FF867C}">
                  <a14:compatExt spid="_x0000_s19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132</xdr:row>
          <xdr:rowOff>0</xdr:rowOff>
        </xdr:from>
        <xdr:to>
          <xdr:col>10</xdr:col>
          <xdr:colOff>0</xdr:colOff>
          <xdr:row>133</xdr:row>
          <xdr:rowOff>0</xdr:rowOff>
        </xdr:to>
        <xdr:sp macro="" textlink="">
          <xdr:nvSpPr>
            <xdr:cNvPr id="19317" name="Drop Down 885" hidden="1">
              <a:extLst>
                <a:ext uri="{63B3BB69-23CF-44E3-9099-C40C66FF867C}">
                  <a14:compatExt spid="_x0000_s19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138</xdr:row>
          <xdr:rowOff>106680</xdr:rowOff>
        </xdr:from>
        <xdr:to>
          <xdr:col>10</xdr:col>
          <xdr:colOff>0</xdr:colOff>
          <xdr:row>140</xdr:row>
          <xdr:rowOff>0</xdr:rowOff>
        </xdr:to>
        <xdr:sp macro="" textlink="">
          <xdr:nvSpPr>
            <xdr:cNvPr id="19318" name="Drop Down 886" hidden="1">
              <a:extLst>
                <a:ext uri="{63B3BB69-23CF-44E3-9099-C40C66FF867C}">
                  <a14:compatExt spid="_x0000_s19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144</xdr:row>
          <xdr:rowOff>0</xdr:rowOff>
        </xdr:from>
        <xdr:to>
          <xdr:col>10</xdr:col>
          <xdr:colOff>0</xdr:colOff>
          <xdr:row>145</xdr:row>
          <xdr:rowOff>30480</xdr:rowOff>
        </xdr:to>
        <xdr:sp macro="" textlink="">
          <xdr:nvSpPr>
            <xdr:cNvPr id="19319" name="Drop Down 887" hidden="1">
              <a:extLst>
                <a:ext uri="{63B3BB69-23CF-44E3-9099-C40C66FF867C}">
                  <a14:compatExt spid="_x0000_s19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148</xdr:row>
          <xdr:rowOff>0</xdr:rowOff>
        </xdr:from>
        <xdr:to>
          <xdr:col>10</xdr:col>
          <xdr:colOff>0</xdr:colOff>
          <xdr:row>149</xdr:row>
          <xdr:rowOff>0</xdr:rowOff>
        </xdr:to>
        <xdr:sp macro="" textlink="">
          <xdr:nvSpPr>
            <xdr:cNvPr id="19320" name="Drop Down 888" hidden="1">
              <a:extLst>
                <a:ext uri="{63B3BB69-23CF-44E3-9099-C40C66FF867C}">
                  <a14:compatExt spid="_x0000_s19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149</xdr:row>
          <xdr:rowOff>0</xdr:rowOff>
        </xdr:from>
        <xdr:to>
          <xdr:col>10</xdr:col>
          <xdr:colOff>0</xdr:colOff>
          <xdr:row>150</xdr:row>
          <xdr:rowOff>0</xdr:rowOff>
        </xdr:to>
        <xdr:sp macro="" textlink="">
          <xdr:nvSpPr>
            <xdr:cNvPr id="19321" name="Drop Down 889" hidden="1">
              <a:extLst>
                <a:ext uri="{63B3BB69-23CF-44E3-9099-C40C66FF867C}">
                  <a14:compatExt spid="_x0000_s19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150</xdr:row>
          <xdr:rowOff>0</xdr:rowOff>
        </xdr:from>
        <xdr:to>
          <xdr:col>10</xdr:col>
          <xdr:colOff>0</xdr:colOff>
          <xdr:row>151</xdr:row>
          <xdr:rowOff>0</xdr:rowOff>
        </xdr:to>
        <xdr:sp macro="" textlink="">
          <xdr:nvSpPr>
            <xdr:cNvPr id="19322" name="Drop Down 890" hidden="1">
              <a:extLst>
                <a:ext uri="{63B3BB69-23CF-44E3-9099-C40C66FF867C}">
                  <a14:compatExt spid="_x0000_s19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1851660</xdr:colOff>
          <xdr:row>6</xdr:row>
          <xdr:rowOff>0</xdr:rowOff>
        </xdr:from>
        <xdr:to>
          <xdr:col>9</xdr:col>
          <xdr:colOff>0</xdr:colOff>
          <xdr:row>7</xdr:row>
          <xdr:rowOff>0</xdr:rowOff>
        </xdr:to>
        <xdr:sp macro="" textlink="">
          <xdr:nvSpPr>
            <xdr:cNvPr id="6145" name="Drop Down 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1851660</xdr:colOff>
          <xdr:row>20</xdr:row>
          <xdr:rowOff>0</xdr:rowOff>
        </xdr:from>
        <xdr:to>
          <xdr:col>9</xdr:col>
          <xdr:colOff>0</xdr:colOff>
          <xdr:row>21</xdr:row>
          <xdr:rowOff>0</xdr:rowOff>
        </xdr:to>
        <xdr:sp macro="" textlink="">
          <xdr:nvSpPr>
            <xdr:cNvPr id="6148" name="Drop Down 4"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1851660</xdr:colOff>
          <xdr:row>34</xdr:row>
          <xdr:rowOff>0</xdr:rowOff>
        </xdr:from>
        <xdr:to>
          <xdr:col>9</xdr:col>
          <xdr:colOff>0</xdr:colOff>
          <xdr:row>35</xdr:row>
          <xdr:rowOff>0</xdr:rowOff>
        </xdr:to>
        <xdr:sp macro="" textlink="">
          <xdr:nvSpPr>
            <xdr:cNvPr id="6149" name="Drop Down 5"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1851660</xdr:colOff>
          <xdr:row>48</xdr:row>
          <xdr:rowOff>0</xdr:rowOff>
        </xdr:from>
        <xdr:to>
          <xdr:col>9</xdr:col>
          <xdr:colOff>0</xdr:colOff>
          <xdr:row>49</xdr:row>
          <xdr:rowOff>0</xdr:rowOff>
        </xdr:to>
        <xdr:sp macro="" textlink="">
          <xdr:nvSpPr>
            <xdr:cNvPr id="6152" name="Drop Down 8" hidden="1">
              <a:extLst>
                <a:ext uri="{63B3BB69-23CF-44E3-9099-C40C66FF867C}">
                  <a14:compatExt spid="_x0000_s6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350520</xdr:colOff>
          <xdr:row>47</xdr:row>
          <xdr:rowOff>137160</xdr:rowOff>
        </xdr:from>
        <xdr:to>
          <xdr:col>5</xdr:col>
          <xdr:colOff>594360</xdr:colOff>
          <xdr:row>49</xdr:row>
          <xdr:rowOff>22860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37</xdr:row>
          <xdr:rowOff>121920</xdr:rowOff>
        </xdr:from>
        <xdr:to>
          <xdr:col>4</xdr:col>
          <xdr:colOff>670560</xdr:colOff>
          <xdr:row>39</xdr:row>
          <xdr:rowOff>7620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38</xdr:row>
          <xdr:rowOff>121920</xdr:rowOff>
        </xdr:from>
        <xdr:to>
          <xdr:col>4</xdr:col>
          <xdr:colOff>670560</xdr:colOff>
          <xdr:row>40</xdr:row>
          <xdr:rowOff>7620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39</xdr:row>
          <xdr:rowOff>121920</xdr:rowOff>
        </xdr:from>
        <xdr:to>
          <xdr:col>4</xdr:col>
          <xdr:colOff>670560</xdr:colOff>
          <xdr:row>41</xdr:row>
          <xdr:rowOff>7620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40</xdr:row>
          <xdr:rowOff>121920</xdr:rowOff>
        </xdr:from>
        <xdr:to>
          <xdr:col>4</xdr:col>
          <xdr:colOff>670560</xdr:colOff>
          <xdr:row>42</xdr:row>
          <xdr:rowOff>7620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41</xdr:row>
          <xdr:rowOff>121920</xdr:rowOff>
        </xdr:from>
        <xdr:to>
          <xdr:col>4</xdr:col>
          <xdr:colOff>670560</xdr:colOff>
          <xdr:row>43</xdr:row>
          <xdr:rowOff>7620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42</xdr:row>
          <xdr:rowOff>121920</xdr:rowOff>
        </xdr:from>
        <xdr:to>
          <xdr:col>4</xdr:col>
          <xdr:colOff>670560</xdr:colOff>
          <xdr:row>44</xdr:row>
          <xdr:rowOff>7620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43</xdr:row>
          <xdr:rowOff>121920</xdr:rowOff>
        </xdr:from>
        <xdr:to>
          <xdr:col>4</xdr:col>
          <xdr:colOff>670560</xdr:colOff>
          <xdr:row>45</xdr:row>
          <xdr:rowOff>7620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44</xdr:row>
          <xdr:rowOff>121920</xdr:rowOff>
        </xdr:from>
        <xdr:to>
          <xdr:col>4</xdr:col>
          <xdr:colOff>670560</xdr:colOff>
          <xdr:row>46</xdr:row>
          <xdr:rowOff>7620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45</xdr:row>
          <xdr:rowOff>121920</xdr:rowOff>
        </xdr:from>
        <xdr:to>
          <xdr:col>4</xdr:col>
          <xdr:colOff>670560</xdr:colOff>
          <xdr:row>47</xdr:row>
          <xdr:rowOff>7620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49</xdr:row>
          <xdr:rowOff>121920</xdr:rowOff>
        </xdr:from>
        <xdr:to>
          <xdr:col>1</xdr:col>
          <xdr:colOff>449580</xdr:colOff>
          <xdr:row>51</xdr:row>
          <xdr:rowOff>45720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50</xdr:row>
          <xdr:rowOff>121920</xdr:rowOff>
        </xdr:from>
        <xdr:to>
          <xdr:col>1</xdr:col>
          <xdr:colOff>449580</xdr:colOff>
          <xdr:row>52</xdr:row>
          <xdr:rowOff>45720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51</xdr:row>
          <xdr:rowOff>121920</xdr:rowOff>
        </xdr:from>
        <xdr:to>
          <xdr:col>1</xdr:col>
          <xdr:colOff>449580</xdr:colOff>
          <xdr:row>53</xdr:row>
          <xdr:rowOff>45720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52</xdr:row>
          <xdr:rowOff>121920</xdr:rowOff>
        </xdr:from>
        <xdr:to>
          <xdr:col>1</xdr:col>
          <xdr:colOff>449580</xdr:colOff>
          <xdr:row>54</xdr:row>
          <xdr:rowOff>45720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53</xdr:row>
          <xdr:rowOff>121920</xdr:rowOff>
        </xdr:from>
        <xdr:to>
          <xdr:col>1</xdr:col>
          <xdr:colOff>449580</xdr:colOff>
          <xdr:row>55</xdr:row>
          <xdr:rowOff>45720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54</xdr:row>
          <xdr:rowOff>121920</xdr:rowOff>
        </xdr:from>
        <xdr:to>
          <xdr:col>1</xdr:col>
          <xdr:colOff>449580</xdr:colOff>
          <xdr:row>56</xdr:row>
          <xdr:rowOff>45720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55</xdr:row>
          <xdr:rowOff>121920</xdr:rowOff>
        </xdr:from>
        <xdr:to>
          <xdr:col>1</xdr:col>
          <xdr:colOff>449580</xdr:colOff>
          <xdr:row>57</xdr:row>
          <xdr:rowOff>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49</xdr:row>
          <xdr:rowOff>152400</xdr:rowOff>
        </xdr:from>
        <xdr:to>
          <xdr:col>5</xdr:col>
          <xdr:colOff>632460</xdr:colOff>
          <xdr:row>51</xdr:row>
          <xdr:rowOff>45720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50</xdr:row>
          <xdr:rowOff>152400</xdr:rowOff>
        </xdr:from>
        <xdr:to>
          <xdr:col>5</xdr:col>
          <xdr:colOff>632460</xdr:colOff>
          <xdr:row>52</xdr:row>
          <xdr:rowOff>45720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51</xdr:row>
          <xdr:rowOff>152400</xdr:rowOff>
        </xdr:from>
        <xdr:to>
          <xdr:col>5</xdr:col>
          <xdr:colOff>632460</xdr:colOff>
          <xdr:row>53</xdr:row>
          <xdr:rowOff>45720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52</xdr:row>
          <xdr:rowOff>152400</xdr:rowOff>
        </xdr:from>
        <xdr:to>
          <xdr:col>5</xdr:col>
          <xdr:colOff>632460</xdr:colOff>
          <xdr:row>54</xdr:row>
          <xdr:rowOff>45720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53</xdr:row>
          <xdr:rowOff>152400</xdr:rowOff>
        </xdr:from>
        <xdr:to>
          <xdr:col>5</xdr:col>
          <xdr:colOff>632460</xdr:colOff>
          <xdr:row>55</xdr:row>
          <xdr:rowOff>45720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54</xdr:row>
          <xdr:rowOff>152400</xdr:rowOff>
        </xdr:from>
        <xdr:to>
          <xdr:col>5</xdr:col>
          <xdr:colOff>632460</xdr:colOff>
          <xdr:row>56</xdr:row>
          <xdr:rowOff>45720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55</xdr:row>
          <xdr:rowOff>152400</xdr:rowOff>
        </xdr:from>
        <xdr:to>
          <xdr:col>5</xdr:col>
          <xdr:colOff>632460</xdr:colOff>
          <xdr:row>57</xdr:row>
          <xdr:rowOff>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50" Type="http://schemas.openxmlformats.org/officeDocument/2006/relationships/ctrlProp" Target="../ctrlProps/ctrlProp62.xml"/><Relationship Id="rId55" Type="http://schemas.openxmlformats.org/officeDocument/2006/relationships/ctrlProp" Target="../ctrlProps/ctrlProp67.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54" Type="http://schemas.openxmlformats.org/officeDocument/2006/relationships/ctrlProp" Target="../ctrlProps/ctrlProp66.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3" Type="http://schemas.openxmlformats.org/officeDocument/2006/relationships/ctrlProp" Target="../ctrlProps/ctrlProp65.xml"/><Relationship Id="rId58" Type="http://schemas.openxmlformats.org/officeDocument/2006/relationships/ctrlProp" Target="../ctrlProps/ctrlProp70.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8" Type="http://schemas.openxmlformats.org/officeDocument/2006/relationships/ctrlProp" Target="../ctrlProps/ctrlProp20.xml"/><Relationship Id="rId51" Type="http://schemas.openxmlformats.org/officeDocument/2006/relationships/ctrlProp" Target="../ctrlProps/ctrlProp63.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4.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3.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omments" Target="../comments4.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9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26" Type="http://schemas.openxmlformats.org/officeDocument/2006/relationships/ctrlProp" Target="../ctrlProps/ctrlProp121.xml"/><Relationship Id="rId3" Type="http://schemas.openxmlformats.org/officeDocument/2006/relationships/vmlDrawing" Target="../drawings/vmlDrawing6.vml"/><Relationship Id="rId21" Type="http://schemas.openxmlformats.org/officeDocument/2006/relationships/ctrlProp" Target="../ctrlProps/ctrlProp116.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2" Type="http://schemas.openxmlformats.org/officeDocument/2006/relationships/drawing" Target="../drawings/drawing5.xml"/><Relationship Id="rId16" Type="http://schemas.openxmlformats.org/officeDocument/2006/relationships/ctrlProp" Target="../ctrlProps/ctrlProp111.xml"/><Relationship Id="rId20" Type="http://schemas.openxmlformats.org/officeDocument/2006/relationships/ctrlProp" Target="../ctrlProps/ctrlProp115.xml"/><Relationship Id="rId1" Type="http://schemas.openxmlformats.org/officeDocument/2006/relationships/printerSettings" Target="../printerSettings/printerSettings6.bin"/><Relationship Id="rId6" Type="http://schemas.openxmlformats.org/officeDocument/2006/relationships/ctrlProp" Target="../ctrlProps/ctrlProp101.xml"/><Relationship Id="rId11" Type="http://schemas.openxmlformats.org/officeDocument/2006/relationships/ctrlProp" Target="../ctrlProps/ctrlProp106.xml"/><Relationship Id="rId24" Type="http://schemas.openxmlformats.org/officeDocument/2006/relationships/ctrlProp" Target="../ctrlProps/ctrlProp119.xml"/><Relationship Id="rId5" Type="http://schemas.openxmlformats.org/officeDocument/2006/relationships/ctrlProp" Target="../ctrlProps/ctrlProp100.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omments" Target="../comments6.xml"/><Relationship Id="rId10" Type="http://schemas.openxmlformats.org/officeDocument/2006/relationships/ctrlProp" Target="../ctrlProps/ctrlProp105.xml"/><Relationship Id="rId19" Type="http://schemas.openxmlformats.org/officeDocument/2006/relationships/ctrlProp" Target="../ctrlProps/ctrlProp114.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M154"/>
  <sheetViews>
    <sheetView showGridLines="0" showZeros="0" tabSelected="1" zoomScaleNormal="100" workbookViewId="0"/>
  </sheetViews>
  <sheetFormatPr baseColWidth="10" defaultColWidth="11.44140625" defaultRowHeight="0" customHeight="1" zeroHeight="1"/>
  <cols>
    <col min="1" max="1" width="3.44140625" style="1385" customWidth="1"/>
    <col min="2" max="2" width="12.44140625" style="604" customWidth="1"/>
    <col min="3" max="3" width="5.33203125" style="704" customWidth="1"/>
    <col min="4" max="4" width="11.6640625" style="704" customWidth="1"/>
    <col min="5" max="5" width="5.6640625" style="704" customWidth="1"/>
    <col min="6" max="6" width="12.6640625" style="704" customWidth="1"/>
    <col min="7" max="8" width="6.6640625" style="704" customWidth="1"/>
    <col min="9" max="10" width="12.6640625" style="704" customWidth="1"/>
    <col min="11" max="13" width="1.6640625" style="704" customWidth="1"/>
    <col min="14" max="16384" width="11.44140625" style="704"/>
  </cols>
  <sheetData>
    <row r="1" spans="1:13" s="733" customFormat="1" ht="17.399999999999999" customHeight="1">
      <c r="A1" s="1385"/>
      <c r="B1" s="732" t="s">
        <v>35</v>
      </c>
      <c r="E1" s="1741" t="s">
        <v>1850</v>
      </c>
      <c r="F1" s="1417"/>
      <c r="J1" s="735" t="s">
        <v>656</v>
      </c>
    </row>
    <row r="2" spans="1:13" s="733" customFormat="1" ht="17.25" customHeight="1">
      <c r="A2" s="1385"/>
      <c r="B2" s="732" t="s">
        <v>1408</v>
      </c>
      <c r="F2" s="1649" t="s">
        <v>1720</v>
      </c>
      <c r="G2" s="1649"/>
      <c r="L2" s="734"/>
      <c r="M2" s="734"/>
    </row>
    <row r="3" spans="1:13" ht="3.6" customHeight="1">
      <c r="B3" s="707"/>
      <c r="C3" s="708"/>
      <c r="D3" s="708"/>
      <c r="E3" s="708"/>
      <c r="F3" s="708"/>
      <c r="G3" s="708"/>
      <c r="H3" s="708"/>
      <c r="I3" s="708"/>
      <c r="J3" s="708"/>
      <c r="K3" s="708"/>
      <c r="L3" s="705"/>
      <c r="M3" s="705"/>
    </row>
    <row r="4" spans="1:13" ht="9.75" customHeight="1">
      <c r="B4" s="709"/>
      <c r="K4" s="1288" t="str">
        <f>Dati!J2</f>
        <v>MINERGIE, versione 2016, da utilizzare fino al 31.12.2016 al più tardi</v>
      </c>
      <c r="L4" s="705"/>
      <c r="M4" s="705"/>
    </row>
    <row r="5" spans="1:13" s="711" customFormat="1" ht="29.25" customHeight="1">
      <c r="A5" s="1385"/>
      <c r="B5" s="1742" t="str">
        <f>Standardwerte!BL32</f>
        <v>Formulario di verifica per la domanda MINERGIE - A</v>
      </c>
      <c r="C5" s="710"/>
      <c r="D5" s="710"/>
      <c r="H5" s="1746"/>
      <c r="I5" s="1747"/>
      <c r="J5" s="1747"/>
      <c r="K5" s="1747"/>
      <c r="L5" s="710"/>
      <c r="M5" s="710"/>
    </row>
    <row r="6" spans="1:13" ht="16.5" customHeight="1">
      <c r="A6" s="1385" t="s">
        <v>1478</v>
      </c>
      <c r="B6" s="712" t="s">
        <v>421</v>
      </c>
      <c r="C6" s="713"/>
      <c r="D6" s="713"/>
      <c r="E6" s="713"/>
      <c r="F6" s="713"/>
      <c r="G6" s="713"/>
      <c r="H6" s="713"/>
      <c r="I6" s="713"/>
      <c r="J6" s="713"/>
      <c r="K6" s="713"/>
      <c r="L6" s="713"/>
      <c r="M6" s="713"/>
    </row>
    <row r="7" spans="1:13" ht="20.25" customHeight="1">
      <c r="B7" s="1653" t="s">
        <v>871</v>
      </c>
      <c r="C7" s="1748">
        <f>Input!C2</f>
        <v>0</v>
      </c>
      <c r="D7" s="1748"/>
      <c r="E7" s="1748"/>
      <c r="F7" s="1748"/>
      <c r="G7" s="1748"/>
      <c r="H7" s="1748"/>
      <c r="I7" s="1748"/>
      <c r="J7" s="1748"/>
      <c r="K7" s="987"/>
      <c r="L7" s="713"/>
      <c r="M7" s="713"/>
    </row>
    <row r="8" spans="1:13" ht="20.25" customHeight="1">
      <c r="B8" s="1652" t="s">
        <v>872</v>
      </c>
      <c r="C8" s="1745">
        <f>Input!C3</f>
        <v>0</v>
      </c>
      <c r="D8" s="1745"/>
      <c r="E8" s="1745"/>
      <c r="F8" s="1745"/>
      <c r="G8" s="1745"/>
      <c r="H8" s="1745"/>
      <c r="I8" s="1745"/>
      <c r="J8" s="1745"/>
      <c r="K8" s="988"/>
      <c r="L8" s="713"/>
      <c r="M8" s="713"/>
    </row>
    <row r="9" spans="1:13" ht="20.25" customHeight="1">
      <c r="B9" s="1651" t="s">
        <v>36</v>
      </c>
      <c r="C9" s="948">
        <f>Input!C4</f>
        <v>0</v>
      </c>
      <c r="D9" s="1650" t="s">
        <v>37</v>
      </c>
      <c r="E9" s="1748">
        <f>Input!C5</f>
        <v>0</v>
      </c>
      <c r="F9" s="1748"/>
      <c r="G9" s="1748"/>
      <c r="H9" s="1748"/>
      <c r="I9" s="1658" t="s">
        <v>1722</v>
      </c>
      <c r="J9" s="1610"/>
      <c r="K9" s="989"/>
      <c r="L9" s="713"/>
      <c r="M9" s="713"/>
    </row>
    <row r="10" spans="1:13" ht="3" customHeight="1">
      <c r="B10" s="714"/>
      <c r="C10" s="713"/>
      <c r="D10" s="713"/>
      <c r="E10" s="713"/>
      <c r="F10" s="713"/>
      <c r="G10" s="713"/>
      <c r="H10" s="713"/>
      <c r="I10" s="713"/>
      <c r="J10" s="713"/>
      <c r="K10" s="705"/>
      <c r="L10" s="705"/>
      <c r="M10" s="705"/>
    </row>
    <row r="11" spans="1:13" ht="15" customHeight="1">
      <c r="A11" s="1385" t="s">
        <v>1479</v>
      </c>
      <c r="B11" s="712" t="s">
        <v>873</v>
      </c>
      <c r="E11" s="729"/>
      <c r="F11" s="728" t="s">
        <v>875</v>
      </c>
      <c r="G11" s="728"/>
      <c r="H11" s="729" t="s">
        <v>926</v>
      </c>
      <c r="I11" s="728" t="s">
        <v>877</v>
      </c>
      <c r="J11" s="728" t="s">
        <v>878</v>
      </c>
      <c r="K11" s="604"/>
      <c r="L11" s="604"/>
      <c r="M11" s="604"/>
    </row>
    <row r="12" spans="1:13" ht="15" customHeight="1">
      <c r="B12" s="604" t="s">
        <v>874</v>
      </c>
      <c r="D12" s="1039" t="str">
        <f>IF(minergiep,IF(AND(Standardwerte!BO55,Standardwerte!BO56,Standardwerte!BO57,Standardwerte!BO58),"","Mit MINERGIE-P nicht möglich"),"")</f>
        <v/>
      </c>
      <c r="E12" s="706"/>
      <c r="F12" s="871" t="str">
        <f>IF(Kategorie1&gt;0,IF(INDEX(Standardwerte!$I$9:$I$21,Kategorie1)=0,"",INDEX(Standardwerte!$I$9:$I$21,Kategorie1)),)</f>
        <v/>
      </c>
      <c r="G12" s="871"/>
      <c r="H12" s="871" t="str">
        <f>IF(Kategorie2&gt;0,IF(INDEX(Standardwerte!$I$9:$I$21,Kategorie2)=0,"",INDEX(Standardwerte!$I$9:$I$21,Kategorie2)),)</f>
        <v/>
      </c>
      <c r="I12" s="871" t="str">
        <f>IF(Kategorie3&gt;0,IF(INDEX(Standardwerte!$I$9:$I$21,Kategorie3)=0,"",INDEX(Standardwerte!$I$9:$I$21,Kategorie3)),)</f>
        <v/>
      </c>
      <c r="J12" s="871" t="str">
        <f>IF(Kategorie4&gt;0,IF(INDEX(Standardwerte!$I$9:$I$21,Kategorie4)=0,"",INDEX(Standardwerte!$I$9:$I$21,Kategorie4)),)</f>
        <v/>
      </c>
      <c r="M12" s="604"/>
    </row>
    <row r="13" spans="1:13" s="964" customFormat="1" ht="10.199999999999999" customHeight="1">
      <c r="A13" s="1386"/>
      <c r="E13" s="954"/>
      <c r="F13" s="711"/>
      <c r="G13" s="711"/>
      <c r="H13" s="711"/>
      <c r="I13" s="711"/>
      <c r="J13" s="711"/>
      <c r="K13" s="1005"/>
      <c r="L13" s="1005"/>
      <c r="M13" s="1005"/>
    </row>
    <row r="14" spans="1:13" ht="15" customHeight="1">
      <c r="A14" s="1385" t="s">
        <v>1480</v>
      </c>
      <c r="B14" s="604" t="s">
        <v>1719</v>
      </c>
      <c r="C14" s="1003"/>
      <c r="D14" s="1003"/>
      <c r="E14" s="729" t="str">
        <f>IF(OR(Mehrfachanwendung=FALSE,einzel1&gt;1),"Utilizzo semplice  ","")</f>
        <v xml:space="preserve">Utilizzo semplice  </v>
      </c>
      <c r="F14" s="1657">
        <f>IF(einzel1&gt;0,INDEX(Standardwerte!BG5:BG9,einzel1,1),)</f>
        <v>0</v>
      </c>
      <c r="G14" s="1287"/>
      <c r="H14" s="1750" t="str">
        <f>IF(minergiea,"",IF(OR(Einzelanwendung=FALSE,mehr1&gt;1),"Utilizzo multiplo  ",""))</f>
        <v/>
      </c>
      <c r="I14" s="1751"/>
      <c r="J14" s="871">
        <f>IF(mehr1&gt;0,INDEX(Standardwerte!BH5:BH7,mehr1,1),)</f>
        <v>0</v>
      </c>
      <c r="K14" s="991"/>
      <c r="L14" s="990"/>
      <c r="M14" s="604"/>
    </row>
    <row r="15" spans="1:13" ht="10.199999999999999" customHeight="1">
      <c r="C15" s="1003"/>
      <c r="D15" s="1003"/>
      <c r="E15" s="729"/>
      <c r="F15" s="1287"/>
      <c r="G15" s="1287"/>
      <c r="H15" s="727"/>
      <c r="I15" s="727"/>
      <c r="J15" s="1287"/>
      <c r="K15" s="991"/>
      <c r="L15" s="990"/>
      <c r="M15" s="604"/>
    </row>
    <row r="16" spans="1:13" ht="15" customHeight="1">
      <c r="A16" s="1387" t="s">
        <v>1481</v>
      </c>
      <c r="B16" s="1289" t="s">
        <v>935</v>
      </c>
      <c r="C16" s="1003"/>
      <c r="D16" s="1003"/>
      <c r="E16" s="729"/>
      <c r="F16" s="1290"/>
      <c r="G16" s="1375" t="str">
        <f>IF(minergiea,"",IF(AND(Einzelanwendung,EFH),"   Riduzione per case gemelle, case a schiera",""))</f>
        <v/>
      </c>
      <c r="H16" s="729"/>
      <c r="I16" s="1291"/>
      <c r="K16" s="991"/>
      <c r="L16" s="990"/>
      <c r="M16" s="604"/>
    </row>
    <row r="17" spans="1:13" ht="10.199999999999999" customHeight="1">
      <c r="B17" s="1292" t="str">
        <f>IF(F16&gt;0,"","Manca il numero di unità abitative")</f>
        <v>Manca il numero di unità abitative</v>
      </c>
      <c r="F17" s="704" t="str">
        <f>IF(minergiea,"",Standardwerte!BJ12)</f>
        <v/>
      </c>
      <c r="G17" s="742"/>
      <c r="H17" s="705"/>
      <c r="I17" s="705"/>
      <c r="J17" s="1293" t="str">
        <f>IF(minergiep,IF(AND(J18&gt;0,J18&lt;F16),"Certificazione del singolo appartamento non possibile",""),"")</f>
        <v/>
      </c>
    </row>
    <row r="18" spans="1:13" ht="15" customHeight="1">
      <c r="B18" s="1752"/>
      <c r="C18" s="1752"/>
      <c r="D18" s="1752"/>
      <c r="G18" s="1426">
        <f>IF(AND(minergiep,OR(Standardwerte!$BG$12=5,mehr1=3)),"    Costi su richiesta",)</f>
        <v>0</v>
      </c>
      <c r="H18" s="729"/>
      <c r="I18" s="729"/>
      <c r="L18" s="727"/>
    </row>
    <row r="19" spans="1:13" ht="6.15" customHeight="1">
      <c r="A19" s="1388"/>
      <c r="B19" s="707"/>
      <c r="C19" s="708"/>
      <c r="D19" s="708"/>
      <c r="E19" s="708"/>
      <c r="F19" s="708"/>
      <c r="G19" s="708"/>
      <c r="H19" s="708"/>
      <c r="I19" s="708"/>
      <c r="J19" s="708"/>
      <c r="K19" s="708"/>
      <c r="M19" s="705"/>
    </row>
    <row r="20" spans="1:13" ht="16.649999999999999" customHeight="1">
      <c r="A20" s="1389" t="s">
        <v>1482</v>
      </c>
      <c r="B20" s="870" t="str">
        <f>IF(minergiea,"Neu- oder Nachzertifizierung ?","Indicazioni righe 5-7 necessarie solo per un utilizzo multiplo: ")</f>
        <v>Neu- oder Nachzertifizierung ?</v>
      </c>
      <c r="C20" s="705"/>
      <c r="D20" s="705"/>
      <c r="E20" s="715"/>
      <c r="I20" s="705"/>
      <c r="J20" s="705"/>
      <c r="K20" s="705"/>
    </row>
    <row r="21" spans="1:13" ht="15.15" customHeight="1">
      <c r="B21" s="715" t="str">
        <f>IF(minergiea,"Bestehende Zertifikat-Nr:","Nome del tipo di edificio: ")</f>
        <v>Bestehende Zertifikat-Nr:</v>
      </c>
      <c r="D21" s="713"/>
      <c r="E21" s="1749">
        <f>Input!C23</f>
        <v>0</v>
      </c>
      <c r="F21" s="1749"/>
      <c r="G21" s="1749"/>
      <c r="H21" s="1749"/>
      <c r="I21" s="1749"/>
      <c r="J21" s="1749"/>
      <c r="K21" s="1749"/>
    </row>
    <row r="22" spans="1:13" ht="21.9" customHeight="1">
      <c r="A22" s="1389" t="s">
        <v>1483</v>
      </c>
      <c r="B22" s="715" t="str">
        <f>IF(minergiea,"Ursprüngliche Zertifizierung nach",IF(minergiep,"","Condizioni di progetto necessarie per il mantenimento dello standard MINERGIE: "))</f>
        <v>Ursprüngliche Zertifizierung nach</v>
      </c>
      <c r="C22" s="705"/>
      <c r="D22" s="705"/>
      <c r="E22" s="705"/>
      <c r="F22" s="705"/>
      <c r="G22" s="705"/>
      <c r="H22" s="705"/>
      <c r="I22" s="705"/>
      <c r="J22" s="705"/>
      <c r="K22" s="705"/>
    </row>
    <row r="23" spans="1:13" ht="12.9" customHeight="1">
      <c r="B23" s="715" t="str">
        <f>IF(minergiea,"(zutreffendes ankreizen):",IF(minergiep,"","Superficie princ. finestre verso  "))</f>
        <v>(zutreffendes ankreizen):</v>
      </c>
      <c r="C23" s="705"/>
      <c r="E23" s="715" t="str">
        <f>IF(minergiea,"Neuzertifizierung",IF(minergiep,"","est "))</f>
        <v>Neuzertifizierung</v>
      </c>
      <c r="F23" s="705"/>
      <c r="G23" s="715" t="str">
        <f>IF(minergiea,"nach SIA 380/1:2009",IF(minergiep,"","da sud-est a sud-ovest "))</f>
        <v>nach SIA 380/1:2009</v>
      </c>
      <c r="J23" s="715" t="str">
        <f>IF(minergiea,"ältere Version",IF(minergiep,"","ovest "))</f>
        <v>ältere Version</v>
      </c>
    </row>
    <row r="24" spans="1:13" ht="9.9" customHeight="1">
      <c r="B24" s="1702" t="str">
        <f>IF(Fehler_Neuzertifizierung,"                                                                 Fehler: Doppelte Auswahl nicht möglich","")</f>
        <v/>
      </c>
      <c r="C24" s="705"/>
      <c r="E24" s="715"/>
      <c r="F24" s="705"/>
      <c r="G24" s="705"/>
      <c r="H24" s="715"/>
      <c r="J24" s="715"/>
    </row>
    <row r="25" spans="1:13" ht="15" customHeight="1">
      <c r="A25" s="1385" t="s">
        <v>1484</v>
      </c>
      <c r="B25" s="1379" t="s">
        <v>860</v>
      </c>
      <c r="D25" s="704">
        <f>IF(Klima=1,"",Standardwerte!D4)</f>
        <v>0</v>
      </c>
      <c r="E25" s="705"/>
      <c r="G25" s="704" t="str">
        <f>IF(minergiea,"(für den aktuellen MINERGIE-A - Antrag)","")</f>
        <v>(für den aktuellen MINERGIE-A - Antrag)</v>
      </c>
      <c r="H25" s="1003"/>
      <c r="I25" s="1003"/>
      <c r="J25" s="990"/>
    </row>
    <row r="26" spans="1:13" ht="5.25" customHeight="1">
      <c r="A26" s="1388"/>
      <c r="B26" s="707"/>
      <c r="C26" s="708"/>
      <c r="D26" s="708"/>
      <c r="E26" s="1027"/>
      <c r="F26" s="708"/>
      <c r="G26" s="708"/>
      <c r="H26" s="708"/>
      <c r="I26" s="708"/>
      <c r="J26" s="1028"/>
      <c r="K26" s="1028"/>
      <c r="L26" s="990"/>
    </row>
    <row r="27" spans="1:13" ht="15" customHeight="1">
      <c r="A27" s="1385" t="s">
        <v>1485</v>
      </c>
      <c r="B27" s="1379" t="s">
        <v>605</v>
      </c>
    </row>
    <row r="28" spans="1:13" ht="15" customHeight="1">
      <c r="B28" s="604" t="s">
        <v>1447</v>
      </c>
      <c r="C28" s="716"/>
    </row>
    <row r="29" spans="1:13" ht="8.4" customHeight="1">
      <c r="C29" s="716"/>
      <c r="J29" s="1384" t="str">
        <f>IF(mineco&lt;2," Mancano i dati concernenti a MINERGIE-ECO",IF(Oekostrom&lt;2," Manca dato per la borsa dell'elettricità ecologica",IF(AND(minergiea,Standardwerte!BH33&lt;2),"Eingabe Doppelantrag fehlt","")))</f>
        <v xml:space="preserve"> Mancano i dati concernenti a MINERGIE-ECO</v>
      </c>
    </row>
    <row r="30" spans="1:13" ht="15" customHeight="1">
      <c r="A30" s="1385" t="s">
        <v>1486</v>
      </c>
      <c r="B30" s="604" t="s">
        <v>1823</v>
      </c>
      <c r="C30" s="716"/>
      <c r="J30" s="1380" t="str">
        <f>IF(mineco&gt;0,IF(INDEX(Standardwerte!$BF$30:$BF$32,mineco)=0,"",INDEX(Standardwerte!$BF$30:$BF$32,mineco)),)</f>
        <v/>
      </c>
    </row>
    <row r="31" spans="1:13" ht="15" customHeight="1">
      <c r="B31" s="604" t="s">
        <v>1844</v>
      </c>
      <c r="C31" s="716"/>
      <c r="J31" s="1739">
        <f>IF(Oekostrom&gt;0,IF(INDEX(Standardwerte!$BG$30:$BG$32,Oekostrom)=0,"",INDEX(Standardwerte!$BG$30:$BG$32,Oekostrom)),)</f>
        <v>0</v>
      </c>
    </row>
    <row r="32" spans="1:13" ht="15" customHeight="1">
      <c r="B32" s="604" t="str">
        <f>IF(minergiea,"Doppel-Antrag MINERGIE-A/MINERGIE-P?","")</f>
        <v>Doppel-Antrag MINERGIE-A/MINERGIE-P?</v>
      </c>
      <c r="C32" s="716"/>
      <c r="J32" s="990">
        <f>IF(BH20&gt;0,IF(INDEX(Standardwerte!$BG$30:$BG$32,BH20)=0,"",INDEX(Standardwerte!$BG$30:$BG$32,BH20)),)</f>
        <v>0</v>
      </c>
    </row>
    <row r="33" spans="2:10" ht="12" customHeight="1"/>
    <row r="34" spans="2:10" ht="66" customHeight="1">
      <c r="B34" s="1743" t="s">
        <v>1854</v>
      </c>
      <c r="C34" s="1744"/>
      <c r="D34" s="1744"/>
      <c r="E34" s="1744"/>
      <c r="F34" s="1744"/>
      <c r="G34" s="1744"/>
      <c r="H34" s="1744"/>
      <c r="I34" s="1744"/>
      <c r="J34" s="1744"/>
    </row>
    <row r="35" spans="2:10" ht="12" customHeight="1"/>
    <row r="36" spans="2:10" ht="12" customHeight="1"/>
    <row r="37" spans="2:10" ht="12" customHeight="1"/>
    <row r="38" spans="2:10" ht="12" customHeight="1"/>
    <row r="39" spans="2:10" ht="12" customHeight="1"/>
    <row r="40" spans="2:10" ht="12" customHeight="1"/>
    <row r="41" spans="2:10" ht="12" customHeight="1"/>
    <row r="42" spans="2:10" ht="12" customHeight="1"/>
    <row r="43" spans="2:10" ht="12" customHeight="1"/>
    <row r="44" spans="2:10" ht="12" customHeight="1"/>
    <row r="45" spans="2:10" ht="12" customHeight="1"/>
    <row r="46" spans="2:10" ht="12" customHeight="1"/>
    <row r="47" spans="2:10" ht="12" customHeight="1"/>
    <row r="48" spans="2:10" ht="12" customHeight="1"/>
    <row r="49" spans="1:13" ht="12" customHeight="1">
      <c r="B49" s="717"/>
      <c r="C49" s="718"/>
      <c r="D49" s="718"/>
      <c r="E49" s="719"/>
      <c r="F49" s="719"/>
      <c r="G49" s="719"/>
      <c r="H49" s="719"/>
      <c r="I49" s="719"/>
      <c r="J49" s="719"/>
      <c r="K49" s="719"/>
      <c r="L49" s="719"/>
      <c r="M49" s="719"/>
    </row>
    <row r="50" spans="1:13" ht="12" customHeight="1">
      <c r="B50" s="720"/>
      <c r="C50" s="721"/>
      <c r="D50" s="721"/>
      <c r="E50" s="722"/>
      <c r="F50" s="722"/>
      <c r="G50" s="722"/>
      <c r="H50" s="722"/>
      <c r="I50" s="722"/>
      <c r="J50" s="722"/>
      <c r="K50" s="722"/>
      <c r="L50" s="722"/>
      <c r="M50" s="722"/>
    </row>
    <row r="51" spans="1:13" ht="12" customHeight="1">
      <c r="B51" s="720"/>
      <c r="C51" s="721"/>
      <c r="D51" s="721"/>
      <c r="E51" s="722"/>
      <c r="F51" s="722"/>
      <c r="G51" s="722"/>
      <c r="H51" s="722"/>
      <c r="I51" s="722"/>
      <c r="J51" s="722"/>
      <c r="K51" s="722"/>
      <c r="L51" s="722"/>
      <c r="M51" s="722"/>
    </row>
    <row r="52" spans="1:13" ht="12" customHeight="1">
      <c r="B52" s="720"/>
      <c r="C52" s="723"/>
      <c r="D52" s="721"/>
      <c r="E52" s="722"/>
      <c r="F52" s="722"/>
      <c r="G52" s="722"/>
      <c r="H52" s="722"/>
      <c r="I52" s="722"/>
      <c r="J52" s="722"/>
      <c r="K52" s="722"/>
      <c r="L52" s="722"/>
      <c r="M52" s="722"/>
    </row>
    <row r="53" spans="1:13" s="724" customFormat="1" ht="12" customHeight="1">
      <c r="A53" s="1390"/>
      <c r="B53" s="720"/>
      <c r="C53" s="721"/>
      <c r="D53" s="721"/>
      <c r="E53" s="722"/>
      <c r="F53" s="722"/>
      <c r="G53" s="722"/>
      <c r="H53" s="722"/>
      <c r="I53" s="722"/>
      <c r="J53" s="722"/>
      <c r="K53" s="722"/>
      <c r="L53" s="722"/>
      <c r="M53" s="722"/>
    </row>
    <row r="54" spans="1:13" s="725" customFormat="1" ht="12" customHeight="1">
      <c r="A54" s="1391"/>
      <c r="B54" s="604"/>
      <c r="C54" s="704"/>
      <c r="D54" s="704"/>
      <c r="E54" s="704"/>
      <c r="F54" s="704"/>
      <c r="G54" s="704"/>
      <c r="H54" s="704"/>
      <c r="I54" s="704"/>
      <c r="J54" s="704"/>
      <c r="K54" s="704"/>
      <c r="L54" s="704"/>
      <c r="M54" s="704"/>
    </row>
    <row r="55" spans="1:13" s="725" customFormat="1" ht="12" customHeight="1">
      <c r="A55" s="1391"/>
      <c r="B55" s="604"/>
      <c r="C55" s="704"/>
      <c r="D55" s="704"/>
      <c r="E55" s="704"/>
      <c r="F55" s="704"/>
      <c r="G55" s="704"/>
      <c r="H55" s="704"/>
      <c r="I55" s="704"/>
      <c r="J55" s="704"/>
      <c r="K55" s="704"/>
      <c r="L55" s="704"/>
      <c r="M55" s="704"/>
    </row>
    <row r="56" spans="1:13" s="725" customFormat="1" ht="12" customHeight="1">
      <c r="A56" s="1391"/>
      <c r="B56" s="604"/>
      <c r="C56" s="704"/>
      <c r="D56" s="704"/>
      <c r="E56" s="704"/>
      <c r="F56" s="704"/>
      <c r="G56" s="704"/>
      <c r="H56" s="704"/>
      <c r="I56" s="704"/>
      <c r="J56" s="704"/>
      <c r="K56" s="704"/>
      <c r="L56" s="704"/>
      <c r="M56" s="704"/>
    </row>
    <row r="57" spans="1:13" s="725" customFormat="1" ht="12" customHeight="1">
      <c r="A57" s="1391"/>
      <c r="B57" s="604"/>
      <c r="C57" s="704"/>
      <c r="D57" s="704"/>
      <c r="E57" s="704"/>
      <c r="F57" s="704"/>
      <c r="G57" s="704"/>
      <c r="H57" s="704"/>
      <c r="I57" s="704"/>
      <c r="J57" s="704"/>
      <c r="K57" s="704"/>
      <c r="L57" s="704"/>
      <c r="M57" s="704"/>
    </row>
    <row r="58" spans="1:13" ht="12" customHeight="1"/>
    <row r="59" spans="1:13" ht="12" customHeight="1"/>
    <row r="60" spans="1:13" ht="12" customHeight="1"/>
    <row r="61" spans="1:13" ht="12" customHeight="1"/>
    <row r="62" spans="1:13" ht="12" customHeight="1">
      <c r="C62" s="726"/>
    </row>
    <row r="63" spans="1:13" ht="12" customHeight="1"/>
    <row r="64" spans="1:13" ht="12" customHeight="1"/>
    <row r="65" spans="2:3" ht="12" customHeight="1"/>
    <row r="66" spans="2:3" ht="12" customHeight="1"/>
    <row r="67" spans="2:3" ht="12" customHeight="1">
      <c r="B67" s="704"/>
      <c r="C67" s="604"/>
    </row>
    <row r="68" spans="2:3" ht="12" customHeight="1">
      <c r="B68" s="704"/>
      <c r="C68" s="604"/>
    </row>
    <row r="69" spans="2:3" ht="12" customHeight="1"/>
    <row r="70" spans="2:3" ht="12" customHeight="1"/>
    <row r="71" spans="2:3" ht="12" customHeight="1"/>
    <row r="72" spans="2:3" ht="12" customHeight="1">
      <c r="B72" s="704"/>
      <c r="C72" s="604"/>
    </row>
    <row r="73" spans="2:3" ht="12" customHeight="1"/>
    <row r="74" spans="2:3" ht="12" customHeight="1">
      <c r="B74" s="704"/>
      <c r="C74" s="604"/>
    </row>
    <row r="75" spans="2:3" ht="12" customHeight="1">
      <c r="B75" s="704"/>
      <c r="C75" s="604"/>
    </row>
    <row r="76" spans="2:3" ht="12" customHeight="1">
      <c r="B76" s="704"/>
      <c r="C76" s="604"/>
    </row>
    <row r="77" spans="2:3" ht="12" customHeight="1">
      <c r="B77" s="704"/>
      <c r="C77" s="604"/>
    </row>
    <row r="78" spans="2:3" ht="12" customHeight="1"/>
    <row r="79" spans="2:3" ht="12" customHeight="1"/>
    <row r="80" spans="2:3" ht="12" customHeight="1">
      <c r="B80" s="704"/>
      <c r="C80" s="604"/>
    </row>
    <row r="81" spans="2:3" ht="12" customHeight="1">
      <c r="B81" s="704"/>
      <c r="C81" s="604"/>
    </row>
    <row r="82" spans="2:3" ht="12" customHeight="1"/>
    <row r="83" spans="2:3" ht="12" customHeight="1">
      <c r="B83" s="704"/>
      <c r="C83" s="604"/>
    </row>
    <row r="84" spans="2:3" ht="12" customHeight="1">
      <c r="B84" s="704"/>
      <c r="C84" s="604"/>
    </row>
    <row r="85" spans="2:3" ht="12" customHeight="1">
      <c r="B85" s="704"/>
      <c r="C85" s="604"/>
    </row>
    <row r="86" spans="2:3" ht="12" customHeight="1"/>
    <row r="87" spans="2:3" ht="12" customHeight="1"/>
    <row r="88" spans="2:3" ht="12" customHeight="1">
      <c r="B88" s="704"/>
      <c r="C88" s="604"/>
    </row>
    <row r="89" spans="2:3" ht="12" customHeight="1"/>
    <row r="90" spans="2:3" ht="12" customHeight="1">
      <c r="B90" s="704"/>
      <c r="C90" s="604"/>
    </row>
    <row r="91" spans="2:3" ht="12" customHeight="1">
      <c r="C91" s="604"/>
    </row>
    <row r="92" spans="2:3" ht="12" customHeight="1"/>
    <row r="93" spans="2:3" ht="12" customHeight="1">
      <c r="B93" s="704"/>
      <c r="C93" s="604"/>
    </row>
    <row r="94" spans="2:3" ht="12" customHeight="1">
      <c r="C94" s="604"/>
    </row>
    <row r="95" spans="2:3" ht="12" customHeight="1"/>
    <row r="96" spans="2:3" ht="12" customHeight="1">
      <c r="B96" s="704"/>
      <c r="C96" s="604"/>
    </row>
    <row r="97" spans="3:3" ht="12" customHeight="1">
      <c r="C97" s="604"/>
    </row>
    <row r="98" spans="3:3" ht="12" customHeight="1"/>
    <row r="99" spans="3:3" ht="12" customHeight="1"/>
    <row r="100" spans="3:3" ht="12" customHeight="1"/>
    <row r="101" spans="3:3" ht="12" customHeight="1"/>
    <row r="102" spans="3:3" ht="12" customHeight="1"/>
    <row r="103" spans="3:3" ht="12" customHeight="1"/>
    <row r="104" spans="3:3" ht="12" customHeight="1"/>
    <row r="105" spans="3:3" ht="12" customHeight="1"/>
    <row r="106" spans="3:3" ht="12" customHeight="1"/>
    <row r="107" spans="3:3" ht="12" customHeight="1"/>
    <row r="108" spans="3:3" ht="12" customHeight="1"/>
    <row r="109" spans="3:3" ht="12" customHeight="1"/>
    <row r="110" spans="3:3" ht="12" customHeight="1"/>
    <row r="111" spans="3:3" ht="13.2"/>
    <row r="112" spans="3:3"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0" hidden="1" customHeight="1"/>
    <row r="153" ht="0" hidden="1" customHeight="1"/>
    <row r="154" ht="0" hidden="1" customHeight="1"/>
  </sheetData>
  <sheetProtection algorithmName="SHA-512" hashValue="oFQ4m31HbP8fIfKVGX2PSu3Lo2WMZyvCBPfWAGU2fIJEiQZA9k4s2wDxjcSa6Ro2Z5dSb+e8X1C85sSf8iXfug==" saltValue="F07Kz67uHjCWxgdckCJlyA==" spinCount="100000" sheet="1" objects="1" scenarios="1"/>
  <mergeCells count="8">
    <mergeCell ref="B34:J34"/>
    <mergeCell ref="C8:J8"/>
    <mergeCell ref="H5:K5"/>
    <mergeCell ref="E9:H9"/>
    <mergeCell ref="C7:J7"/>
    <mergeCell ref="E21:K21"/>
    <mergeCell ref="H14:I14"/>
    <mergeCell ref="B18:D18"/>
  </mergeCells>
  <phoneticPr fontId="5" type="noConversion"/>
  <conditionalFormatting sqref="A16:B16">
    <cfRule type="expression" dxfId="195" priority="3" stopIfTrue="1">
      <formula>wohnnutzung</formula>
    </cfRule>
  </conditionalFormatting>
  <conditionalFormatting sqref="G18 G16 I16">
    <cfRule type="expression" dxfId="194" priority="4" stopIfTrue="1">
      <formula>AND(EFH,Einzelanwendung)</formula>
    </cfRule>
    <cfRule type="expression" dxfId="193" priority="5" stopIfTrue="1">
      <formula>Mehrfachanwendung</formula>
    </cfRule>
  </conditionalFormatting>
  <conditionalFormatting sqref="F16">
    <cfRule type="expression" dxfId="192" priority="6" stopIfTrue="1">
      <formula>wohnnutzung</formula>
    </cfRule>
  </conditionalFormatting>
  <conditionalFormatting sqref="B17">
    <cfRule type="expression" dxfId="191" priority="7" stopIfTrue="1">
      <formula>wohnnutzung</formula>
    </cfRule>
  </conditionalFormatting>
  <conditionalFormatting sqref="F1">
    <cfRule type="expression" dxfId="190" priority="1" stopIfTrue="1">
      <formula>Kategorie1=13</formula>
    </cfRule>
    <cfRule type="expression" dxfId="189" priority="2" stopIfTrue="1">
      <formula>$E$58</formula>
    </cfRule>
  </conditionalFormatting>
  <pageMargins left="0.78740157480314965" right="0.39370078740157483" top="0.31" bottom="0.41" header="0.51181102362204722" footer="0.22"/>
  <pageSetup paperSize="9" scale="91" orientation="portrait"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3" r:id="rId4" name="Drop Down 9">
              <controlPr defaultSize="0" print="0" autoLine="0" autoPict="0">
                <anchor moveWithCells="1" sizeWithCells="1">
                  <from>
                    <xdr:col>5</xdr:col>
                    <xdr:colOff>0</xdr:colOff>
                    <xdr:row>13</xdr:row>
                    <xdr:rowOff>0</xdr:rowOff>
                  </from>
                  <to>
                    <xdr:col>6</xdr:col>
                    <xdr:colOff>0</xdr:colOff>
                    <xdr:row>14</xdr:row>
                    <xdr:rowOff>7620</xdr:rowOff>
                  </to>
                </anchor>
              </controlPr>
            </control>
          </mc:Choice>
        </mc:AlternateContent>
        <mc:AlternateContent xmlns:mc="http://schemas.openxmlformats.org/markup-compatibility/2006">
          <mc:Choice Requires="x14">
            <control shapeId="16398" r:id="rId5" name="Drop Down 14">
              <controlPr defaultSize="0" print="0" autoLine="0" autoPict="0">
                <anchor moveWithCells="1" sizeWithCells="1">
                  <from>
                    <xdr:col>9</xdr:col>
                    <xdr:colOff>0</xdr:colOff>
                    <xdr:row>13</xdr:row>
                    <xdr:rowOff>0</xdr:rowOff>
                  </from>
                  <to>
                    <xdr:col>10</xdr:col>
                    <xdr:colOff>0</xdr:colOff>
                    <xdr:row>14</xdr:row>
                    <xdr:rowOff>7620</xdr:rowOff>
                  </to>
                </anchor>
              </controlPr>
            </control>
          </mc:Choice>
        </mc:AlternateContent>
        <mc:AlternateContent xmlns:mc="http://schemas.openxmlformats.org/markup-compatibility/2006">
          <mc:Choice Requires="x14">
            <control shapeId="16406" r:id="rId6" name="Check Box 22">
              <controlPr defaultSize="0" autoFill="0" autoLine="0" autoPict="0">
                <anchor moveWithCells="1" sizeWithCells="1">
                  <from>
                    <xdr:col>5</xdr:col>
                    <xdr:colOff>685800</xdr:colOff>
                    <xdr:row>21</xdr:row>
                    <xdr:rowOff>259080</xdr:rowOff>
                  </from>
                  <to>
                    <xdr:col>6</xdr:col>
                    <xdr:colOff>106680</xdr:colOff>
                    <xdr:row>23</xdr:row>
                    <xdr:rowOff>30480</xdr:rowOff>
                  </to>
                </anchor>
              </controlPr>
            </control>
          </mc:Choice>
        </mc:AlternateContent>
        <mc:AlternateContent xmlns:mc="http://schemas.openxmlformats.org/markup-compatibility/2006">
          <mc:Choice Requires="x14">
            <control shapeId="16407" r:id="rId7" name="Check Box 23">
              <controlPr defaultSize="0" autoFill="0" autoLine="0" autoPict="0">
                <anchor moveWithCells="1" sizeWithCells="1">
                  <from>
                    <xdr:col>3</xdr:col>
                    <xdr:colOff>632460</xdr:colOff>
                    <xdr:row>21</xdr:row>
                    <xdr:rowOff>251460</xdr:rowOff>
                  </from>
                  <to>
                    <xdr:col>4</xdr:col>
                    <xdr:colOff>83820</xdr:colOff>
                    <xdr:row>23</xdr:row>
                    <xdr:rowOff>22860</xdr:rowOff>
                  </to>
                </anchor>
              </controlPr>
            </control>
          </mc:Choice>
        </mc:AlternateContent>
        <mc:AlternateContent xmlns:mc="http://schemas.openxmlformats.org/markup-compatibility/2006">
          <mc:Choice Requires="x14">
            <control shapeId="16415" r:id="rId8" name="Drop Down 31">
              <controlPr defaultSize="0" print="0" autoLine="0" autoPict="0">
                <anchor moveWithCells="1" sizeWithCells="1">
                  <from>
                    <xdr:col>5</xdr:col>
                    <xdr:colOff>0</xdr:colOff>
                    <xdr:row>10</xdr:row>
                    <xdr:rowOff>182880</xdr:rowOff>
                  </from>
                  <to>
                    <xdr:col>6</xdr:col>
                    <xdr:colOff>0</xdr:colOff>
                    <xdr:row>12</xdr:row>
                    <xdr:rowOff>0</xdr:rowOff>
                  </to>
                </anchor>
              </controlPr>
            </control>
          </mc:Choice>
        </mc:AlternateContent>
        <mc:AlternateContent xmlns:mc="http://schemas.openxmlformats.org/markup-compatibility/2006">
          <mc:Choice Requires="x14">
            <control shapeId="16416" r:id="rId9" name="Drop Down 32">
              <controlPr defaultSize="0" print="0" autoLine="0" autoPict="0">
                <anchor moveWithCells="1" sizeWithCells="1">
                  <from>
                    <xdr:col>6</xdr:col>
                    <xdr:colOff>0</xdr:colOff>
                    <xdr:row>10</xdr:row>
                    <xdr:rowOff>182880</xdr:rowOff>
                  </from>
                  <to>
                    <xdr:col>8</xdr:col>
                    <xdr:colOff>0</xdr:colOff>
                    <xdr:row>12</xdr:row>
                    <xdr:rowOff>0</xdr:rowOff>
                  </to>
                </anchor>
              </controlPr>
            </control>
          </mc:Choice>
        </mc:AlternateContent>
        <mc:AlternateContent xmlns:mc="http://schemas.openxmlformats.org/markup-compatibility/2006">
          <mc:Choice Requires="x14">
            <control shapeId="16417" r:id="rId10" name="Drop Down 33">
              <controlPr defaultSize="0" print="0" autoLine="0" autoPict="0">
                <anchor moveWithCells="1" sizeWithCells="1">
                  <from>
                    <xdr:col>8</xdr:col>
                    <xdr:colOff>0</xdr:colOff>
                    <xdr:row>10</xdr:row>
                    <xdr:rowOff>182880</xdr:rowOff>
                  </from>
                  <to>
                    <xdr:col>9</xdr:col>
                    <xdr:colOff>0</xdr:colOff>
                    <xdr:row>12</xdr:row>
                    <xdr:rowOff>0</xdr:rowOff>
                  </to>
                </anchor>
              </controlPr>
            </control>
          </mc:Choice>
        </mc:AlternateContent>
        <mc:AlternateContent xmlns:mc="http://schemas.openxmlformats.org/markup-compatibility/2006">
          <mc:Choice Requires="x14">
            <control shapeId="16418" r:id="rId11" name="Drop Down 34">
              <controlPr defaultSize="0" print="0" autoLine="0" autoPict="0">
                <anchor moveWithCells="1" sizeWithCells="1">
                  <from>
                    <xdr:col>9</xdr:col>
                    <xdr:colOff>0</xdr:colOff>
                    <xdr:row>10</xdr:row>
                    <xdr:rowOff>182880</xdr:rowOff>
                  </from>
                  <to>
                    <xdr:col>10</xdr:col>
                    <xdr:colOff>0</xdr:colOff>
                    <xdr:row>12</xdr:row>
                    <xdr:rowOff>0</xdr:rowOff>
                  </to>
                </anchor>
              </controlPr>
            </control>
          </mc:Choice>
        </mc:AlternateContent>
        <mc:AlternateContent xmlns:mc="http://schemas.openxmlformats.org/markup-compatibility/2006">
          <mc:Choice Requires="x14">
            <control shapeId="16428" r:id="rId12" name="Check Box 44">
              <controlPr defaultSize="0" autoFill="0" autoLine="0" autoPict="0">
                <anchor moveWithCells="1" sizeWithCells="1">
                  <from>
                    <xdr:col>8</xdr:col>
                    <xdr:colOff>678180</xdr:colOff>
                    <xdr:row>21</xdr:row>
                    <xdr:rowOff>259080</xdr:rowOff>
                  </from>
                  <to>
                    <xdr:col>9</xdr:col>
                    <xdr:colOff>68580</xdr:colOff>
                    <xdr:row>23</xdr:row>
                    <xdr:rowOff>38100</xdr:rowOff>
                  </to>
                </anchor>
              </controlPr>
            </control>
          </mc:Choice>
        </mc:AlternateContent>
        <mc:AlternateContent xmlns:mc="http://schemas.openxmlformats.org/markup-compatibility/2006">
          <mc:Choice Requires="x14">
            <control shapeId="16433" r:id="rId13" name="Drop Down 49">
              <controlPr defaultSize="0" print="0" autoLine="0" autoPict="0">
                <anchor moveWithCells="1" sizeWithCells="1">
                  <from>
                    <xdr:col>3</xdr:col>
                    <xdr:colOff>0</xdr:colOff>
                    <xdr:row>24</xdr:row>
                    <xdr:rowOff>0</xdr:rowOff>
                  </from>
                  <to>
                    <xdr:col>5</xdr:col>
                    <xdr:colOff>518160</xdr:colOff>
                    <xdr:row>25</xdr:row>
                    <xdr:rowOff>7620</xdr:rowOff>
                  </to>
                </anchor>
              </controlPr>
            </control>
          </mc:Choice>
        </mc:AlternateContent>
        <mc:AlternateContent xmlns:mc="http://schemas.openxmlformats.org/markup-compatibility/2006">
          <mc:Choice Requires="x14">
            <control shapeId="16435" r:id="rId14" name="Check Box 51">
              <controlPr locked="0" defaultSize="0" autoFill="0" autoLine="0" autoPict="0">
                <anchor moveWithCells="1" sizeWithCells="1">
                  <from>
                    <xdr:col>9</xdr:col>
                    <xdr:colOff>464820</xdr:colOff>
                    <xdr:row>14</xdr:row>
                    <xdr:rowOff>114300</xdr:rowOff>
                  </from>
                  <to>
                    <xdr:col>9</xdr:col>
                    <xdr:colOff>708660</xdr:colOff>
                    <xdr:row>16</xdr:row>
                    <xdr:rowOff>7620</xdr:rowOff>
                  </to>
                </anchor>
              </controlPr>
            </control>
          </mc:Choice>
        </mc:AlternateContent>
        <mc:AlternateContent xmlns:mc="http://schemas.openxmlformats.org/markup-compatibility/2006">
          <mc:Choice Requires="x14">
            <control shapeId="16444" r:id="rId15" name="Drop Down 60">
              <controlPr defaultSize="0" print="0" autoLine="0" autoPict="0">
                <anchor moveWithCells="1" sizeWithCells="1">
                  <from>
                    <xdr:col>9</xdr:col>
                    <xdr:colOff>0</xdr:colOff>
                    <xdr:row>28</xdr:row>
                    <xdr:rowOff>99060</xdr:rowOff>
                  </from>
                  <to>
                    <xdr:col>10</xdr:col>
                    <xdr:colOff>0</xdr:colOff>
                    <xdr:row>30</xdr:row>
                    <xdr:rowOff>0</xdr:rowOff>
                  </to>
                </anchor>
              </controlPr>
            </control>
          </mc:Choice>
        </mc:AlternateContent>
        <mc:AlternateContent xmlns:mc="http://schemas.openxmlformats.org/markup-compatibility/2006">
          <mc:Choice Requires="x14">
            <control shapeId="16448" r:id="rId16" name="Drop Down 64">
              <controlPr defaultSize="0" autoLine="0" autoPict="0">
                <anchor moveWithCells="1" sizeWithCells="1">
                  <from>
                    <xdr:col>8</xdr:col>
                    <xdr:colOff>464820</xdr:colOff>
                    <xdr:row>8</xdr:row>
                    <xdr:rowOff>22860</xdr:rowOff>
                  </from>
                  <to>
                    <xdr:col>10</xdr:col>
                    <xdr:colOff>76200</xdr:colOff>
                    <xdr:row>8</xdr:row>
                    <xdr:rowOff>236220</xdr:rowOff>
                  </to>
                </anchor>
              </controlPr>
            </control>
          </mc:Choice>
        </mc:AlternateContent>
        <mc:AlternateContent xmlns:mc="http://schemas.openxmlformats.org/markup-compatibility/2006">
          <mc:Choice Requires="x14">
            <control shapeId="16449" r:id="rId17" name="Drop Down 65">
              <controlPr defaultSize="0" print="0" autoLine="0" autoPict="0">
                <anchor moveWithCells="1" sizeWithCells="1">
                  <from>
                    <xdr:col>9</xdr:col>
                    <xdr:colOff>0</xdr:colOff>
                    <xdr:row>30</xdr:row>
                    <xdr:rowOff>22860</xdr:rowOff>
                  </from>
                  <to>
                    <xdr:col>10</xdr:col>
                    <xdr:colOff>0</xdr:colOff>
                    <xdr:row>31</xdr:row>
                    <xdr:rowOff>22860</xdr:rowOff>
                  </to>
                </anchor>
              </controlPr>
            </control>
          </mc:Choice>
        </mc:AlternateContent>
        <mc:AlternateContent xmlns:mc="http://schemas.openxmlformats.org/markup-compatibility/2006">
          <mc:Choice Requires="x14">
            <control shapeId="16458" r:id="rId18" name="Drop Down 74">
              <controlPr defaultSize="0" print="0" autoLine="0" autoPict="0">
                <anchor moveWithCells="1" sizeWithCells="1">
                  <from>
                    <xdr:col>9</xdr:col>
                    <xdr:colOff>0</xdr:colOff>
                    <xdr:row>31</xdr:row>
                    <xdr:rowOff>30480</xdr:rowOff>
                  </from>
                  <to>
                    <xdr:col>10</xdr:col>
                    <xdr:colOff>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T835"/>
  <sheetViews>
    <sheetView showZeros="0" zoomScaleNormal="100" workbookViewId="0">
      <selection activeCell="B3" sqref="B3:J3"/>
    </sheetView>
  </sheetViews>
  <sheetFormatPr baseColWidth="10" defaultColWidth="11.44140625" defaultRowHeight="12"/>
  <cols>
    <col min="1" max="1" width="3.44140625" style="1392" customWidth="1"/>
    <col min="2" max="2" width="30.6640625" style="31" customWidth="1"/>
    <col min="3" max="3" width="6" style="31" customWidth="1"/>
    <col min="4" max="4" width="6.6640625" style="31" customWidth="1"/>
    <col min="5" max="8" width="9.6640625" style="31" customWidth="1"/>
    <col min="9" max="9" width="0.6640625" style="31" customWidth="1"/>
    <col min="10" max="10" width="9.44140625" style="31" customWidth="1"/>
    <col min="11" max="11" width="3.6640625" style="1019" customWidth="1"/>
    <col min="12" max="12" width="3.109375" style="31" customWidth="1"/>
    <col min="13" max="16384" width="11.44140625" style="31"/>
  </cols>
  <sheetData>
    <row r="1" spans="1:11" ht="2.4" customHeight="1">
      <c r="B1" s="29"/>
      <c r="C1" s="29"/>
      <c r="D1" s="1094"/>
      <c r="E1" s="29"/>
      <c r="F1" s="29"/>
      <c r="G1" s="29"/>
      <c r="H1" s="587" t="s">
        <v>660</v>
      </c>
      <c r="I1" s="29"/>
      <c r="J1" s="30"/>
    </row>
    <row r="2" spans="1:11" ht="13.8">
      <c r="B2" s="32" t="s">
        <v>629</v>
      </c>
      <c r="C2" s="29"/>
      <c r="D2" s="29"/>
      <c r="E2" s="29"/>
      <c r="F2" s="29"/>
      <c r="G2" s="29"/>
      <c r="H2" s="29"/>
      <c r="I2" s="29"/>
      <c r="J2" s="1307" t="s">
        <v>1855</v>
      </c>
    </row>
    <row r="3" spans="1:11" ht="15" customHeight="1">
      <c r="B3" s="1769">
        <f>IF(Domanda!C7&lt;&gt;0," "&amp;Domanda!C7,)</f>
        <v>0</v>
      </c>
      <c r="C3" s="1770"/>
      <c r="D3" s="1770"/>
      <c r="E3" s="1770"/>
      <c r="F3" s="1770"/>
      <c r="G3" s="1770"/>
      <c r="H3" s="1770"/>
      <c r="I3" s="1770"/>
      <c r="J3" s="1771"/>
    </row>
    <row r="4" spans="1:11" ht="15" customHeight="1">
      <c r="B4" s="1772">
        <f>IF(Domanda!C8&lt;&gt;0," "&amp;Domanda!C8,)</f>
        <v>0</v>
      </c>
      <c r="C4" s="1773"/>
      <c r="D4" s="1773"/>
      <c r="E4" s="1773"/>
      <c r="F4" s="1773"/>
      <c r="G4" s="1773"/>
      <c r="H4" s="1773"/>
      <c r="I4" s="1773"/>
      <c r="J4" s="1774"/>
    </row>
    <row r="5" spans="1:11" ht="15" customHeight="1">
      <c r="B5" s="1775">
        <f>IF(Domanda!C9&lt;&gt;0," "&amp;Domanda!C9&amp;" "&amp;Domanda!E9,)</f>
        <v>0</v>
      </c>
      <c r="C5" s="1776"/>
      <c r="D5" s="1776"/>
      <c r="E5" s="1776"/>
      <c r="F5" s="1776"/>
      <c r="G5" s="1776"/>
      <c r="H5" s="1776"/>
      <c r="I5" s="1776"/>
      <c r="J5" s="1777"/>
    </row>
    <row r="6" spans="1:11" ht="1.2" customHeight="1">
      <c r="B6" s="33"/>
      <c r="C6" s="34"/>
      <c r="D6" s="34"/>
      <c r="E6" s="34"/>
      <c r="F6" s="34"/>
      <c r="G6" s="34"/>
      <c r="H6" s="34"/>
      <c r="I6" s="34"/>
      <c r="J6" s="34"/>
    </row>
    <row r="7" spans="1:11">
      <c r="A7" s="1393" t="s">
        <v>1487</v>
      </c>
      <c r="B7" s="872"/>
      <c r="D7" s="34"/>
      <c r="E7" s="34"/>
      <c r="F7" s="34"/>
      <c r="G7" s="34"/>
      <c r="H7" s="102" t="s">
        <v>630</v>
      </c>
      <c r="I7" s="34"/>
      <c r="J7" s="33">
        <f>IF(Standardwerte!$R$28&gt;1,4,IF(Standardwerte!$N$28&gt;1,3,IF(Standardwerte!$R$24&gt;1,2,IF(Standardwerte!$N$24&gt;1,1,))))</f>
        <v>0</v>
      </c>
    </row>
    <row r="8" spans="1:11" ht="1.2" customHeight="1">
      <c r="A8" s="1393"/>
      <c r="B8" s="29"/>
      <c r="C8" s="29"/>
      <c r="D8" s="29"/>
      <c r="E8" s="29"/>
      <c r="F8" s="29"/>
      <c r="G8" s="29"/>
      <c r="H8" s="29"/>
      <c r="I8" s="29"/>
      <c r="J8" s="29"/>
    </row>
    <row r="9" spans="1:11" ht="19.649999999999999" customHeight="1">
      <c r="A9" s="1393" t="s">
        <v>1488</v>
      </c>
      <c r="B9" s="35" t="s">
        <v>631</v>
      </c>
      <c r="C9" s="162"/>
      <c r="D9" s="44" t="s">
        <v>254</v>
      </c>
      <c r="E9" s="632">
        <f>Input!C28</f>
        <v>0</v>
      </c>
      <c r="F9" s="45" t="s">
        <v>496</v>
      </c>
      <c r="G9" s="44" t="s">
        <v>497</v>
      </c>
      <c r="H9" s="1095"/>
      <c r="I9" s="1095"/>
      <c r="J9" s="1096"/>
    </row>
    <row r="10" spans="1:11">
      <c r="A10" s="1393"/>
      <c r="B10" s="1308" t="s">
        <v>295</v>
      </c>
      <c r="C10" s="36"/>
      <c r="D10" s="36"/>
      <c r="E10" s="36"/>
      <c r="F10" s="36"/>
      <c r="G10" s="36"/>
      <c r="H10" s="36"/>
      <c r="I10" s="36"/>
      <c r="J10" s="37"/>
    </row>
    <row r="11" spans="1:11">
      <c r="A11" s="1393" t="s">
        <v>1489</v>
      </c>
      <c r="B11" s="38" t="s">
        <v>1271</v>
      </c>
      <c r="C11" s="39"/>
      <c r="D11" s="39"/>
      <c r="E11" s="40">
        <v>1</v>
      </c>
      <c r="F11" s="40">
        <v>2</v>
      </c>
      <c r="G11" s="40">
        <v>3</v>
      </c>
      <c r="H11" s="40">
        <v>4</v>
      </c>
      <c r="I11" s="41"/>
      <c r="J11" s="42" t="s">
        <v>1272</v>
      </c>
    </row>
    <row r="12" spans="1:11" ht="22.65" customHeight="1">
      <c r="A12" s="1393" t="s">
        <v>1490</v>
      </c>
      <c r="B12" s="254" t="s">
        <v>874</v>
      </c>
      <c r="C12" s="1781" t="str">
        <f>IF(minergiep,IF(AND(Standardwerte!BO55,Standardwerte!BO56,Standardwerte!BO57,Standardwerte!BO58),"","mit MINERGIE-P nicht möglich"),"")</f>
        <v/>
      </c>
      <c r="D12" s="1782"/>
      <c r="E12" s="665" t="str">
        <f>Standardwerte!K4</f>
        <v/>
      </c>
      <c r="F12" s="416" t="str">
        <f>Standardwerte!M4</f>
        <v/>
      </c>
      <c r="G12" s="650" t="str">
        <f>Standardwerte!O4</f>
        <v/>
      </c>
      <c r="H12" s="416" t="str">
        <f>Standardwerte!Q4</f>
        <v/>
      </c>
      <c r="I12" s="651"/>
      <c r="J12" s="652" t="s">
        <v>1273</v>
      </c>
    </row>
    <row r="13" spans="1:11" ht="22.65" customHeight="1">
      <c r="A13" s="1393" t="s">
        <v>1491</v>
      </c>
      <c r="B13" s="54" t="s">
        <v>953</v>
      </c>
      <c r="C13" s="885"/>
      <c r="D13" s="886"/>
      <c r="E13" s="664" t="str">
        <f>Standardwerte!J102</f>
        <v/>
      </c>
      <c r="F13" s="647" t="str">
        <f>Standardwerte!K102</f>
        <v/>
      </c>
      <c r="G13" s="648" t="str">
        <f>Standardwerte!L102</f>
        <v/>
      </c>
      <c r="H13" s="646" t="str">
        <f>Standardwerte!M102</f>
        <v/>
      </c>
      <c r="I13" s="654"/>
      <c r="J13" s="698"/>
    </row>
    <row r="14" spans="1:11" ht="17.25" hidden="1" customHeight="1">
      <c r="A14" s="1393" t="s">
        <v>1492</v>
      </c>
      <c r="B14" s="54" t="s">
        <v>296</v>
      </c>
      <c r="C14" s="646" t="s">
        <v>1274</v>
      </c>
      <c r="D14" s="646" t="s">
        <v>457</v>
      </c>
      <c r="E14" s="888">
        <f>E15</f>
        <v>0</v>
      </c>
      <c r="F14" s="889">
        <f>F15</f>
        <v>0</v>
      </c>
      <c r="G14" s="889">
        <f>G15</f>
        <v>0</v>
      </c>
      <c r="H14" s="889">
        <f>H15</f>
        <v>0</v>
      </c>
      <c r="I14" s="1092"/>
      <c r="J14" s="1309">
        <f>IF(OR(E15&lt;E14,F15&lt;F14,G15&lt;G14,H15&lt;H14),"SREo deve essere &lt;= a SRE",EBFo1+EBFo2+EBFo3+EBFo4)</f>
        <v>0</v>
      </c>
      <c r="K14" s="1020"/>
    </row>
    <row r="15" spans="1:11" ht="17.25" customHeight="1">
      <c r="A15" s="1393" t="s">
        <v>1493</v>
      </c>
      <c r="B15" s="54" t="s">
        <v>593</v>
      </c>
      <c r="C15" s="646" t="s">
        <v>1199</v>
      </c>
      <c r="D15" s="646" t="s">
        <v>457</v>
      </c>
      <c r="E15" s="888">
        <f>Input!C33</f>
        <v>0</v>
      </c>
      <c r="F15" s="889">
        <f>Input!C44</f>
        <v>0</v>
      </c>
      <c r="G15" s="889">
        <f>Input!C55</f>
        <v>0</v>
      </c>
      <c r="H15" s="889">
        <f>Input!C66</f>
        <v>0</v>
      </c>
      <c r="I15" s="637"/>
      <c r="J15" s="639">
        <f>IF(OR(E15&lt;E14,F15&lt;F14,G15&lt;G14,H15&lt;H14),0,_EBF1+_EBF2+_EBF3+_EBF4)</f>
        <v>0</v>
      </c>
    </row>
    <row r="16" spans="1:11" ht="17.25" customHeight="1">
      <c r="A16" s="1393" t="s">
        <v>1494</v>
      </c>
      <c r="B16" s="54" t="s">
        <v>1275</v>
      </c>
      <c r="C16" s="646" t="s">
        <v>1198</v>
      </c>
      <c r="D16" s="646" t="str">
        <f>"-"</f>
        <v>-</v>
      </c>
      <c r="E16" s="1310">
        <f>Input!C34</f>
        <v>0</v>
      </c>
      <c r="F16" s="670">
        <f>Input!C45</f>
        <v>0</v>
      </c>
      <c r="G16" s="670">
        <f>Input!C56</f>
        <v>0</v>
      </c>
      <c r="H16" s="670">
        <f>Input!C67</f>
        <v>0</v>
      </c>
      <c r="I16" s="637"/>
      <c r="J16" s="641">
        <f>IF(EBF=0,0,(AEBF1*_EBF1+AEBF2*_EBF2+AEBF3*_EBF3+AEBF4*_EBF4)/EBF)</f>
        <v>0</v>
      </c>
    </row>
    <row r="17" spans="1:20" ht="22.65" customHeight="1">
      <c r="A17" s="1393" t="s">
        <v>1495</v>
      </c>
      <c r="B17" s="54" t="s">
        <v>1221</v>
      </c>
      <c r="C17" s="653"/>
      <c r="D17" s="653"/>
      <c r="E17" s="664">
        <f>IF(Neubau1&gt;0,INDEX(Standardwerte!$AI$23:$AI$29,Neubau1,1),)</f>
        <v>0</v>
      </c>
      <c r="F17" s="647">
        <f>IF(Neubau2&gt;0,INDEX(Standardwerte!$AI$23:$AI$29,Neubau2,1),)</f>
        <v>0</v>
      </c>
      <c r="G17" s="648">
        <f>IF(Neubau3&gt;0,INDEX(Standardwerte!$AI$23:$AI$29,Neubau3,1),)</f>
        <v>0</v>
      </c>
      <c r="H17" s="646">
        <f>IF(Neubau4&gt;0,INDEX(Standardwerte!$AI$23:$AI$29,Neubau4,1),)</f>
        <v>0</v>
      </c>
      <c r="I17" s="654"/>
      <c r="J17" s="698"/>
    </row>
    <row r="18" spans="1:20" ht="22.65" customHeight="1">
      <c r="A18" s="1393" t="s">
        <v>1496</v>
      </c>
      <c r="B18" s="55" t="s">
        <v>1276</v>
      </c>
      <c r="C18" s="936"/>
      <c r="D18" s="936"/>
      <c r="E18" s="938">
        <f>IF(abgabe1&gt;0,INDEX(Standardwerte!$AE$23:$AE$29,abgabe1,1),)</f>
        <v>0</v>
      </c>
      <c r="F18" s="659">
        <f>IF(abgabe2&gt;0,INDEX(Standardwerte!$AE$23:$AE$29,abgabe2,1),)</f>
        <v>0</v>
      </c>
      <c r="G18" s="939">
        <f>IF(abgabe3&gt;0,INDEX(Standardwerte!$AE$23:$AE$29,abgabe3,1),)</f>
        <v>0</v>
      </c>
      <c r="H18" s="659">
        <f>IF(abgabe4&gt;0,INDEX(Standardwerte!$AE$23:$AE$29,abgabe4,1),)</f>
        <v>0</v>
      </c>
      <c r="I18" s="937"/>
      <c r="J18" s="947">
        <f>IF(OR(abgabe1=7,abgabe2=7,abgabe3=7,abgabe4=7),"Designazione negli annessi",)</f>
        <v>0</v>
      </c>
    </row>
    <row r="19" spans="1:20" ht="17.25" customHeight="1">
      <c r="A19" s="1393" t="s">
        <v>1497</v>
      </c>
      <c r="B19" s="55" t="s">
        <v>681</v>
      </c>
      <c r="C19" s="936"/>
      <c r="D19" s="936"/>
      <c r="E19" s="1353">
        <f>IF(Zonen&gt;0,IF(Estate!N52,"soddisfatto","non soddisfatto"),)</f>
        <v>0</v>
      </c>
      <c r="F19" s="1353">
        <f>IF(Zonen&gt;1,IF(Estate!O52,"soddisfatto","non soddisfatto"),)</f>
        <v>0</v>
      </c>
      <c r="G19" s="1353">
        <f>IF(Zonen&gt;2,IF(Estate!P52,"soddisfatto","non soddisfatto"),)</f>
        <v>0</v>
      </c>
      <c r="H19" s="1353">
        <f>IF(Zonen&gt;3,IF(Estate!Q52,"soddisfatto","non soddisfatto"),)</f>
        <v>0</v>
      </c>
      <c r="I19" s="937"/>
      <c r="J19" s="947">
        <f>IF(OR(abgabe1=7,abgabe2=7,abgabe3=7,abgabe4=7),"Designazione negli annessi",)</f>
        <v>0</v>
      </c>
    </row>
    <row r="20" spans="1:20" ht="17.25" customHeight="1">
      <c r="A20" s="1393" t="s">
        <v>1498</v>
      </c>
      <c r="B20" s="54" t="str">
        <f>"Fabb. riscaldam. con ric. aria standard "</f>
        <v xml:space="preserve">Fabb. riscaldam. con ric. aria standard </v>
      </c>
      <c r="C20" s="646" t="str">
        <f>"Qh"</f>
        <v>Qh</v>
      </c>
      <c r="D20" s="646" t="s">
        <v>1459</v>
      </c>
      <c r="E20" s="888">
        <f>Input!C37</f>
        <v>0</v>
      </c>
      <c r="F20" s="889">
        <f>Input!C48</f>
        <v>0</v>
      </c>
      <c r="G20" s="889">
        <f>Input!C59</f>
        <v>0</v>
      </c>
      <c r="H20" s="889">
        <f>Input!C70</f>
        <v>0</v>
      </c>
      <c r="I20" s="1093">
        <f>IF(OR(AND(Zonen&gt;0,_qhs1=0,,Kategorie1&lt;13),AND(Zonen&gt;1,_qhs2=0,Kategorie2&lt;13),AND(Zonen&gt;2,_qhs3=0,Kategorie3&lt;13),AND(Zonen&gt;3,_qhs4=0,Kategorie4&lt;13)),0,1)</f>
        <v>1</v>
      </c>
      <c r="J20" s="1489" t="str">
        <f>IF(Primaeranforderung="",IF(EBF&gt;0,(_qhs1*_EBF1+_qhs2*_EBF2+_qhs3*_EBF3+_qhs4*_EBF4)/EBF,0),IF(Verifica!G35="","",IF(minergiep,IF(Primaeranforderung&gt;0,IF((IF(EBF=0,0,(_qhs1*_EBF1+_qhs2*_EBF2+_qhs3*_EBF3+_qhs4*_EBF4)/EBF))&gt;0,IF((qhs_vollständig*IF(EBF=0,0,(_qhs1*_EBF1+_qhs2*_EBF2+_qhs3*_EBF3+_qhs4*_EBF4)/EBF)/3.6)&gt;Primaeranforderung,"Requisito 2 non soddisfatto",IF(EBF=0,0,(_qhs1*_EBF1+_qhs2*_EBF2+_qhs3*_EBF3+_qhs4*_EBF4)/EBF)),),IF(EBF=0,0,(_qhs1*_EBF1+_qhs2*_EBF2+_qhs3*_EBF3+_qhs4*_EBF4)/EBF)),IF(Primaeranforderung&gt;0,IF((IF(EBF=0,0,(_qhs1*_EBF1+_qhs2*_EBF2+_qhs3*_EBF3+_qhs4*_EBF4)/EBF))&gt;0,IF(Verifica!G35&gt;Primaeranforderung,"Requisito pri- mario non sodd.",IF(EBF=0,0,Verifica!G35*3.6)),),IF(EBF=0,0,Verifica!G35*3.6)))))</f>
        <v/>
      </c>
    </row>
    <row r="21" spans="1:20" ht="17.25" customHeight="1">
      <c r="A21" s="1393" t="s">
        <v>1499</v>
      </c>
      <c r="B21" s="257" t="str">
        <f>IF(minergiea,"Spezifische Graue Energie",IF(minergiep,IF(Luftheizung,"Spezifischer Wärmeleistungsbedarf-MP",""),IF(Hoehe&gt;=800,"fattore ombreggiamento","")))</f>
        <v>Spezifische Graue Energie</v>
      </c>
      <c r="C21" s="1312" t="str">
        <f>IF(minergiea,"",IF(minergiep,IF(Luftheizung,"qh,max",""),IF(Hoehe&gt;=800,"FS1","")))</f>
        <v/>
      </c>
      <c r="D21" s="1312" t="str">
        <f>IF(minergiea,"MJ/m2",IF(minergiep,IF(Luftheizung,"W/m2",""),IF(Hoehe&gt;=800,"-","")))</f>
        <v>MJ/m2</v>
      </c>
      <c r="E21" s="1659"/>
      <c r="F21" s="1660">
        <f>Input!C49</f>
        <v>0</v>
      </c>
      <c r="G21" s="1660">
        <f>Input!C60</f>
        <v>0</v>
      </c>
      <c r="H21" s="1660">
        <f>Input!C71</f>
        <v>0</v>
      </c>
      <c r="I21" s="1661"/>
      <c r="J21" s="1662" t="str">
        <f>IF(minergiea,"",IF(minergiep,IF(EBF&gt;0,IF(OR(F_s1&gt;qhmax,F_s2&gt;qhmax,F_s3&gt;qhmax,F_s4&gt;qhmax),"Requisito 1   non soddisfatto",""),""),IF(OR(F_s1&gt;1,F_s2&gt;1,F_s3&gt;1,F_s4&gt;1),"Fs &gt; 1:                  non possibile",)))</f>
        <v/>
      </c>
    </row>
    <row r="22" spans="1:20" ht="17.25" customHeight="1">
      <c r="A22" s="31"/>
      <c r="E22" s="215">
        <v>3</v>
      </c>
      <c r="F22" s="215">
        <v>3</v>
      </c>
      <c r="G22" s="215">
        <v>3</v>
      </c>
      <c r="H22" s="215">
        <v>3</v>
      </c>
    </row>
    <row r="23" spans="1:20" ht="15" customHeight="1">
      <c r="B23" s="35" t="s">
        <v>29</v>
      </c>
      <c r="C23" s="43"/>
      <c r="D23" s="1371"/>
      <c r="E23" s="899" t="str">
        <f>IF(Standardwerte!AG50,"2)",IF(Standardwerte!AG49,"1)",""))</f>
        <v/>
      </c>
      <c r="F23" s="899" t="str">
        <f>IF(Standardwerte!AI50,"2)",IF(Standardwerte!AI49,"1)",""))</f>
        <v/>
      </c>
      <c r="G23" s="899" t="str">
        <f>IF(Standardwerte!AK50,"2)",IF(Standardwerte!AK49,"1)",""))</f>
        <v/>
      </c>
      <c r="H23" s="899" t="str">
        <f>IF(Standardwerte!AM50,"2)",IF(Standardwerte!AM49,"1)",""))</f>
        <v/>
      </c>
      <c r="I23" s="45"/>
      <c r="J23" s="46"/>
    </row>
    <row r="24" spans="1:20" ht="11.25" customHeight="1">
      <c r="B24" s="1308" t="s">
        <v>1397</v>
      </c>
      <c r="C24" s="47"/>
      <c r="D24" s="36"/>
      <c r="E24" s="36"/>
      <c r="F24" s="36"/>
      <c r="G24" s="48"/>
      <c r="H24" s="49"/>
      <c r="I24" s="50"/>
      <c r="J24" s="51"/>
    </row>
    <row r="25" spans="1:20" ht="15" customHeight="1">
      <c r="B25" s="1409" t="s">
        <v>682</v>
      </c>
      <c r="C25" s="47"/>
      <c r="D25" s="1522" t="s">
        <v>1271</v>
      </c>
      <c r="E25" s="631">
        <v>1</v>
      </c>
      <c r="F25" s="631">
        <v>2</v>
      </c>
      <c r="G25" s="631">
        <v>3</v>
      </c>
      <c r="H25" s="631">
        <v>4</v>
      </c>
      <c r="I25" s="52"/>
      <c r="J25" s="53" t="s">
        <v>1272</v>
      </c>
      <c r="S25" s="252"/>
      <c r="T25" s="252"/>
    </row>
    <row r="26" spans="1:20" ht="22.65" customHeight="1">
      <c r="A26" s="1393" t="s">
        <v>795</v>
      </c>
      <c r="B26" s="170" t="str">
        <f>IF(minergiep,"Num. facciate esterne / Posiz. dell'edificio","Piccoli impianti con valori standard")</f>
        <v>Piccoli impianti con valori standard</v>
      </c>
      <c r="C26" s="655"/>
      <c r="D26" s="656"/>
      <c r="E26" s="665" t="str">
        <f ca="1">OFFSET(Standardwerte!AG39,Standardlüftung1-1,0)</f>
        <v/>
      </c>
      <c r="F26" s="416" t="str">
        <f ca="1">OFFSET(Standardwerte!AI39,Standardlüftung2-1,0)</f>
        <v/>
      </c>
      <c r="G26" s="416" t="str">
        <f ca="1">OFFSET(Standardwerte!AK39,Standardlüftung3-1,0)</f>
        <v/>
      </c>
      <c r="H26" s="416" t="str">
        <f ca="1">OFFSET(Standardwerte!AM39,Standardlüftung4-1,0)</f>
        <v/>
      </c>
      <c r="I26" s="633"/>
      <c r="J26" s="931">
        <f>IF(OR(minergiep,minergiea),,IF(OR(AND(Standardlüftung1=3,_EBF1&gt;2000),AND(Standardlüftung2=3,_EBF2&gt;2000),AND(Standardlüftung3=3,_EBF3&gt;2000),AND(Standardlüftung4=3,_EBF4&gt;2000)),"Selezione non possibile ( SRE ! )",IF(OR(AND(Standardlüftung1=3,Aerazione!J12&gt;1000,Kategorie1&lt;4),AND(Standardlüftung2=3,Aerazione!J53&gt;1000,Kategorie2&lt;4),AND(Standardlüftung3=3,Aerazione!J94&gt;1000,Kategorie3&lt;4),AND(Standardlüftung4=3,Aerazione!J135&gt;1000,Kategorie4&lt;4)),"non possibile         ( V&gt;1000m3/h )",)))</f>
        <v>0</v>
      </c>
      <c r="S26" s="252"/>
      <c r="T26" s="252"/>
    </row>
    <row r="27" spans="1:20" ht="22.65" customHeight="1">
      <c r="A27" s="1393" t="s">
        <v>796</v>
      </c>
      <c r="B27" s="54" t="s">
        <v>752</v>
      </c>
      <c r="C27" s="653"/>
      <c r="D27" s="646"/>
      <c r="E27" s="646" t="str">
        <f ca="1">OFFSET(Aerazione!O5,Lüftung1-1,0)</f>
        <v/>
      </c>
      <c r="F27" s="647" t="str">
        <f ca="1">OFFSET(Aerazione!O46,Lüftung2-1,0)</f>
        <v/>
      </c>
      <c r="G27" s="646" t="str">
        <f ca="1">OFFSET(Aerazione!O87,Lüftung3-1,0)</f>
        <v/>
      </c>
      <c r="H27" s="646" t="str">
        <f ca="1">OFFSET(Aerazione!O128,Lüftung4-1,0)</f>
        <v/>
      </c>
      <c r="I27" s="635"/>
      <c r="J27" s="698">
        <f>IF(FehlerLüftung1=2,"Selezionare aerazione",IF(OR(Lüftung1=3,Lüftung2=3,Lüftung3=3,Lüftung4=3,Lüftung1=5,Lüftung2=5,Lüftung3=5,Lüftung4=5),"verificare:   V &gt; Vmin,impianto",))</f>
        <v>0</v>
      </c>
      <c r="K27" s="1019" t="s">
        <v>1396</v>
      </c>
      <c r="S27" s="252"/>
      <c r="T27" s="252"/>
    </row>
    <row r="28" spans="1:20" ht="17.25" customHeight="1">
      <c r="A28" s="1393" t="s">
        <v>1500</v>
      </c>
      <c r="B28" s="1313">
        <f>IF(OR(Kategorie1=2,Kategorie1=3,Kategorie2=2,Kategorie2=3,Kategorie3=2,Kategorie3=3,Kategorie4=2,Kategorie4=3),IF(OR(Kategorie1=4,Kategorie1=5,Kategorie2=4,Kategorie2=5,Kategorie3=4,Kategorie3=5,Kategorie4=4,Kategorie4=5),"locali con immissione o numero persone","Numero locali con immissione"),IF(OR(Kategorie1=4,Kategorie1=5,Kategorie2=4,Kategorie2=5,Kategorie3=4,Kategorie3=5,Kategorie4=4,Kategorie4=5),"Numero persone",))</f>
        <v>0</v>
      </c>
      <c r="C28" s="646"/>
      <c r="D28" s="646"/>
      <c r="E28" s="636"/>
      <c r="F28" s="636"/>
      <c r="G28" s="636"/>
      <c r="H28" s="636"/>
      <c r="I28" s="634"/>
      <c r="J28" s="638"/>
      <c r="K28" s="1019" t="s">
        <v>1396</v>
      </c>
      <c r="S28" s="252"/>
      <c r="T28" s="252"/>
    </row>
    <row r="29" spans="1:20" ht="22.65" hidden="1" customHeight="1">
      <c r="A29" s="1393" t="s">
        <v>1501</v>
      </c>
      <c r="B29" s="54" t="s">
        <v>753</v>
      </c>
      <c r="C29" s="646"/>
      <c r="D29" s="646"/>
      <c r="E29" s="1412"/>
      <c r="F29" s="1412"/>
      <c r="G29" s="1412"/>
      <c r="H29" s="1412"/>
      <c r="I29" s="634"/>
      <c r="J29" s="639"/>
    </row>
    <row r="30" spans="1:20" ht="22.65" customHeight="1">
      <c r="A30" s="1393" t="s">
        <v>1502</v>
      </c>
      <c r="B30" s="54" t="s">
        <v>1752</v>
      </c>
      <c r="C30" s="663"/>
      <c r="D30" s="646"/>
      <c r="E30" s="647">
        <f ca="1">OFFSET(Aerazione!$O$28,WRGtyp1-1,0)</f>
        <v>0</v>
      </c>
      <c r="F30" s="647">
        <f ca="1">OFFSET(Aerazione!$O$69,WRGtyp2-1,0)</f>
        <v>0</v>
      </c>
      <c r="G30" s="647">
        <f ca="1">OFFSET(Aerazione!$O$110,WRGtyp3-1,0)</f>
        <v>0</v>
      </c>
      <c r="H30" s="647">
        <f ca="1">OFFSET(Aerazione!$O$151,WRGtyp4-1,0)</f>
        <v>0</v>
      </c>
      <c r="I30" s="634" t="s">
        <v>409</v>
      </c>
      <c r="J30" s="698"/>
    </row>
    <row r="31" spans="1:20" ht="22.65" customHeight="1">
      <c r="A31" s="1393" t="s">
        <v>1503</v>
      </c>
      <c r="B31" s="54" t="s">
        <v>1756</v>
      </c>
      <c r="C31" s="646"/>
      <c r="D31" s="646"/>
      <c r="E31" s="647">
        <f ca="1">OFFSET(Aerazione!O31,ACDC1-1,0)</f>
        <v>0</v>
      </c>
      <c r="F31" s="647">
        <f ca="1">OFFSET(Aerazione!O72,ACDC2-1,0)</f>
        <v>0</v>
      </c>
      <c r="G31" s="647">
        <f ca="1">OFFSET(Aerazione!O113,ACDC3-1,0)</f>
        <v>0</v>
      </c>
      <c r="H31" s="647">
        <f ca="1">OFFSET(Aerazione!O154,ACDC4-1,0)</f>
        <v>0</v>
      </c>
      <c r="I31" s="634"/>
      <c r="J31" s="639"/>
    </row>
    <row r="32" spans="1:20" ht="17.25" hidden="1" customHeight="1">
      <c r="A32" s="1393" t="s">
        <v>1504</v>
      </c>
      <c r="B32" s="55" t="s">
        <v>614</v>
      </c>
      <c r="C32" s="658" t="s">
        <v>483</v>
      </c>
      <c r="D32" s="659" t="s">
        <v>776</v>
      </c>
      <c r="E32" s="649">
        <f ca="1">Aerazione!$Y$29/100</f>
        <v>0</v>
      </c>
      <c r="F32" s="649">
        <f ca="1">Aerazione!$Y$70/100</f>
        <v>0</v>
      </c>
      <c r="G32" s="649">
        <f ca="1">Aerazione!$Y$111/100</f>
        <v>0</v>
      </c>
      <c r="H32" s="649">
        <f ca="1">Aerazione!$Y$152/100</f>
        <v>0</v>
      </c>
      <c r="I32" s="644"/>
      <c r="J32" s="642">
        <f>IF(EBF=0,0,(_WRG1*_EBF1+_WRG2*_EBF2+_WRG3*_EBF3+_WRG4*_EBF4)/EBF)</f>
        <v>0</v>
      </c>
    </row>
    <row r="33" spans="1:13" ht="17.25" customHeight="1">
      <c r="A33" s="1393" t="s">
        <v>1505</v>
      </c>
      <c r="B33" s="1134" t="s">
        <v>615</v>
      </c>
      <c r="C33" s="661"/>
      <c r="D33" s="1312" t="s">
        <v>883</v>
      </c>
      <c r="E33" s="1406">
        <f ca="1">VSup1</f>
        <v>0</v>
      </c>
      <c r="F33" s="1406">
        <f ca="1">VSup2</f>
        <v>0</v>
      </c>
      <c r="G33" s="1406">
        <f ca="1">VSup3</f>
        <v>0</v>
      </c>
      <c r="H33" s="1406">
        <f ca="1">VSup4</f>
        <v>0</v>
      </c>
      <c r="I33" s="1407"/>
      <c r="J33" s="1408"/>
      <c r="K33" s="1021"/>
    </row>
    <row r="34" spans="1:13" ht="17.25" customHeight="1">
      <c r="B34" s="1409" t="s">
        <v>1205</v>
      </c>
      <c r="C34" s="1242"/>
      <c r="D34" s="1410"/>
      <c r="E34" s="1410"/>
      <c r="F34" s="1410"/>
      <c r="G34" s="1410"/>
      <c r="H34" s="1410"/>
      <c r="I34" s="1410"/>
      <c r="J34" s="1411"/>
      <c r="K34" s="289"/>
    </row>
    <row r="35" spans="1:13" ht="22.65" customHeight="1">
      <c r="A35" s="1393" t="s">
        <v>1506</v>
      </c>
      <c r="B35" s="55" t="s">
        <v>686</v>
      </c>
      <c r="C35" s="885"/>
      <c r="D35" s="886"/>
      <c r="E35" s="664">
        <f>IF(Standardwerte!J118=0,"",INDEX(Standardwerte!J113:J117,Standardwerte!J118))</f>
        <v>0</v>
      </c>
      <c r="F35" s="647">
        <f>IF(Standardwerte!K118=0,"",INDEX(Standardwerte!K113:K117,Standardwerte!K118))</f>
        <v>0</v>
      </c>
      <c r="G35" s="648">
        <f>IF(Standardwerte!L118=0,"",INDEX(Standardwerte!L113:L117,Standardwerte!L118))</f>
        <v>0</v>
      </c>
      <c r="H35" s="646">
        <f>IF(Standardwerte!M118=0,"",INDEX(Standardwerte!M113:M117,Standardwerte!M118))</f>
        <v>0</v>
      </c>
      <c r="I35" s="654"/>
      <c r="J35" s="698">
        <f>IF(OR(AND(Zonen&gt;3,Standardwerte!$M$118=1),AND(Zonen&gt;2,Standardwerte!$L$118=1),AND(Zonen&gt;1,Standardwerte!$K$118=1),AND(Zonen&gt;0,Standardwerte!$J$118=1)),"Manca il dato",)</f>
        <v>0</v>
      </c>
    </row>
    <row r="36" spans="1:13" ht="17.25" customHeight="1">
      <c r="A36" s="1392" t="s">
        <v>1507</v>
      </c>
      <c r="B36" s="54" t="s">
        <v>1826</v>
      </c>
      <c r="C36" s="657" t="s">
        <v>1072</v>
      </c>
      <c r="D36" s="646" t="s">
        <v>883</v>
      </c>
      <c r="E36" s="1417"/>
      <c r="F36" s="1418"/>
      <c r="G36" s="1418"/>
      <c r="H36" s="1418"/>
      <c r="I36" s="1419"/>
      <c r="J36" s="1420">
        <f>E36+F36+G36+H36</f>
        <v>0</v>
      </c>
    </row>
    <row r="37" spans="1:13" ht="17.25" customHeight="1">
      <c r="A37" s="1392" t="s">
        <v>1508</v>
      </c>
      <c r="B37" s="54" t="s">
        <v>1825</v>
      </c>
      <c r="C37" s="657" t="s">
        <v>691</v>
      </c>
      <c r="D37" s="646" t="s">
        <v>950</v>
      </c>
      <c r="E37" s="1417"/>
      <c r="F37" s="1418"/>
      <c r="G37" s="1418"/>
      <c r="H37" s="1418"/>
      <c r="I37" s="1419"/>
      <c r="J37" s="1420">
        <f>E37+F37+G37+H37</f>
        <v>0</v>
      </c>
    </row>
    <row r="38" spans="1:13" ht="17.25" customHeight="1">
      <c r="A38" s="1392" t="s">
        <v>1509</v>
      </c>
      <c r="B38" s="54" t="s">
        <v>1827</v>
      </c>
      <c r="C38" s="657" t="s">
        <v>692</v>
      </c>
      <c r="D38" s="646" t="s">
        <v>950</v>
      </c>
      <c r="E38" s="1417"/>
      <c r="F38" s="1418"/>
      <c r="G38" s="1418"/>
      <c r="H38" s="1418"/>
      <c r="I38" s="1520"/>
      <c r="J38" s="1521">
        <f>E38+F38+G38+H38</f>
        <v>0</v>
      </c>
    </row>
    <row r="39" spans="1:13" ht="17.25" customHeight="1">
      <c r="A39" s="1392" t="s">
        <v>797</v>
      </c>
      <c r="B39" s="54" t="str">
        <f>IF(minergiea,"Fabb. el. ausiliari",IF(minergiep,"Fabb. el. umid./ausiliari","Fabb. el umid. + ausiliari "))</f>
        <v>Fabb. el. ausiliari</v>
      </c>
      <c r="C39" s="657" t="s">
        <v>693</v>
      </c>
      <c r="D39" s="1512" t="s">
        <v>950</v>
      </c>
      <c r="E39" s="1517"/>
      <c r="F39" s="1518"/>
      <c r="G39" s="1518"/>
      <c r="H39" s="1518"/>
      <c r="I39" s="1519"/>
      <c r="J39" s="1510">
        <f>E39+F39+G39+H39</f>
        <v>0</v>
      </c>
    </row>
    <row r="40" spans="1:13" ht="17.25" customHeight="1">
      <c r="B40" s="1409" t="s">
        <v>694</v>
      </c>
      <c r="C40" s="1242"/>
      <c r="D40" s="1410"/>
      <c r="E40" s="1410"/>
      <c r="F40" s="1410"/>
      <c r="G40" s="1410"/>
      <c r="H40" s="1410"/>
      <c r="I40" s="1410"/>
      <c r="J40" s="1411"/>
    </row>
    <row r="41" spans="1:13" ht="17.25" customHeight="1">
      <c r="A41" s="1393" t="s">
        <v>798</v>
      </c>
      <c r="B41" s="1135" t="s">
        <v>6</v>
      </c>
      <c r="C41" s="657" t="s">
        <v>1200</v>
      </c>
      <c r="D41" s="646" t="s">
        <v>882</v>
      </c>
      <c r="E41" s="640">
        <f ca="1">IF(E66,VEBFo1,IF(AND(E36&gt;0,E15&gt;0,E64),E36/E15+0.15,IF(minergiep,(IF(AND(E36&gt;0,E15&gt;0),E36/E15,0)+IF(EBFo1&gt;0,(VSup1/EBFo1*(1-(1-(1-_WRG1)*(1-_LER1)))+Anetto_AEBF1*hlicht1*e_1*nL50_1)*beta1+(Anetto_AEBF1*hlicht1*e_1*nL50_1*(1-beta1)),0))*LER_Reduktion1,VEBFo1)))</f>
        <v>0</v>
      </c>
      <c r="F41" s="640">
        <f ca="1">IF(F66,VEBFo2,IF(AND(F36&gt;0,F15&gt;0,F64),F36/F15+0.15,IF(minergiep,(IF(AND(F36&gt;0,F15&gt;0),F36/F15,0)+IF(EBFo2&gt;0,(VSup2/EBFo2*(1-(1-(1-_WRG2)*(1-_LER2)))+Anetto_AEBF2*hlicht2*e_2*nL50_2)*beta2+(Anetto_AEBF2*hlicht2*e_2*nL50_2*(1-beta2)),0))*LER_Reduktion2,VEBFo2)))</f>
        <v>0</v>
      </c>
      <c r="G41" s="640">
        <f ca="1">IF(G66,VEBFo3,IF(AND(G36&gt;0,G15&gt;0,G64),G36/G15+0.15,IF(minergiep,(IF(AND(G36&gt;0,G15&gt;0),G36/G15,0)+IF(EBFo3&gt;0,(VSup3/EBFo3*(1-(1-(1-_WRG3)*(1-_LER3)))+Anetto_AEBF3*hlicht3*e_3*nL50_3)*beta3+(Anetto_AEBF3*hlicht3*e_3*nL50_3*(1-beta3)),0))*LER_Reduktion3,VEBFo3)))</f>
        <v>0</v>
      </c>
      <c r="H41" s="640">
        <f ca="1">IF(H66,VEBFo4,IF(AND(H15&gt;0,H36&gt;0,H64),H36/H15+0.15,IF(minergiep,(IF(AND(H15&gt;0,H36&gt;0),H36/H15,0)+IF(EBFo4&gt;0,(VSup4/EBFo4*(1-(1-(1-_WRG4)*(1-_LER4)))+Anetto_AEBF4*hlicht4*e_4*nL50_4)*beta4+(Anetto_AEBF4*hlicht4*e_4*nL50_4*(1-beta4)),0))*LER_Reduktion4,VEBFo4)))</f>
        <v>0</v>
      </c>
      <c r="I41" s="643"/>
      <c r="J41" s="641">
        <f>IF(AND(EBFo&gt;0,EBF&gt;0),(E41*EBFo1+F41*EBFo2+G41*EBFo3+H41*EBFo4)/EBFo,)</f>
        <v>0</v>
      </c>
    </row>
    <row r="42" spans="1:13" ht="17.25" customHeight="1">
      <c r="A42" s="1393" t="s">
        <v>1510</v>
      </c>
      <c r="B42" s="257" t="s">
        <v>7</v>
      </c>
      <c r="C42" s="1312" t="s">
        <v>695</v>
      </c>
      <c r="D42" s="1312" t="s">
        <v>1459</v>
      </c>
      <c r="E42" s="1413">
        <f>Input!C40</f>
        <v>0</v>
      </c>
      <c r="F42" s="891">
        <f>Input!C51</f>
        <v>0</v>
      </c>
      <c r="G42" s="891">
        <f>Input!C62</f>
        <v>0</v>
      </c>
      <c r="H42" s="891">
        <f>Input!C73</f>
        <v>0</v>
      </c>
      <c r="I42" s="1414">
        <f>IF(OR(AND(Zonen&gt;0,_qh1=0,Kategorie1&lt;13),AND(Zonen&gt;1,_qh2=0,Kategorie2&lt;13),AND(Zonen&gt;2,_qh3=0,Kategorie3&lt;13),AND(Zonen&gt;3,_qh4=0,Kategorie4&lt;13)),0,1)</f>
        <v>1</v>
      </c>
      <c r="J42" s="1415">
        <f>IF(EBF=0,0,(E42*_EBF1+F42*_EBF2+G42*_EBF3+H42*_EBF4)/EBF)</f>
        <v>0</v>
      </c>
    </row>
    <row r="43" spans="1:13" ht="17.25" customHeight="1">
      <c r="B43" s="1024" t="str">
        <f>IF(OR(minergiea,minergiep),"",IF(Standardwerte!AO49,Standardwerte!AF49,"")&amp;IF(Standardwerte!AO50,Standardwerte!AF50,""))</f>
        <v/>
      </c>
      <c r="C43" s="134"/>
      <c r="D43" s="134"/>
      <c r="E43" s="630"/>
      <c r="F43" s="630"/>
      <c r="G43" s="630"/>
      <c r="H43" s="630"/>
      <c r="I43" s="135"/>
      <c r="J43" s="137"/>
    </row>
    <row r="44" spans="1:13" ht="11.4" hidden="1" customHeight="1">
      <c r="C44" s="134"/>
      <c r="D44" s="134"/>
      <c r="E44" s="630"/>
      <c r="F44" s="630"/>
      <c r="G44" s="630"/>
      <c r="H44" s="630"/>
      <c r="I44" s="135"/>
      <c r="J44" s="137"/>
    </row>
    <row r="45" spans="1:13" ht="17.25" customHeight="1">
      <c r="B45" s="1314" t="s">
        <v>616</v>
      </c>
      <c r="C45" s="1315" t="s">
        <v>954</v>
      </c>
      <c r="D45" s="1315"/>
      <c r="E45" s="1316"/>
      <c r="F45" s="1317" t="s">
        <v>8</v>
      </c>
      <c r="G45" s="253"/>
      <c r="H45" s="1318" t="s">
        <v>617</v>
      </c>
      <c r="I45" s="182"/>
      <c r="J45" s="1319" t="s">
        <v>618</v>
      </c>
      <c r="L45" s="214"/>
      <c r="M45" s="214"/>
    </row>
    <row r="46" spans="1:13" ht="17.25" customHeight="1">
      <c r="A46" s="1393" t="s">
        <v>1511</v>
      </c>
      <c r="B46" s="55" t="str">
        <f>IF(auswahl1&gt;0,INDEX(Standardwerte!$AF$5:$AF$13,2),"")</f>
        <v>Elettrodomestici</v>
      </c>
      <c r="C46" s="1778" t="str">
        <f>IF(minergiea,"Bestgeräte",IF(auswahl1&gt;0,INDEX(Standardwerte!$BA$5:$BA$13,2),""))</f>
        <v>Bestgeräte</v>
      </c>
      <c r="D46" s="1779"/>
      <c r="E46" s="1780"/>
      <c r="F46" s="1320" t="s">
        <v>507</v>
      </c>
      <c r="G46" s="1320" t="s">
        <v>620</v>
      </c>
      <c r="H46" s="1321"/>
      <c r="I46" s="1767"/>
      <c r="J46" s="1768"/>
      <c r="L46" s="297" t="b">
        <v>0</v>
      </c>
      <c r="M46" s="297"/>
    </row>
    <row r="47" spans="1:13" ht="17.25" customHeight="1">
      <c r="A47" s="1393" t="s">
        <v>1512</v>
      </c>
      <c r="B47" s="54" t="str">
        <f>IF(auswahl2&gt;0,INDEX(Standardwerte!$AF$5:$AF$13,3),"")</f>
        <v/>
      </c>
      <c r="C47" s="1755" t="str">
        <f>IF(auswahl2&gt;0,INDEX(Standardwerte!$BA$5:$BA$13,3),"")</f>
        <v/>
      </c>
      <c r="D47" s="1756"/>
      <c r="E47" s="1757"/>
      <c r="F47" s="256" t="s">
        <v>507</v>
      </c>
      <c r="G47" s="256" t="s">
        <v>620</v>
      </c>
      <c r="H47" s="868">
        <v>0</v>
      </c>
      <c r="I47" s="1765"/>
      <c r="J47" s="1766"/>
      <c r="L47" s="297" t="b">
        <v>0</v>
      </c>
      <c r="M47" s="1703"/>
    </row>
    <row r="48" spans="1:13" ht="17.25" customHeight="1">
      <c r="A48" s="1393" t="s">
        <v>1513</v>
      </c>
      <c r="B48" s="54" t="str">
        <f>IF(auswahl3&gt;0,INDEX(Standardwerte!$AF$5:$AF$13,4),"")</f>
        <v/>
      </c>
      <c r="C48" s="1755" t="str">
        <f>IF(auswahl3&gt;0,INDEX(Standardwerte!$BA$5:$BA$13,4),"")</f>
        <v/>
      </c>
      <c r="D48" s="1756"/>
      <c r="E48" s="1757"/>
      <c r="F48" s="256" t="s">
        <v>507</v>
      </c>
      <c r="G48" s="256" t="s">
        <v>620</v>
      </c>
      <c r="H48" s="1044"/>
      <c r="I48" s="1753"/>
      <c r="J48" s="1754"/>
      <c r="L48" s="297" t="b">
        <v>0</v>
      </c>
      <c r="M48" s="1703"/>
    </row>
    <row r="49" spans="1:13" ht="17.25" customHeight="1">
      <c r="A49" s="1393" t="s">
        <v>1514</v>
      </c>
      <c r="B49" s="54" t="str">
        <f>IF(auswahl4&gt;0,INDEX(Standardwerte!$AF$5:$AF$13,5),"")</f>
        <v/>
      </c>
      <c r="C49" s="1755" t="str">
        <f>IF(auswahl4&gt;0,INDEX(Standardwerte!$BA$5:$BA$13,5),"")</f>
        <v/>
      </c>
      <c r="D49" s="1756"/>
      <c r="E49" s="1757"/>
      <c r="F49" s="256" t="s">
        <v>507</v>
      </c>
      <c r="G49" s="256" t="s">
        <v>620</v>
      </c>
      <c r="H49" s="1044"/>
      <c r="I49" s="1753"/>
      <c r="J49" s="1754"/>
      <c r="L49" s="297" t="b">
        <v>0</v>
      </c>
      <c r="M49" s="1703"/>
    </row>
    <row r="50" spans="1:13" ht="17.25" customHeight="1">
      <c r="A50" s="1393" t="s">
        <v>1515</v>
      </c>
      <c r="B50" s="54" t="str">
        <f>IF(auswahl5&gt;0,INDEX(Standardwerte!$AF$5:$AF$13,6),"")</f>
        <v/>
      </c>
      <c r="C50" s="1755" t="str">
        <f>IF(auswahl5&gt;0,INDEX(Standardwerte!$BA$5:$BA$13,6),"")</f>
        <v/>
      </c>
      <c r="D50" s="1756"/>
      <c r="E50" s="1757"/>
      <c r="F50" s="256" t="s">
        <v>507</v>
      </c>
      <c r="G50" s="256" t="s">
        <v>620</v>
      </c>
      <c r="H50" s="1044"/>
      <c r="I50" s="1753"/>
      <c r="J50" s="1754"/>
      <c r="L50" s="297" t="b">
        <v>0</v>
      </c>
      <c r="M50" s="1703"/>
    </row>
    <row r="51" spans="1:13" ht="17.25" customHeight="1">
      <c r="A51" s="1393" t="s">
        <v>1516</v>
      </c>
      <c r="B51" s="54" t="str">
        <f>IF(auswahl6&gt;0,INDEX(Standardwerte!$AF$5:$AF$13,7),"")</f>
        <v/>
      </c>
      <c r="C51" s="1755" t="str">
        <f>IF(auswahl6&gt;0,INDEX(Standardwerte!$BA$5:$BA$13,7),"")</f>
        <v/>
      </c>
      <c r="D51" s="1756"/>
      <c r="E51" s="1757"/>
      <c r="F51" s="256" t="s">
        <v>507</v>
      </c>
      <c r="G51" s="256" t="s">
        <v>620</v>
      </c>
      <c r="H51" s="1044"/>
      <c r="I51" s="1753"/>
      <c r="J51" s="1754"/>
      <c r="L51" s="297" t="b">
        <v>0</v>
      </c>
      <c r="M51" s="1703"/>
    </row>
    <row r="52" spans="1:13" ht="17.25" customHeight="1">
      <c r="A52" s="1393" t="s">
        <v>1517</v>
      </c>
      <c r="B52" s="54" t="str">
        <f>IF(auswahl7&gt;0,INDEX(Standardwerte!$AF$5:$AF$13,8),"")</f>
        <v/>
      </c>
      <c r="C52" s="1755" t="str">
        <f>IF(auswahl7&gt;0,INDEX(Standardwerte!$BA$5:$BA$13,8),"")</f>
        <v/>
      </c>
      <c r="D52" s="1756"/>
      <c r="E52" s="1757"/>
      <c r="F52" s="256" t="s">
        <v>507</v>
      </c>
      <c r="G52" s="256" t="s">
        <v>620</v>
      </c>
      <c r="H52" s="1044"/>
      <c r="I52" s="1753"/>
      <c r="J52" s="1754"/>
      <c r="L52" s="297" t="b">
        <v>0</v>
      </c>
      <c r="M52" s="1703"/>
    </row>
    <row r="53" spans="1:13" ht="17.25" customHeight="1">
      <c r="A53" s="1393" t="s">
        <v>249</v>
      </c>
      <c r="B53" s="257" t="str">
        <f>IF(auswahl8&gt;0,INDEX(Standardwerte!$AF$5:$AF$13,9),"")</f>
        <v>Impermeabilità all'aria dell'involucro</v>
      </c>
      <c r="C53" s="1762" t="str">
        <f>IF(auswahl8&gt;0,INDEX(Standardwerte!$BA$5:$BA$13,9),"")</f>
        <v>Ermeticità all'aria n50, st&lt;0.6 (risp. 1.5) 1/h</v>
      </c>
      <c r="D53" s="1763"/>
      <c r="E53" s="1764"/>
      <c r="F53" s="260" t="s">
        <v>507</v>
      </c>
      <c r="G53" s="260" t="s">
        <v>620</v>
      </c>
      <c r="H53" s="1571" t="str">
        <f>IF(OR(minergiep,minergiea),IF(Neubau=2,"0.6 1/h",IF(Neubau=3,"1.5 1/h","0.6 (bzw. 1.5)")),)</f>
        <v>0.6 (bzw. 1.5)</v>
      </c>
      <c r="I53" s="1760"/>
      <c r="J53" s="1761"/>
      <c r="L53" s="297" t="b">
        <v>0</v>
      </c>
      <c r="M53" s="1703"/>
    </row>
    <row r="54" spans="1:13" ht="17.25" hidden="1" customHeight="1">
      <c r="A54" s="1393"/>
      <c r="B54" s="1361" t="s">
        <v>1465</v>
      </c>
      <c r="C54" s="228"/>
      <c r="D54" s="228"/>
      <c r="E54" s="1416" t="b">
        <f>AND(Zonen&gt;0,OR(Lüftung1=2,Lüftung1=6,AND(Lüftung1=3,WRGtyp1&gt;1)))</f>
        <v>0</v>
      </c>
      <c r="F54" s="1416"/>
      <c r="G54" s="1416"/>
      <c r="H54" s="1416"/>
      <c r="I54" s="228"/>
      <c r="J54" s="1041" t="b">
        <f>OR(E54,F54,G54,H54)</f>
        <v>0</v>
      </c>
    </row>
    <row r="55" spans="1:13" ht="17.25" hidden="1" customHeight="1">
      <c r="B55" s="1361" t="s">
        <v>420</v>
      </c>
      <c r="C55" s="228"/>
      <c r="D55" s="228"/>
      <c r="E55" s="1416" t="b">
        <f>AND(Zonen&gt;0,OR(Lüftung1=3))</f>
        <v>0</v>
      </c>
      <c r="F55" s="1416"/>
      <c r="G55" s="1416"/>
      <c r="H55" s="1416"/>
      <c r="I55" s="228"/>
      <c r="J55" s="1041" t="b">
        <f>OR(E55,F55,G55,H55)</f>
        <v>0</v>
      </c>
    </row>
    <row r="56" spans="1:13" s="59" customFormat="1" ht="13.2" hidden="1">
      <c r="A56" s="509"/>
      <c r="B56" s="229" t="s">
        <v>1197</v>
      </c>
      <c r="C56" s="228"/>
      <c r="D56" s="228"/>
      <c r="E56" s="1553" t="b">
        <f>IF(OR(Standardwerte!J118=3,Standardwerte!J118=4),TRUE,FALSE)</f>
        <v>0</v>
      </c>
      <c r="F56" s="1553" t="b">
        <f>IF(OR(Standardwerte!K118=3,Standardwerte!K118=4),TRUE,FALSE)</f>
        <v>0</v>
      </c>
      <c r="G56" s="1553" t="b">
        <f>IF(OR(Standardwerte!L118=3,Standardwerte!L118=4),TRUE,FALSE)</f>
        <v>0</v>
      </c>
      <c r="H56" s="1553" t="b">
        <f>IF(OR(Standardwerte!M118=3,Standardwerte!M118=4),TRUE,FALSE)</f>
        <v>0</v>
      </c>
      <c r="I56" s="228"/>
      <c r="J56" s="1041"/>
      <c r="K56" s="1022"/>
      <c r="L56" s="1022"/>
    </row>
    <row r="57" spans="1:13" s="59" customFormat="1" ht="13.2" hidden="1">
      <c r="A57" s="509"/>
      <c r="B57" s="1758" t="s">
        <v>1005</v>
      </c>
      <c r="C57" s="1759"/>
      <c r="D57" s="1759"/>
      <c r="E57" s="1554" t="b">
        <f>IF(OR(Standardwerte!J118=2,Standardwerte!J118=4),TRUE,FALSE)</f>
        <v>0</v>
      </c>
      <c r="F57" s="1554" t="b">
        <f>IF(OR(Standardwerte!K118=2,Standardwerte!K118=4),TRUE,FALSE)</f>
        <v>0</v>
      </c>
      <c r="G57" s="1554" t="b">
        <f>IF(OR(Standardwerte!L118=2,Standardwerte!L118=4),TRUE,FALSE)</f>
        <v>0</v>
      </c>
      <c r="H57" s="1554" t="b">
        <f>IF(OR(Standardwerte!M118=2,Standardwerte!M118=4),TRUE,FALSE)</f>
        <v>0</v>
      </c>
      <c r="I57" s="92"/>
      <c r="J57" s="184"/>
      <c r="K57" s="1022"/>
      <c r="L57" s="1022"/>
    </row>
    <row r="58" spans="1:13" s="59" customFormat="1" ht="13.2" hidden="1">
      <c r="A58" s="509"/>
      <c r="B58" s="229" t="s">
        <v>892</v>
      </c>
      <c r="C58" s="228"/>
      <c r="D58" s="228"/>
      <c r="E58" s="1416" t="b">
        <f>IF(OR(Standardwerte!J118=2,Standardwerte!J118=3,Standardwerte!J118=4),TRUE,FALSE)</f>
        <v>0</v>
      </c>
      <c r="F58" s="1416" t="b">
        <f>IF(OR(Standardwerte!K118=2,Standardwerte!K118=3,Standardwerte!K118=4)*2,TRUE,FALSE)</f>
        <v>0</v>
      </c>
      <c r="G58" s="1416" t="b">
        <f>IF(OR(Standardwerte!L118=2,Standardwerte!L118=3,Standardwerte!L118=4),TRUE,FALSE)</f>
        <v>0</v>
      </c>
      <c r="H58" s="1416" t="b">
        <f>IF(OR(Standardwerte!M118=2,Standardwerte!M118=3,Standardwerte!M118=4),TRUE,FALSE)</f>
        <v>0</v>
      </c>
      <c r="I58" s="228"/>
      <c r="J58" s="1041"/>
      <c r="K58" s="1022"/>
    </row>
    <row r="59" spans="1:13" s="59" customFormat="1" ht="13.95" hidden="1" customHeight="1">
      <c r="A59" s="509"/>
      <c r="B59" s="1311" t="str">
        <f>IF(minergiep,"Elettr. consumi accessori / Refrigerazione","- Dato d'inserimento (allegare calcolo)")</f>
        <v>- Dato d'inserimento (allegare calcolo)</v>
      </c>
      <c r="C59" s="1312"/>
      <c r="D59" s="1312" t="s">
        <v>410</v>
      </c>
      <c r="E59" s="890">
        <f>IF(E15&gt;0,(E38+E39)/E15,)</f>
        <v>0</v>
      </c>
      <c r="F59" s="891">
        <f>IF(F15&gt;0,(F38+F39)/F15,)</f>
        <v>0</v>
      </c>
      <c r="G59" s="891">
        <f>IF(G15&gt;0,(G38+G39)/G15,)</f>
        <v>0</v>
      </c>
      <c r="H59" s="891">
        <f>IF(H15&gt;0,(H38+H39)/H15,)</f>
        <v>0</v>
      </c>
      <c r="I59" s="666"/>
      <c r="J59" s="667">
        <f>IF(EBF&gt;0,(E_Qk11*_EBF1+E_Qk22*_EBF2+E_Qk33*_EBF3+E_Qk44*_EBF4)/EBF,0)</f>
        <v>0</v>
      </c>
      <c r="K59" s="1022"/>
    </row>
    <row r="60" spans="1:13" s="59" customFormat="1" ht="13.95" hidden="1" customHeight="1">
      <c r="A60" s="509"/>
      <c r="B60" s="1134" t="str">
        <f>"Dato determinato (allegare il calcolo)"</f>
        <v>Dato determinato (allegare il calcolo)</v>
      </c>
      <c r="C60" s="661" t="s">
        <v>405</v>
      </c>
      <c r="D60" s="1312" t="s">
        <v>410</v>
      </c>
      <c r="E60" s="890">
        <f>IF(AND(E15&gt;0,E66=FALSE),E37/E15,)</f>
        <v>0</v>
      </c>
      <c r="F60" s="891">
        <f>IF(AND(F15&gt;0,F66=FALSE),F37/F15,)</f>
        <v>0</v>
      </c>
      <c r="G60" s="891">
        <f>IF(AND(G15&gt;0,G66=FALSE),G37/G15,)</f>
        <v>0</v>
      </c>
      <c r="H60" s="891">
        <f>IF(AND(H15&gt;0,H66=FALSE),H37/H15,)</f>
        <v>0</v>
      </c>
      <c r="I60" s="645"/>
      <c r="J60" s="1101" t="str">
        <f ca="1">IF(I61=0,"fabbisogno corrente per d‘aerazione mancano","")</f>
        <v/>
      </c>
      <c r="K60" s="1022"/>
    </row>
    <row r="61" spans="1:13" s="59" customFormat="1" ht="13.2" hidden="1">
      <c r="A61" s="509"/>
      <c r="B61" s="1135" t="s">
        <v>248</v>
      </c>
      <c r="C61" s="660" t="s">
        <v>405</v>
      </c>
      <c r="D61" s="659" t="s">
        <v>410</v>
      </c>
      <c r="E61" s="1421">
        <f ca="1">IF(OR(E60&gt;0,_Qel1&gt;0),IF(E60&gt;0,E60,_Qel1),)</f>
        <v>0</v>
      </c>
      <c r="F61" s="1421">
        <f ca="1">IF(OR(F60&gt;0,_Qel2&gt;0),IF(F60&gt;0,F60,_Qel2),)</f>
        <v>0</v>
      </c>
      <c r="G61" s="1421">
        <f ca="1">IF(OR(G60&gt;0,_Qel3&gt;0),IF(G60&gt;0,G60,_Qel3),)</f>
        <v>0</v>
      </c>
      <c r="H61" s="1421">
        <f ca="1">IF(OR(H60&gt;0,_Qel4&gt;0),IF(H60&gt;0,H60,_Qel4),)</f>
        <v>0</v>
      </c>
      <c r="I61" s="1422">
        <f ca="1">IF(OR(AND(Zonen&gt;0,_Qe1=0,Kategorie1&lt;13),AND(Zonen&gt;1,_Qe2=0,Kategorie2&lt;13),AND(Zonen&gt;2,_Qe3=0,Kategorie3&lt;13),AND(Zonen&gt;3,_Qe4=0,Kategorie4&lt;13)),0,1)</f>
        <v>1</v>
      </c>
      <c r="J61" s="1423">
        <f>IF(EBF&gt;0,(_Qe1*_EBF1+_Qe2*_EBF2+_Qe3*_EBF3+_Qe4*_EBF4)/EBF,)</f>
        <v>0</v>
      </c>
      <c r="K61" s="1022"/>
    </row>
    <row r="62" spans="1:13" s="59" customFormat="1" ht="13.2" hidden="1">
      <c r="B62" s="1511" t="str">
        <f>IF(minergiep,"","Strombedarf Klima")</f>
        <v>Strombedarf Klima</v>
      </c>
      <c r="C62" s="1512"/>
      <c r="D62" s="1513" t="str">
        <f>IF(minergiep,,"kWh/m2")</f>
        <v>kWh/m2</v>
      </c>
      <c r="E62" s="1514">
        <f>IF(minergiep,E_Qk11,IF(E_Qk11&gt;0,E_Qk11,0))</f>
        <v>0</v>
      </c>
      <c r="F62" s="1514">
        <f>IF(minergiep,E_Qk22,IF(E_Qk22&gt;0,E_Qk22,0))</f>
        <v>0</v>
      </c>
      <c r="G62" s="1514">
        <f>IF(minergiep,E_Qk33,IF(E_Qk33&gt;0,E_Qk33,0))</f>
        <v>0</v>
      </c>
      <c r="H62" s="1514">
        <f>IF(minergiep,E_Qk44,IF(E_Qk44&gt;0,E_Qk44,0))</f>
        <v>0</v>
      </c>
      <c r="I62" s="1515"/>
      <c r="J62" s="1516">
        <f>IF(EBF&gt;0,(E_Qk1*_EBF1+E_Qk2*_EBF2+E_Qk3*_EBF3+E_Qk4*_EBF4)/EBF,0)</f>
        <v>0</v>
      </c>
      <c r="K62" s="1022"/>
    </row>
    <row r="63" spans="1:13" s="59" customFormat="1" ht="13.2" hidden="1">
      <c r="B63" s="1361" t="s">
        <v>1466</v>
      </c>
      <c r="C63" s="228"/>
      <c r="D63" s="228"/>
      <c r="E63" s="1416" t="b">
        <f>AND(Zonen&gt;0,Lüftung1=5)</f>
        <v>0</v>
      </c>
      <c r="F63" s="1416"/>
      <c r="G63" s="1416"/>
      <c r="H63" s="1416"/>
      <c r="I63" s="228"/>
      <c r="J63" s="1041" t="b">
        <f>OR(E63,F63,G63,H63)</f>
        <v>0</v>
      </c>
      <c r="K63" s="1022"/>
    </row>
    <row r="64" spans="1:13" s="59" customFormat="1" ht="13.2" hidden="1">
      <c r="A64" s="509"/>
      <c r="B64" s="1361" t="s">
        <v>360</v>
      </c>
      <c r="C64" s="228"/>
      <c r="D64" s="1665"/>
      <c r="E64" s="1416" t="b">
        <f>IF(minergiep,TRUE,IF(Standardlüftung1=3,IF(AND(E36&gt;0,E36/(1-_WRG1)&lt;E33),FALSE,TRUE),TRUE))</f>
        <v>1</v>
      </c>
      <c r="F64" s="1416" t="b">
        <f>IF(minergiep,TRUE,IF(Standardlüftung2=3,IF(AND(F36&gt;0,F36/(1-_WRG2)&lt;F33),FALSE,TRUE),TRUE))</f>
        <v>1</v>
      </c>
      <c r="G64" s="1416" t="b">
        <f>IF(minergiep,TRUE,IF(Standardlüftung3=3,IF(AND(G36&gt;0,G36/(1-_WRG3)&lt;G33),FALSE,TRUE),TRUE))</f>
        <v>1</v>
      </c>
      <c r="H64" s="1416" t="b">
        <f>IF(minergiep,TRUE,IF(Standardlüftung4=3,IF(AND(H36&gt;0,H36/(1-_WRG4)&lt;H33),FALSE,TRUE),TRUE))</f>
        <v>1</v>
      </c>
      <c r="I64" s="228"/>
      <c r="J64" s="1041"/>
      <c r="K64" s="1022"/>
    </row>
    <row r="65" spans="1:11" s="59" customFormat="1" ht="13.2" hidden="1">
      <c r="A65" s="509"/>
      <c r="B65" s="1325" t="s">
        <v>361</v>
      </c>
      <c r="C65" s="92"/>
      <c r="D65" s="1666"/>
      <c r="E65" s="1554" t="b">
        <f>IF(minergiep,TRUE,IF(Standardlüftung1=3,IF(AND(E37&gt;0,E37/_EBF1&lt;_Qel1),FALSE,TRUE),TRUE))</f>
        <v>1</v>
      </c>
      <c r="F65" s="1554" t="b">
        <f>IF(minergiep,TRUE,IF(Standardlüftung2=3,IF(AND(F37&gt;0,F37/_EBF2&lt;_Qel2),FALSE,TRUE),TRUE))</f>
        <v>1</v>
      </c>
      <c r="G65" s="1554" t="b">
        <f>IF(minergiep,TRUE,IF(Standardlüftung3=3,IF(AND(G37&gt;0,G37/_EBF3&lt;_Qel3),FALSE,TRUE),TRUE))</f>
        <v>1</v>
      </c>
      <c r="H65" s="1554" t="b">
        <f>IF(minergiep,TRUE,IF(Standardlüftung4=3,IF(AND(H37&gt;0,H37/_EBF4&lt;_Qel4),FALSE,TRUE),TRUE))</f>
        <v>1</v>
      </c>
      <c r="I65" s="92"/>
      <c r="J65" s="184"/>
      <c r="K65" s="1022"/>
    </row>
    <row r="66" spans="1:11" s="59" customFormat="1" ht="13.2" hidden="1">
      <c r="A66" s="509"/>
      <c r="B66" s="229" t="s">
        <v>913</v>
      </c>
      <c r="C66" s="228"/>
      <c r="D66" s="228"/>
      <c r="E66" s="1416" t="b">
        <f>IF(minergiep,FALSE,IF(Standardlüftung1=3,TRUE,FALSE))</f>
        <v>0</v>
      </c>
      <c r="F66" s="1416" t="b">
        <f>IF(minergiep,FALSE,IF(Standardlüftung2=3,TRUE,FALSE))</f>
        <v>0</v>
      </c>
      <c r="G66" s="1416" t="b">
        <f>IF(minergiep,FALSE,IF(Standardlüftung3=3,TRUE,FALSE))</f>
        <v>0</v>
      </c>
      <c r="H66" s="1416" t="b">
        <f>IF(minergiep,FALSE,IF(Standardlüftung4=3,TRUE,FALSE))</f>
        <v>0</v>
      </c>
      <c r="I66" s="228"/>
      <c r="J66" s="1041"/>
      <c r="K66" s="1022"/>
    </row>
    <row r="67" spans="1:11" s="59" customFormat="1" ht="13.2">
      <c r="A67" s="509"/>
      <c r="E67" s="65"/>
      <c r="F67" s="65"/>
      <c r="G67" s="65"/>
      <c r="H67" s="65"/>
      <c r="K67" s="1022"/>
    </row>
    <row r="68" spans="1:11" s="59" customFormat="1" ht="13.2">
      <c r="A68" s="509"/>
      <c r="E68" s="65"/>
      <c r="F68" s="65"/>
      <c r="G68" s="65"/>
      <c r="H68" s="65"/>
      <c r="K68" s="1022"/>
    </row>
    <row r="69" spans="1:11" s="59" customFormat="1" ht="13.2">
      <c r="A69" s="509"/>
      <c r="E69" s="65"/>
      <c r="F69" s="65"/>
      <c r="G69" s="65"/>
      <c r="H69" s="65"/>
      <c r="K69" s="1022"/>
    </row>
    <row r="70" spans="1:11" s="59" customFormat="1" ht="13.2">
      <c r="A70" s="509"/>
      <c r="E70" s="65"/>
      <c r="F70" s="65"/>
      <c r="G70" s="65"/>
      <c r="H70" s="65"/>
      <c r="K70" s="1022"/>
    </row>
    <row r="71" spans="1:11" s="59" customFormat="1" ht="13.2">
      <c r="A71" s="509"/>
      <c r="E71" s="65"/>
      <c r="F71" s="65"/>
      <c r="G71" s="65"/>
      <c r="H71" s="65"/>
      <c r="K71" s="1022"/>
    </row>
    <row r="72" spans="1:11" s="59" customFormat="1" ht="13.2">
      <c r="A72" s="509"/>
      <c r="E72" s="65"/>
      <c r="F72" s="65"/>
      <c r="G72" s="65"/>
      <c r="H72" s="65"/>
      <c r="K72" s="1022"/>
    </row>
    <row r="73" spans="1:11" s="59" customFormat="1" ht="13.2">
      <c r="A73" s="509"/>
      <c r="E73" s="65"/>
      <c r="F73" s="65"/>
      <c r="G73" s="65"/>
      <c r="H73" s="65"/>
      <c r="K73" s="1022"/>
    </row>
    <row r="74" spans="1:11" s="59" customFormat="1" ht="13.2">
      <c r="A74" s="509"/>
      <c r="E74" s="65"/>
      <c r="F74" s="65"/>
      <c r="G74" s="65"/>
      <c r="H74" s="65"/>
      <c r="K74" s="1022"/>
    </row>
    <row r="75" spans="1:11" s="59" customFormat="1" ht="13.2">
      <c r="A75" s="509"/>
      <c r="E75" s="65"/>
      <c r="F75" s="65"/>
      <c r="G75" s="65"/>
      <c r="H75" s="65"/>
      <c r="K75" s="1022"/>
    </row>
    <row r="76" spans="1:11" s="59" customFormat="1" ht="13.2">
      <c r="A76" s="509"/>
      <c r="E76" s="65"/>
      <c r="F76" s="65"/>
      <c r="G76" s="65"/>
      <c r="H76" s="65"/>
      <c r="K76" s="1022"/>
    </row>
    <row r="77" spans="1:11" s="59" customFormat="1" ht="13.2">
      <c r="A77" s="509"/>
      <c r="E77" s="65"/>
      <c r="F77" s="65"/>
      <c r="G77" s="65"/>
      <c r="H77" s="65"/>
      <c r="K77" s="1022"/>
    </row>
    <row r="78" spans="1:11" s="59" customFormat="1" ht="13.2">
      <c r="A78" s="509"/>
      <c r="E78" s="65"/>
      <c r="F78" s="65"/>
      <c r="G78" s="65"/>
      <c r="H78" s="65"/>
      <c r="K78" s="1022"/>
    </row>
    <row r="79" spans="1:11" s="59" customFormat="1" ht="13.2">
      <c r="A79" s="509"/>
      <c r="E79" s="65"/>
      <c r="F79" s="65"/>
      <c r="G79" s="65"/>
      <c r="H79" s="65"/>
      <c r="K79" s="1022"/>
    </row>
    <row r="80" spans="1:11" customFormat="1" ht="13.2">
      <c r="A80" s="1394"/>
      <c r="E80" s="7"/>
      <c r="F80" s="7"/>
      <c r="G80" s="7"/>
      <c r="H80" s="7"/>
      <c r="K80" s="1023"/>
    </row>
    <row r="81" spans="1:11" customFormat="1" ht="13.2">
      <c r="A81" s="1394"/>
      <c r="E81" s="7"/>
      <c r="F81" s="7"/>
      <c r="G81" s="7"/>
      <c r="H81" s="7"/>
      <c r="K81" s="1023"/>
    </row>
    <row r="82" spans="1:11" customFormat="1" ht="13.2">
      <c r="A82" s="1394"/>
      <c r="E82" s="7"/>
      <c r="F82" s="7"/>
      <c r="G82" s="7"/>
      <c r="H82" s="7"/>
      <c r="K82" s="1023"/>
    </row>
    <row r="83" spans="1:11" customFormat="1" ht="13.2">
      <c r="A83" s="1394"/>
      <c r="E83" s="7"/>
      <c r="F83" s="7"/>
      <c r="G83" s="7"/>
      <c r="H83" s="7"/>
      <c r="K83" s="1023"/>
    </row>
    <row r="84" spans="1:11" customFormat="1" ht="13.2">
      <c r="A84" s="1394"/>
      <c r="E84" s="7"/>
      <c r="F84" s="7"/>
      <c r="G84" s="7"/>
      <c r="H84" s="7"/>
      <c r="K84" s="1023"/>
    </row>
    <row r="85" spans="1:11" customFormat="1" ht="13.2">
      <c r="A85" s="1394"/>
      <c r="E85" s="7"/>
      <c r="F85" s="7"/>
      <c r="G85" s="7"/>
      <c r="H85" s="7"/>
      <c r="K85" s="1023"/>
    </row>
    <row r="86" spans="1:11" customFormat="1" ht="13.2">
      <c r="A86" s="1394"/>
      <c r="E86" s="7"/>
      <c r="F86" s="7"/>
      <c r="G86" s="7"/>
      <c r="H86" s="7"/>
      <c r="K86" s="1023"/>
    </row>
    <row r="87" spans="1:11" customFormat="1" ht="13.2">
      <c r="A87" s="1394"/>
      <c r="E87" s="7"/>
      <c r="F87" s="7"/>
      <c r="G87" s="7"/>
      <c r="H87" s="7"/>
      <c r="K87" s="1023"/>
    </row>
    <row r="88" spans="1:11" customFormat="1" ht="13.2">
      <c r="A88" s="1394"/>
      <c r="E88" s="7"/>
      <c r="F88" s="7"/>
      <c r="G88" s="7"/>
      <c r="H88" s="7"/>
      <c r="K88" s="1023"/>
    </row>
    <row r="89" spans="1:11" customFormat="1" ht="13.2">
      <c r="A89" s="1394"/>
      <c r="E89" s="7"/>
      <c r="F89" s="7"/>
      <c r="G89" s="7"/>
      <c r="H89" s="7"/>
      <c r="K89" s="1023"/>
    </row>
    <row r="90" spans="1:11" customFormat="1" ht="13.2">
      <c r="A90" s="1394"/>
      <c r="E90" s="7"/>
      <c r="F90" s="7"/>
      <c r="G90" s="7"/>
      <c r="H90" s="7"/>
      <c r="K90" s="1023"/>
    </row>
    <row r="91" spans="1:11" customFormat="1" ht="13.2">
      <c r="A91" s="1394"/>
      <c r="E91" s="7"/>
      <c r="F91" s="7"/>
      <c r="G91" s="7"/>
      <c r="H91" s="7"/>
      <c r="K91" s="1023"/>
    </row>
    <row r="92" spans="1:11" customFormat="1" ht="13.2">
      <c r="A92" s="1394"/>
      <c r="E92" s="7"/>
      <c r="F92" s="7"/>
      <c r="G92" s="7"/>
      <c r="H92" s="7"/>
      <c r="K92" s="1023"/>
    </row>
    <row r="93" spans="1:11" customFormat="1" ht="13.2">
      <c r="A93" s="1394"/>
      <c r="E93" s="7"/>
      <c r="F93" s="7"/>
      <c r="G93" s="7"/>
      <c r="H93" s="7"/>
      <c r="K93" s="1023"/>
    </row>
    <row r="94" spans="1:11" customFormat="1" ht="13.2">
      <c r="A94" s="1394"/>
      <c r="E94" s="7"/>
      <c r="F94" s="7"/>
      <c r="G94" s="7"/>
      <c r="H94" s="7"/>
      <c r="K94" s="1023"/>
    </row>
    <row r="95" spans="1:11" customFormat="1" ht="13.2">
      <c r="A95" s="1394"/>
      <c r="E95" s="7"/>
      <c r="F95" s="7"/>
      <c r="G95" s="7"/>
      <c r="H95" s="7"/>
      <c r="K95" s="1023"/>
    </row>
    <row r="96" spans="1:11" customFormat="1" ht="13.2">
      <c r="A96" s="1394"/>
      <c r="E96" s="7"/>
      <c r="F96" s="7"/>
      <c r="G96" s="7"/>
      <c r="H96" s="7"/>
      <c r="K96" s="1023"/>
    </row>
    <row r="97" spans="1:11" customFormat="1" ht="13.2">
      <c r="A97" s="1394"/>
      <c r="E97" s="7"/>
      <c r="F97" s="7"/>
      <c r="G97" s="7"/>
      <c r="H97" s="7"/>
      <c r="K97" s="1023"/>
    </row>
    <row r="98" spans="1:11" customFormat="1" ht="13.2">
      <c r="A98" s="1394"/>
      <c r="E98" s="7"/>
      <c r="F98" s="7"/>
      <c r="G98" s="7"/>
      <c r="H98" s="7"/>
      <c r="K98" s="1023"/>
    </row>
    <row r="99" spans="1:11" customFormat="1" ht="13.2">
      <c r="A99" s="1394"/>
      <c r="E99" s="7"/>
      <c r="F99" s="7"/>
      <c r="G99" s="7"/>
      <c r="H99" s="7"/>
      <c r="K99" s="1023"/>
    </row>
    <row r="100" spans="1:11" customFormat="1" ht="13.2">
      <c r="A100" s="1394"/>
      <c r="E100" s="7"/>
      <c r="F100" s="7"/>
      <c r="G100" s="7"/>
      <c r="H100" s="7"/>
      <c r="K100" s="1023"/>
    </row>
    <row r="101" spans="1:11" customFormat="1" ht="13.2">
      <c r="A101" s="1394"/>
      <c r="E101" s="7"/>
      <c r="F101" s="7"/>
      <c r="G101" s="7"/>
      <c r="H101" s="7"/>
      <c r="K101" s="1023"/>
    </row>
    <row r="102" spans="1:11" customFormat="1" ht="13.2">
      <c r="A102" s="1394"/>
      <c r="E102" s="7"/>
      <c r="F102" s="7"/>
      <c r="G102" s="7"/>
      <c r="H102" s="7"/>
      <c r="K102" s="1023"/>
    </row>
    <row r="103" spans="1:11" customFormat="1" ht="13.2">
      <c r="A103" s="1394"/>
      <c r="E103" s="7"/>
      <c r="F103" s="7"/>
      <c r="G103" s="7"/>
      <c r="H103" s="7"/>
      <c r="K103" s="1023"/>
    </row>
    <row r="104" spans="1:11" customFormat="1" ht="13.2">
      <c r="A104" s="1394"/>
      <c r="E104" s="7"/>
      <c r="F104" s="7"/>
      <c r="G104" s="7"/>
      <c r="H104" s="7"/>
      <c r="K104" s="1023"/>
    </row>
    <row r="105" spans="1:11" customFormat="1" ht="13.2">
      <c r="A105" s="1394"/>
      <c r="E105" s="7"/>
      <c r="F105" s="7"/>
      <c r="G105" s="7"/>
      <c r="H105" s="7"/>
      <c r="K105" s="1023"/>
    </row>
    <row r="106" spans="1:11" customFormat="1" ht="13.2">
      <c r="A106" s="1394"/>
      <c r="E106" s="7"/>
      <c r="F106" s="7"/>
      <c r="G106" s="7"/>
      <c r="H106" s="7"/>
      <c r="K106" s="1023"/>
    </row>
    <row r="107" spans="1:11" customFormat="1" ht="13.2">
      <c r="A107" s="1394"/>
      <c r="E107" s="7"/>
      <c r="F107" s="7"/>
      <c r="G107" s="7"/>
      <c r="H107" s="7"/>
      <c r="K107" s="1023"/>
    </row>
    <row r="108" spans="1:11" customFormat="1" ht="13.2">
      <c r="A108" s="1394"/>
      <c r="E108" s="7"/>
      <c r="F108" s="7"/>
      <c r="G108" s="7"/>
      <c r="H108" s="7"/>
      <c r="K108" s="1023"/>
    </row>
    <row r="109" spans="1:11" customFormat="1" ht="13.2">
      <c r="A109" s="1394"/>
      <c r="E109" s="7"/>
      <c r="F109" s="7"/>
      <c r="G109" s="7"/>
      <c r="H109" s="7"/>
      <c r="K109" s="1023"/>
    </row>
    <row r="110" spans="1:11" customFormat="1" ht="13.2">
      <c r="A110" s="1394"/>
      <c r="E110" s="7"/>
      <c r="F110" s="7"/>
      <c r="G110" s="7"/>
      <c r="H110" s="7"/>
      <c r="K110" s="1023"/>
    </row>
    <row r="111" spans="1:11" customFormat="1" ht="13.2">
      <c r="A111" s="1394"/>
      <c r="E111" s="7"/>
      <c r="F111" s="7"/>
      <c r="G111" s="7"/>
      <c r="H111" s="7"/>
      <c r="K111" s="1023"/>
    </row>
    <row r="112" spans="1:11" customFormat="1" ht="13.2">
      <c r="A112" s="1394"/>
      <c r="E112" s="7"/>
      <c r="F112" s="7"/>
      <c r="G112" s="7"/>
      <c r="H112" s="7"/>
      <c r="K112" s="1023"/>
    </row>
    <row r="113" spans="1:11" customFormat="1" ht="13.2">
      <c r="A113" s="1394"/>
      <c r="E113" s="7"/>
      <c r="F113" s="7"/>
      <c r="G113" s="7"/>
      <c r="H113" s="7"/>
      <c r="K113" s="1023"/>
    </row>
    <row r="114" spans="1:11" customFormat="1" ht="13.2">
      <c r="A114" s="1394"/>
      <c r="E114" s="7"/>
      <c r="F114" s="7"/>
      <c r="G114" s="7"/>
      <c r="H114" s="7"/>
      <c r="K114" s="1023"/>
    </row>
    <row r="115" spans="1:11" customFormat="1" ht="13.2">
      <c r="A115" s="1394"/>
      <c r="E115" s="7"/>
      <c r="F115" s="7"/>
      <c r="G115" s="7"/>
      <c r="H115" s="7"/>
      <c r="K115" s="1023"/>
    </row>
    <row r="116" spans="1:11" customFormat="1" ht="13.2">
      <c r="A116" s="1394"/>
      <c r="E116" s="7"/>
      <c r="F116" s="7"/>
      <c r="G116" s="7"/>
      <c r="H116" s="7"/>
      <c r="K116" s="1023"/>
    </row>
    <row r="117" spans="1:11" customFormat="1" ht="13.2">
      <c r="A117" s="1394"/>
      <c r="E117" s="7"/>
      <c r="F117" s="7"/>
      <c r="G117" s="7"/>
      <c r="H117" s="7"/>
      <c r="K117" s="1023"/>
    </row>
    <row r="118" spans="1:11" customFormat="1" ht="13.2">
      <c r="A118" s="1394"/>
      <c r="E118" s="7"/>
      <c r="F118" s="7"/>
      <c r="G118" s="7"/>
      <c r="H118" s="7"/>
      <c r="K118" s="1023"/>
    </row>
    <row r="119" spans="1:11" customFormat="1" ht="13.2">
      <c r="A119" s="1394"/>
      <c r="E119" s="7"/>
      <c r="F119" s="7"/>
      <c r="G119" s="7"/>
      <c r="H119" s="7"/>
      <c r="K119" s="1023"/>
    </row>
    <row r="120" spans="1:11" customFormat="1" ht="13.2">
      <c r="A120" s="1394"/>
      <c r="E120" s="7"/>
      <c r="F120" s="7"/>
      <c r="G120" s="7"/>
      <c r="H120" s="7"/>
      <c r="K120" s="1023"/>
    </row>
    <row r="121" spans="1:11" customFormat="1" ht="13.2">
      <c r="A121" s="1394"/>
      <c r="E121" s="7"/>
      <c r="F121" s="7"/>
      <c r="G121" s="7"/>
      <c r="H121" s="7"/>
      <c r="K121" s="1023"/>
    </row>
    <row r="122" spans="1:11" customFormat="1" ht="13.2">
      <c r="A122" s="1394"/>
      <c r="E122" s="7"/>
      <c r="F122" s="7"/>
      <c r="G122" s="7"/>
      <c r="H122" s="7"/>
      <c r="K122" s="1023"/>
    </row>
    <row r="123" spans="1:11" customFormat="1" ht="13.2">
      <c r="A123" s="1394"/>
      <c r="E123" s="7"/>
      <c r="F123" s="7"/>
      <c r="G123" s="7"/>
      <c r="H123" s="7"/>
      <c r="K123" s="1023"/>
    </row>
    <row r="124" spans="1:11" customFormat="1" ht="13.2">
      <c r="A124" s="1394"/>
      <c r="E124" s="7"/>
      <c r="F124" s="7"/>
      <c r="G124" s="7"/>
      <c r="H124" s="7"/>
      <c r="K124" s="1023"/>
    </row>
    <row r="125" spans="1:11" customFormat="1" ht="13.2">
      <c r="A125" s="1394"/>
      <c r="E125" s="7"/>
      <c r="F125" s="7"/>
      <c r="G125" s="7"/>
      <c r="H125" s="7"/>
      <c r="K125" s="1023"/>
    </row>
    <row r="126" spans="1:11" customFormat="1" ht="13.2">
      <c r="A126" s="1394"/>
      <c r="E126" s="7"/>
      <c r="F126" s="7"/>
      <c r="G126" s="7"/>
      <c r="H126" s="7"/>
      <c r="K126" s="1023"/>
    </row>
    <row r="127" spans="1:11" customFormat="1" ht="13.2">
      <c r="A127" s="1394"/>
      <c r="E127" s="7"/>
      <c r="F127" s="7"/>
      <c r="G127" s="7"/>
      <c r="H127" s="7"/>
      <c r="K127" s="1023"/>
    </row>
    <row r="128" spans="1:11" customFormat="1" ht="13.2">
      <c r="A128" s="1394"/>
      <c r="E128" s="7"/>
      <c r="F128" s="7"/>
      <c r="G128" s="7"/>
      <c r="H128" s="7"/>
      <c r="K128" s="1023"/>
    </row>
    <row r="129" spans="1:11" customFormat="1" ht="13.2">
      <c r="A129" s="1394"/>
      <c r="E129" s="7"/>
      <c r="F129" s="7"/>
      <c r="G129" s="7"/>
      <c r="H129" s="7"/>
      <c r="K129" s="1023"/>
    </row>
    <row r="130" spans="1:11" customFormat="1" ht="13.2">
      <c r="A130" s="1394"/>
      <c r="E130" s="7"/>
      <c r="F130" s="7"/>
      <c r="G130" s="7"/>
      <c r="H130" s="7"/>
      <c r="K130" s="1023"/>
    </row>
    <row r="131" spans="1:11" customFormat="1" ht="13.2">
      <c r="A131" s="1394"/>
      <c r="E131" s="7"/>
      <c r="F131" s="7"/>
      <c r="G131" s="7"/>
      <c r="H131" s="7"/>
      <c r="K131" s="1023"/>
    </row>
    <row r="132" spans="1:11" customFormat="1" ht="13.2">
      <c r="A132" s="1394"/>
      <c r="E132" s="7"/>
      <c r="F132" s="7"/>
      <c r="G132" s="7"/>
      <c r="H132" s="7"/>
      <c r="K132" s="1023"/>
    </row>
    <row r="133" spans="1:11" customFormat="1" ht="13.2">
      <c r="A133" s="1394"/>
      <c r="E133" s="7"/>
      <c r="F133" s="7"/>
      <c r="G133" s="7"/>
      <c r="H133" s="7"/>
      <c r="K133" s="1023"/>
    </row>
    <row r="134" spans="1:11" customFormat="1" ht="13.2">
      <c r="A134" s="1394"/>
      <c r="E134" s="7"/>
      <c r="F134" s="7"/>
      <c r="G134" s="7"/>
      <c r="H134" s="7"/>
      <c r="K134" s="1023"/>
    </row>
    <row r="135" spans="1:11" customFormat="1" ht="13.2">
      <c r="A135" s="1394"/>
      <c r="E135" s="7"/>
      <c r="F135" s="7"/>
      <c r="G135" s="7"/>
      <c r="H135" s="7"/>
      <c r="K135" s="1023"/>
    </row>
    <row r="136" spans="1:11" customFormat="1" ht="13.2">
      <c r="A136" s="1394"/>
      <c r="E136" s="7"/>
      <c r="F136" s="7"/>
      <c r="G136" s="7"/>
      <c r="H136" s="7"/>
      <c r="K136" s="1023"/>
    </row>
    <row r="137" spans="1:11" customFormat="1" ht="13.2">
      <c r="A137" s="1394"/>
      <c r="E137" s="7"/>
      <c r="F137" s="7"/>
      <c r="G137" s="7"/>
      <c r="H137" s="7"/>
      <c r="K137" s="1023"/>
    </row>
    <row r="138" spans="1:11" customFormat="1" ht="13.2">
      <c r="A138" s="1394"/>
      <c r="E138" s="7"/>
      <c r="F138" s="7"/>
      <c r="G138" s="7"/>
      <c r="H138" s="7"/>
      <c r="K138" s="1023"/>
    </row>
    <row r="139" spans="1:11" customFormat="1" ht="13.2">
      <c r="A139" s="1394"/>
      <c r="E139" s="7"/>
      <c r="F139" s="7"/>
      <c r="G139" s="7"/>
      <c r="H139" s="7"/>
      <c r="K139" s="1023"/>
    </row>
    <row r="140" spans="1:11" customFormat="1" ht="13.2">
      <c r="A140" s="1394"/>
      <c r="E140" s="7"/>
      <c r="F140" s="7"/>
      <c r="G140" s="7"/>
      <c r="H140" s="7"/>
      <c r="K140" s="1023"/>
    </row>
    <row r="141" spans="1:11" customFormat="1" ht="13.2">
      <c r="A141" s="1394"/>
      <c r="E141" s="7"/>
      <c r="F141" s="7"/>
      <c r="G141" s="7"/>
      <c r="H141" s="7"/>
      <c r="K141" s="1023"/>
    </row>
    <row r="142" spans="1:11" customFormat="1" ht="13.2">
      <c r="A142" s="1394"/>
      <c r="E142" s="7"/>
      <c r="F142" s="7"/>
      <c r="G142" s="7"/>
      <c r="H142" s="7"/>
      <c r="K142" s="1023"/>
    </row>
    <row r="143" spans="1:11" customFormat="1" ht="13.2">
      <c r="A143" s="1394"/>
      <c r="E143" s="7"/>
      <c r="F143" s="7"/>
      <c r="G143" s="7"/>
      <c r="H143" s="7"/>
      <c r="K143" s="1023"/>
    </row>
    <row r="144" spans="1:11" customFormat="1" ht="13.2">
      <c r="A144" s="1394"/>
      <c r="E144" s="7"/>
      <c r="F144" s="7"/>
      <c r="G144" s="7"/>
      <c r="H144" s="7"/>
      <c r="K144" s="1023"/>
    </row>
    <row r="145" spans="1:11" customFormat="1" ht="13.2">
      <c r="A145" s="1394"/>
      <c r="E145" s="7"/>
      <c r="F145" s="7"/>
      <c r="G145" s="7"/>
      <c r="H145" s="7"/>
      <c r="K145" s="1023"/>
    </row>
    <row r="146" spans="1:11" customFormat="1" ht="13.2">
      <c r="A146" s="1394"/>
      <c r="E146" s="7"/>
      <c r="F146" s="7"/>
      <c r="G146" s="7"/>
      <c r="H146" s="7"/>
      <c r="K146" s="1023"/>
    </row>
    <row r="147" spans="1:11" customFormat="1" ht="13.2">
      <c r="A147" s="1394"/>
      <c r="E147" s="7"/>
      <c r="F147" s="7"/>
      <c r="G147" s="7"/>
      <c r="H147" s="7"/>
      <c r="K147" s="1023"/>
    </row>
    <row r="148" spans="1:11" customFormat="1" ht="13.2">
      <c r="A148" s="1394"/>
      <c r="E148" s="7"/>
      <c r="F148" s="7"/>
      <c r="G148" s="7"/>
      <c r="H148" s="7"/>
      <c r="K148" s="1023"/>
    </row>
    <row r="149" spans="1:11" customFormat="1" ht="13.2">
      <c r="A149" s="1394"/>
      <c r="E149" s="7"/>
      <c r="F149" s="7"/>
      <c r="G149" s="7"/>
      <c r="H149" s="7"/>
      <c r="K149" s="1023"/>
    </row>
    <row r="150" spans="1:11" customFormat="1" ht="13.2">
      <c r="A150" s="1394"/>
      <c r="E150" s="7"/>
      <c r="F150" s="7"/>
      <c r="G150" s="7"/>
      <c r="H150" s="7"/>
      <c r="K150" s="1023"/>
    </row>
    <row r="151" spans="1:11" customFormat="1" ht="13.2">
      <c r="A151" s="1394"/>
      <c r="E151" s="7"/>
      <c r="F151" s="7"/>
      <c r="G151" s="7"/>
      <c r="H151" s="7"/>
      <c r="K151" s="1023"/>
    </row>
    <row r="152" spans="1:11" customFormat="1" ht="13.2">
      <c r="A152" s="1394"/>
      <c r="E152" s="7"/>
      <c r="F152" s="7"/>
      <c r="G152" s="7"/>
      <c r="H152" s="7"/>
      <c r="K152" s="1023"/>
    </row>
    <row r="153" spans="1:11" customFormat="1" ht="13.2">
      <c r="A153" s="1394"/>
      <c r="E153" s="7"/>
      <c r="F153" s="7"/>
      <c r="G153" s="7"/>
      <c r="H153" s="7"/>
      <c r="K153" s="1023"/>
    </row>
    <row r="154" spans="1:11" customFormat="1" ht="13.2">
      <c r="A154" s="1394"/>
      <c r="E154" s="7"/>
      <c r="F154" s="7"/>
      <c r="G154" s="7"/>
      <c r="H154" s="7"/>
      <c r="K154" s="1023"/>
    </row>
    <row r="155" spans="1:11" customFormat="1" ht="13.2">
      <c r="A155" s="1394"/>
      <c r="E155" s="7"/>
      <c r="F155" s="7"/>
      <c r="G155" s="7"/>
      <c r="H155" s="7"/>
      <c r="K155" s="1023"/>
    </row>
    <row r="156" spans="1:11" customFormat="1" ht="13.2">
      <c r="A156" s="1394"/>
      <c r="E156" s="7"/>
      <c r="F156" s="7"/>
      <c r="G156" s="7"/>
      <c r="H156" s="7"/>
      <c r="K156" s="1023"/>
    </row>
    <row r="157" spans="1:11" customFormat="1" ht="13.2">
      <c r="A157" s="1394"/>
      <c r="E157" s="7"/>
      <c r="F157" s="7"/>
      <c r="G157" s="7"/>
      <c r="H157" s="7"/>
      <c r="K157" s="1023"/>
    </row>
    <row r="158" spans="1:11" customFormat="1" ht="13.2">
      <c r="A158" s="1394"/>
      <c r="E158" s="7"/>
      <c r="F158" s="7"/>
      <c r="G158" s="7"/>
      <c r="H158" s="7"/>
      <c r="K158" s="1023"/>
    </row>
    <row r="159" spans="1:11" customFormat="1" ht="13.2">
      <c r="A159" s="1394"/>
      <c r="E159" s="7"/>
      <c r="F159" s="7"/>
      <c r="G159" s="7"/>
      <c r="H159" s="7"/>
      <c r="K159" s="1023"/>
    </row>
    <row r="160" spans="1:11" customFormat="1" ht="13.2">
      <c r="A160" s="1394"/>
      <c r="E160" s="7"/>
      <c r="F160" s="7"/>
      <c r="G160" s="7"/>
      <c r="H160" s="7"/>
      <c r="K160" s="1023"/>
    </row>
    <row r="161" spans="1:11" customFormat="1" ht="13.2">
      <c r="A161" s="1394"/>
      <c r="E161" s="7"/>
      <c r="F161" s="7"/>
      <c r="G161" s="7"/>
      <c r="H161" s="7"/>
      <c r="K161" s="1023"/>
    </row>
    <row r="162" spans="1:11" customFormat="1" ht="13.2">
      <c r="A162" s="1394"/>
      <c r="E162" s="7"/>
      <c r="F162" s="7"/>
      <c r="G162" s="7"/>
      <c r="H162" s="7"/>
      <c r="K162" s="1023"/>
    </row>
    <row r="163" spans="1:11" customFormat="1" ht="13.2">
      <c r="A163" s="1394"/>
      <c r="E163" s="7"/>
      <c r="F163" s="7"/>
      <c r="G163" s="7"/>
      <c r="H163" s="7"/>
      <c r="K163" s="1023"/>
    </row>
    <row r="164" spans="1:11" customFormat="1" ht="13.2">
      <c r="A164" s="1394"/>
      <c r="E164" s="7"/>
      <c r="F164" s="7"/>
      <c r="G164" s="7"/>
      <c r="H164" s="7"/>
      <c r="K164" s="1023"/>
    </row>
    <row r="165" spans="1:11" customFormat="1" ht="13.2">
      <c r="A165" s="1394"/>
      <c r="E165" s="7"/>
      <c r="F165" s="7"/>
      <c r="G165" s="7"/>
      <c r="H165" s="7"/>
      <c r="K165" s="1023"/>
    </row>
    <row r="166" spans="1:11" customFormat="1" ht="13.2">
      <c r="A166" s="1394"/>
      <c r="E166" s="7"/>
      <c r="F166" s="7"/>
      <c r="G166" s="7"/>
      <c r="H166" s="7"/>
      <c r="K166" s="1023"/>
    </row>
    <row r="167" spans="1:11" customFormat="1" ht="13.2">
      <c r="A167" s="1394"/>
      <c r="E167" s="7"/>
      <c r="F167" s="7"/>
      <c r="G167" s="7"/>
      <c r="H167" s="7"/>
      <c r="K167" s="1023"/>
    </row>
    <row r="168" spans="1:11" customFormat="1" ht="13.2">
      <c r="A168" s="1394"/>
      <c r="E168" s="7"/>
      <c r="F168" s="7"/>
      <c r="G168" s="7"/>
      <c r="H168" s="7"/>
      <c r="K168" s="1023"/>
    </row>
    <row r="169" spans="1:11" customFormat="1" ht="13.2">
      <c r="A169" s="1394"/>
      <c r="E169" s="7"/>
      <c r="F169" s="7"/>
      <c r="G169" s="7"/>
      <c r="H169" s="7"/>
      <c r="K169" s="1023"/>
    </row>
    <row r="170" spans="1:11" customFormat="1" ht="13.2">
      <c r="A170" s="1394"/>
      <c r="E170" s="7"/>
      <c r="F170" s="7"/>
      <c r="G170" s="7"/>
      <c r="H170" s="7"/>
      <c r="K170" s="1023"/>
    </row>
    <row r="171" spans="1:11" customFormat="1" ht="13.2">
      <c r="A171" s="1394"/>
      <c r="E171" s="7"/>
      <c r="F171" s="7"/>
      <c r="G171" s="7"/>
      <c r="H171" s="7"/>
      <c r="K171" s="1023"/>
    </row>
    <row r="172" spans="1:11" customFormat="1" ht="13.2">
      <c r="A172" s="1394"/>
      <c r="E172" s="7"/>
      <c r="F172" s="7"/>
      <c r="G172" s="7"/>
      <c r="H172" s="7"/>
      <c r="K172" s="1023"/>
    </row>
    <row r="173" spans="1:11" customFormat="1" ht="13.2">
      <c r="A173" s="1394"/>
      <c r="E173" s="7"/>
      <c r="F173" s="7"/>
      <c r="G173" s="7"/>
      <c r="H173" s="7"/>
      <c r="K173" s="1023"/>
    </row>
    <row r="174" spans="1:11" customFormat="1" ht="13.2">
      <c r="A174" s="1394"/>
      <c r="E174" s="7"/>
      <c r="F174" s="7"/>
      <c r="G174" s="7"/>
      <c r="H174" s="7"/>
      <c r="K174" s="1023"/>
    </row>
    <row r="175" spans="1:11" customFormat="1" ht="13.2">
      <c r="A175" s="1394"/>
      <c r="E175" s="7"/>
      <c r="F175" s="7"/>
      <c r="G175" s="7"/>
      <c r="H175" s="7"/>
      <c r="K175" s="1023"/>
    </row>
    <row r="176" spans="1:11" customFormat="1" ht="13.2">
      <c r="A176" s="1394"/>
      <c r="E176" s="7"/>
      <c r="F176" s="7"/>
      <c r="G176" s="7"/>
      <c r="H176" s="7"/>
      <c r="K176" s="1023"/>
    </row>
    <row r="177" spans="1:11" customFormat="1" ht="13.2">
      <c r="A177" s="1394"/>
      <c r="E177" s="7"/>
      <c r="F177" s="7"/>
      <c r="G177" s="7"/>
      <c r="H177" s="7"/>
      <c r="K177" s="1023"/>
    </row>
    <row r="178" spans="1:11" customFormat="1" ht="13.2">
      <c r="A178" s="1394"/>
      <c r="E178" s="7"/>
      <c r="F178" s="7"/>
      <c r="G178" s="7"/>
      <c r="H178" s="7"/>
      <c r="K178" s="1023"/>
    </row>
    <row r="179" spans="1:11" customFormat="1" ht="13.2">
      <c r="A179" s="1394"/>
      <c r="E179" s="7"/>
      <c r="F179" s="7"/>
      <c r="G179" s="7"/>
      <c r="H179" s="7"/>
      <c r="K179" s="1023"/>
    </row>
    <row r="180" spans="1:11" customFormat="1" ht="13.2">
      <c r="A180" s="1394"/>
      <c r="E180" s="7"/>
      <c r="F180" s="7"/>
      <c r="G180" s="7"/>
      <c r="H180" s="7"/>
      <c r="K180" s="1023"/>
    </row>
    <row r="181" spans="1:11" customFormat="1" ht="13.2">
      <c r="A181" s="1394"/>
      <c r="E181" s="7"/>
      <c r="F181" s="7"/>
      <c r="G181" s="7"/>
      <c r="H181" s="7"/>
      <c r="K181" s="1023"/>
    </row>
    <row r="182" spans="1:11" customFormat="1" ht="13.2">
      <c r="A182" s="1394"/>
      <c r="E182" s="7"/>
      <c r="F182" s="7"/>
      <c r="G182" s="7"/>
      <c r="H182" s="7"/>
      <c r="K182" s="1023"/>
    </row>
    <row r="183" spans="1:11" customFormat="1" ht="13.2">
      <c r="A183" s="1394"/>
      <c r="E183" s="7"/>
      <c r="F183" s="7"/>
      <c r="G183" s="7"/>
      <c r="H183" s="7"/>
      <c r="K183" s="1023"/>
    </row>
    <row r="184" spans="1:11" customFormat="1" ht="13.2">
      <c r="A184" s="1394"/>
      <c r="E184" s="7"/>
      <c r="F184" s="7"/>
      <c r="G184" s="7"/>
      <c r="H184" s="7"/>
      <c r="K184" s="1023"/>
    </row>
    <row r="185" spans="1:11" customFormat="1" ht="13.2">
      <c r="A185" s="1394"/>
      <c r="E185" s="7"/>
      <c r="F185" s="7"/>
      <c r="G185" s="7"/>
      <c r="H185" s="7"/>
      <c r="K185" s="1023"/>
    </row>
    <row r="186" spans="1:11" customFormat="1" ht="13.2">
      <c r="A186" s="1394"/>
      <c r="E186" s="7"/>
      <c r="F186" s="7"/>
      <c r="G186" s="7"/>
      <c r="H186" s="7"/>
      <c r="K186" s="1023"/>
    </row>
    <row r="187" spans="1:11" customFormat="1" ht="13.2">
      <c r="A187" s="1394"/>
      <c r="E187" s="7"/>
      <c r="F187" s="7"/>
      <c r="G187" s="7"/>
      <c r="H187" s="7"/>
      <c r="K187" s="1023"/>
    </row>
    <row r="188" spans="1:11" customFormat="1" ht="13.2">
      <c r="A188" s="1394"/>
      <c r="E188" s="7"/>
      <c r="F188" s="7"/>
      <c r="G188" s="7"/>
      <c r="H188" s="7"/>
      <c r="K188" s="1023"/>
    </row>
    <row r="189" spans="1:11" customFormat="1" ht="13.2">
      <c r="A189" s="1394"/>
      <c r="E189" s="7"/>
      <c r="F189" s="7"/>
      <c r="G189" s="7"/>
      <c r="H189" s="7"/>
      <c r="K189" s="1023"/>
    </row>
    <row r="190" spans="1:11" customFormat="1" ht="13.2">
      <c r="A190" s="1394"/>
      <c r="E190" s="7"/>
      <c r="F190" s="7"/>
      <c r="G190" s="7"/>
      <c r="H190" s="7"/>
      <c r="K190" s="1023"/>
    </row>
    <row r="191" spans="1:11" customFormat="1" ht="13.2">
      <c r="A191" s="1394"/>
      <c r="E191" s="7"/>
      <c r="F191" s="7"/>
      <c r="G191" s="7"/>
      <c r="H191" s="7"/>
      <c r="K191" s="1023"/>
    </row>
    <row r="192" spans="1:11" customFormat="1" ht="13.2">
      <c r="A192" s="1394"/>
      <c r="E192" s="7"/>
      <c r="F192" s="7"/>
      <c r="G192" s="7"/>
      <c r="H192" s="7"/>
      <c r="K192" s="1023"/>
    </row>
    <row r="193" spans="1:11" customFormat="1" ht="13.2">
      <c r="A193" s="1394"/>
      <c r="E193" s="7"/>
      <c r="F193" s="7"/>
      <c r="G193" s="7"/>
      <c r="H193" s="7"/>
      <c r="K193" s="1023"/>
    </row>
    <row r="194" spans="1:11" customFormat="1" ht="13.2">
      <c r="A194" s="1394"/>
      <c r="E194" s="7"/>
      <c r="F194" s="7"/>
      <c r="G194" s="7"/>
      <c r="H194" s="7"/>
      <c r="K194" s="1023"/>
    </row>
    <row r="195" spans="1:11" customFormat="1" ht="13.2">
      <c r="A195" s="1394"/>
      <c r="E195" s="7"/>
      <c r="F195" s="7"/>
      <c r="G195" s="7"/>
      <c r="H195" s="7"/>
      <c r="K195" s="1023"/>
    </row>
    <row r="196" spans="1:11" customFormat="1" ht="13.2">
      <c r="A196" s="1394"/>
      <c r="E196" s="7"/>
      <c r="F196" s="7"/>
      <c r="G196" s="7"/>
      <c r="H196" s="7"/>
      <c r="K196" s="1023"/>
    </row>
    <row r="197" spans="1:11" customFormat="1" ht="13.2">
      <c r="A197" s="1394"/>
      <c r="E197" s="7"/>
      <c r="F197" s="7"/>
      <c r="G197" s="7"/>
      <c r="H197" s="7"/>
      <c r="K197" s="1023"/>
    </row>
    <row r="198" spans="1:11" customFormat="1" ht="13.2">
      <c r="A198" s="1394"/>
      <c r="E198" s="7"/>
      <c r="F198" s="7"/>
      <c r="G198" s="7"/>
      <c r="H198" s="7"/>
      <c r="K198" s="1023"/>
    </row>
    <row r="199" spans="1:11" customFormat="1" ht="13.2">
      <c r="A199" s="1394"/>
      <c r="E199" s="7"/>
      <c r="F199" s="7"/>
      <c r="G199" s="7"/>
      <c r="H199" s="7"/>
      <c r="K199" s="1023"/>
    </row>
    <row r="200" spans="1:11" customFormat="1" ht="13.2">
      <c r="A200" s="1394"/>
      <c r="E200" s="7"/>
      <c r="F200" s="7"/>
      <c r="G200" s="7"/>
      <c r="H200" s="7"/>
      <c r="K200" s="1023"/>
    </row>
    <row r="201" spans="1:11" customFormat="1" ht="13.2">
      <c r="A201" s="1394"/>
      <c r="E201" s="7"/>
      <c r="F201" s="7"/>
      <c r="G201" s="7"/>
      <c r="H201" s="7"/>
      <c r="K201" s="1023"/>
    </row>
    <row r="202" spans="1:11" customFormat="1" ht="13.2">
      <c r="A202" s="1394"/>
      <c r="E202" s="7"/>
      <c r="F202" s="7"/>
      <c r="G202" s="7"/>
      <c r="H202" s="7"/>
      <c r="K202" s="1023"/>
    </row>
    <row r="203" spans="1:11" customFormat="1" ht="13.2">
      <c r="A203" s="1394"/>
      <c r="E203" s="7"/>
      <c r="F203" s="7"/>
      <c r="G203" s="7"/>
      <c r="H203" s="7"/>
      <c r="K203" s="1023"/>
    </row>
    <row r="204" spans="1:11" customFormat="1" ht="13.2">
      <c r="A204" s="1394"/>
      <c r="E204" s="7"/>
      <c r="F204" s="7"/>
      <c r="G204" s="7"/>
      <c r="H204" s="7"/>
      <c r="K204" s="1023"/>
    </row>
    <row r="205" spans="1:11" customFormat="1" ht="13.2">
      <c r="A205" s="1394"/>
      <c r="E205" s="7"/>
      <c r="F205" s="7"/>
      <c r="G205" s="7"/>
      <c r="H205" s="7"/>
      <c r="K205" s="1023"/>
    </row>
    <row r="206" spans="1:11" customFormat="1" ht="13.2">
      <c r="A206" s="1394"/>
      <c r="E206" s="7"/>
      <c r="F206" s="7"/>
      <c r="G206" s="7"/>
      <c r="H206" s="7"/>
      <c r="K206" s="1023"/>
    </row>
    <row r="207" spans="1:11" customFormat="1" ht="13.2">
      <c r="A207" s="1394"/>
      <c r="E207" s="7"/>
      <c r="F207" s="7"/>
      <c r="G207" s="7"/>
      <c r="H207" s="7"/>
      <c r="K207" s="1023"/>
    </row>
    <row r="208" spans="1:11" customFormat="1" ht="13.2">
      <c r="A208" s="1394"/>
      <c r="E208" s="7"/>
      <c r="F208" s="7"/>
      <c r="G208" s="7"/>
      <c r="H208" s="7"/>
      <c r="K208" s="1023"/>
    </row>
    <row r="209" spans="1:11" customFormat="1" ht="13.2">
      <c r="A209" s="1394"/>
      <c r="E209" s="7"/>
      <c r="F209" s="7"/>
      <c r="G209" s="7"/>
      <c r="H209" s="7"/>
      <c r="K209" s="1023"/>
    </row>
    <row r="210" spans="1:11" customFormat="1" ht="13.2">
      <c r="A210" s="1394"/>
      <c r="E210" s="7"/>
      <c r="F210" s="7"/>
      <c r="G210" s="7"/>
      <c r="H210" s="7"/>
      <c r="K210" s="1023"/>
    </row>
    <row r="211" spans="1:11" customFormat="1" ht="13.2">
      <c r="A211" s="1394"/>
      <c r="E211" s="7"/>
      <c r="F211" s="7"/>
      <c r="G211" s="7"/>
      <c r="H211" s="7"/>
      <c r="K211" s="1023"/>
    </row>
    <row r="212" spans="1:11" customFormat="1" ht="13.2">
      <c r="A212" s="1394"/>
      <c r="E212" s="7"/>
      <c r="F212" s="7"/>
      <c r="G212" s="7"/>
      <c r="H212" s="7"/>
      <c r="K212" s="1023"/>
    </row>
    <row r="213" spans="1:11" customFormat="1" ht="13.2">
      <c r="A213" s="1394"/>
      <c r="E213" s="7"/>
      <c r="F213" s="7"/>
      <c r="G213" s="7"/>
      <c r="H213" s="7"/>
      <c r="K213" s="1023"/>
    </row>
    <row r="214" spans="1:11" customFormat="1" ht="13.2">
      <c r="A214" s="1394"/>
      <c r="E214" s="7"/>
      <c r="F214" s="7"/>
      <c r="G214" s="7"/>
      <c r="H214" s="7"/>
      <c r="K214" s="1023"/>
    </row>
    <row r="215" spans="1:11" customFormat="1" ht="13.2">
      <c r="A215" s="1394"/>
      <c r="E215" s="7"/>
      <c r="F215" s="7"/>
      <c r="G215" s="7"/>
      <c r="H215" s="7"/>
      <c r="K215" s="1023"/>
    </row>
    <row r="216" spans="1:11" customFormat="1" ht="13.2">
      <c r="A216" s="1394"/>
      <c r="E216" s="7"/>
      <c r="F216" s="7"/>
      <c r="G216" s="7"/>
      <c r="H216" s="7"/>
      <c r="K216" s="1023"/>
    </row>
    <row r="217" spans="1:11" customFormat="1" ht="13.2">
      <c r="A217" s="1394"/>
      <c r="E217" s="7"/>
      <c r="F217" s="7"/>
      <c r="G217" s="7"/>
      <c r="H217" s="7"/>
      <c r="K217" s="1023"/>
    </row>
    <row r="218" spans="1:11" customFormat="1" ht="13.2">
      <c r="A218" s="1394"/>
      <c r="E218" s="7"/>
      <c r="F218" s="7"/>
      <c r="G218" s="7"/>
      <c r="H218" s="7"/>
      <c r="K218" s="1023"/>
    </row>
    <row r="219" spans="1:11" customFormat="1" ht="13.2">
      <c r="A219" s="1394"/>
      <c r="E219" s="7"/>
      <c r="F219" s="7"/>
      <c r="G219" s="7"/>
      <c r="H219" s="7"/>
      <c r="K219" s="1023"/>
    </row>
    <row r="220" spans="1:11" customFormat="1" ht="13.2">
      <c r="A220" s="1394"/>
      <c r="E220" s="7"/>
      <c r="F220" s="7"/>
      <c r="G220" s="7"/>
      <c r="H220" s="7"/>
      <c r="K220" s="1023"/>
    </row>
    <row r="221" spans="1:11" customFormat="1" ht="13.2">
      <c r="A221" s="1394"/>
      <c r="E221" s="7"/>
      <c r="F221" s="7"/>
      <c r="G221" s="7"/>
      <c r="H221" s="7"/>
      <c r="K221" s="1023"/>
    </row>
    <row r="222" spans="1:11" customFormat="1" ht="13.2">
      <c r="A222" s="1394"/>
      <c r="E222" s="7"/>
      <c r="F222" s="7"/>
      <c r="G222" s="7"/>
      <c r="H222" s="7"/>
      <c r="K222" s="1023"/>
    </row>
    <row r="223" spans="1:11" customFormat="1" ht="13.2">
      <c r="A223" s="1394"/>
      <c r="E223" s="7"/>
      <c r="F223" s="7"/>
      <c r="G223" s="7"/>
      <c r="H223" s="7"/>
      <c r="K223" s="1023"/>
    </row>
    <row r="224" spans="1:11" customFormat="1" ht="13.2">
      <c r="A224" s="1394"/>
      <c r="E224" s="7"/>
      <c r="F224" s="7"/>
      <c r="G224" s="7"/>
      <c r="H224" s="7"/>
      <c r="K224" s="1023"/>
    </row>
    <row r="225" spans="1:11" customFormat="1" ht="13.2">
      <c r="A225" s="1394"/>
      <c r="E225" s="7"/>
      <c r="F225" s="7"/>
      <c r="G225" s="7"/>
      <c r="H225" s="7"/>
      <c r="K225" s="1023"/>
    </row>
    <row r="226" spans="1:11" customFormat="1" ht="13.2">
      <c r="A226" s="1394"/>
      <c r="E226" s="7"/>
      <c r="F226" s="7"/>
      <c r="G226" s="7"/>
      <c r="H226" s="7"/>
      <c r="K226" s="1023"/>
    </row>
    <row r="227" spans="1:11" customFormat="1" ht="13.2">
      <c r="A227" s="1394"/>
      <c r="E227" s="7"/>
      <c r="F227" s="7"/>
      <c r="G227" s="7"/>
      <c r="H227" s="7"/>
      <c r="K227" s="1023"/>
    </row>
    <row r="228" spans="1:11" customFormat="1" ht="13.2">
      <c r="A228" s="1394"/>
      <c r="E228" s="7"/>
      <c r="F228" s="7"/>
      <c r="G228" s="7"/>
      <c r="H228" s="7"/>
      <c r="K228" s="1023"/>
    </row>
    <row r="229" spans="1:11" customFormat="1" ht="13.2">
      <c r="A229" s="1394"/>
      <c r="E229" s="7"/>
      <c r="F229" s="7"/>
      <c r="G229" s="7"/>
      <c r="H229" s="7"/>
      <c r="K229" s="1023"/>
    </row>
    <row r="230" spans="1:11" customFormat="1" ht="13.2">
      <c r="A230" s="1394"/>
      <c r="E230" s="7"/>
      <c r="F230" s="7"/>
      <c r="G230" s="7"/>
      <c r="H230" s="7"/>
      <c r="K230" s="1023"/>
    </row>
    <row r="231" spans="1:11" customFormat="1" ht="13.2">
      <c r="A231" s="1394"/>
      <c r="E231" s="7"/>
      <c r="F231" s="7"/>
      <c r="G231" s="7"/>
      <c r="H231" s="7"/>
      <c r="K231" s="1023"/>
    </row>
    <row r="232" spans="1:11" customFormat="1" ht="13.2">
      <c r="A232" s="1394"/>
      <c r="E232" s="7"/>
      <c r="F232" s="7"/>
      <c r="G232" s="7"/>
      <c r="H232" s="7"/>
      <c r="K232" s="1023"/>
    </row>
    <row r="233" spans="1:11" customFormat="1" ht="13.2">
      <c r="A233" s="1394"/>
      <c r="E233" s="7"/>
      <c r="F233" s="7"/>
      <c r="G233" s="7"/>
      <c r="H233" s="7"/>
      <c r="K233" s="1023"/>
    </row>
    <row r="234" spans="1:11" customFormat="1" ht="13.2">
      <c r="A234" s="1394"/>
      <c r="E234" s="7"/>
      <c r="F234" s="7"/>
      <c r="G234" s="7"/>
      <c r="H234" s="7"/>
      <c r="K234" s="1023"/>
    </row>
    <row r="235" spans="1:11" customFormat="1" ht="13.2">
      <c r="A235" s="1394"/>
      <c r="E235" s="7"/>
      <c r="F235" s="7"/>
      <c r="G235" s="7"/>
      <c r="H235" s="7"/>
      <c r="K235" s="1023"/>
    </row>
    <row r="236" spans="1:11" customFormat="1" ht="13.2">
      <c r="A236" s="1394"/>
      <c r="E236" s="7"/>
      <c r="F236" s="7"/>
      <c r="G236" s="7"/>
      <c r="H236" s="7"/>
      <c r="K236" s="1023"/>
    </row>
    <row r="237" spans="1:11" customFormat="1" ht="13.2">
      <c r="A237" s="1394"/>
      <c r="E237" s="7"/>
      <c r="F237" s="7"/>
      <c r="G237" s="7"/>
      <c r="H237" s="7"/>
      <c r="K237" s="1023"/>
    </row>
    <row r="238" spans="1:11" customFormat="1" ht="13.2">
      <c r="A238" s="1394"/>
      <c r="E238" s="7"/>
      <c r="F238" s="7"/>
      <c r="G238" s="7"/>
      <c r="H238" s="7"/>
      <c r="K238" s="1023"/>
    </row>
    <row r="239" spans="1:11" customFormat="1" ht="13.2">
      <c r="A239" s="1394"/>
      <c r="E239" s="7"/>
      <c r="F239" s="7"/>
      <c r="G239" s="7"/>
      <c r="H239" s="7"/>
      <c r="K239" s="1023"/>
    </row>
    <row r="240" spans="1:11" customFormat="1" ht="13.2">
      <c r="A240" s="1394"/>
      <c r="E240" s="7"/>
      <c r="F240" s="7"/>
      <c r="G240" s="7"/>
      <c r="H240" s="7"/>
      <c r="K240" s="1023"/>
    </row>
    <row r="241" spans="1:11" customFormat="1" ht="13.2">
      <c r="A241" s="1394"/>
      <c r="E241" s="7"/>
      <c r="F241" s="7"/>
      <c r="G241" s="7"/>
      <c r="H241" s="7"/>
      <c r="K241" s="1023"/>
    </row>
    <row r="242" spans="1:11" customFormat="1" ht="13.2">
      <c r="A242" s="1394"/>
      <c r="E242" s="7"/>
      <c r="F242" s="7"/>
      <c r="G242" s="7"/>
      <c r="H242" s="7"/>
      <c r="K242" s="1023"/>
    </row>
    <row r="243" spans="1:11" customFormat="1" ht="13.2">
      <c r="A243" s="1394"/>
      <c r="E243" s="7"/>
      <c r="F243" s="7"/>
      <c r="G243" s="7"/>
      <c r="H243" s="7"/>
      <c r="K243" s="1023"/>
    </row>
    <row r="244" spans="1:11" customFormat="1" ht="13.2">
      <c r="A244" s="1394"/>
      <c r="E244" s="7"/>
      <c r="F244" s="7"/>
      <c r="G244" s="7"/>
      <c r="H244" s="7"/>
      <c r="K244" s="1023"/>
    </row>
    <row r="245" spans="1:11" customFormat="1" ht="13.2">
      <c r="A245" s="1394"/>
      <c r="E245" s="7"/>
      <c r="F245" s="7"/>
      <c r="G245" s="7"/>
      <c r="H245" s="7"/>
      <c r="K245" s="1023"/>
    </row>
    <row r="246" spans="1:11" customFormat="1" ht="13.2">
      <c r="A246" s="1394"/>
      <c r="E246" s="7"/>
      <c r="F246" s="7"/>
      <c r="G246" s="7"/>
      <c r="H246" s="7"/>
      <c r="K246" s="1023"/>
    </row>
    <row r="247" spans="1:11" customFormat="1" ht="13.2">
      <c r="A247" s="1394"/>
      <c r="E247" s="7"/>
      <c r="F247" s="7"/>
      <c r="G247" s="7"/>
      <c r="H247" s="7"/>
      <c r="K247" s="1023"/>
    </row>
    <row r="248" spans="1:11" customFormat="1" ht="13.2">
      <c r="A248" s="1394"/>
      <c r="E248" s="7"/>
      <c r="F248" s="7"/>
      <c r="G248" s="7"/>
      <c r="H248" s="7"/>
      <c r="K248" s="1023"/>
    </row>
    <row r="249" spans="1:11" customFormat="1" ht="13.2">
      <c r="A249" s="1394"/>
      <c r="E249" s="7"/>
      <c r="F249" s="7"/>
      <c r="G249" s="7"/>
      <c r="H249" s="7"/>
      <c r="K249" s="1023"/>
    </row>
    <row r="250" spans="1:11" customFormat="1" ht="13.2">
      <c r="A250" s="1394"/>
      <c r="E250" s="7"/>
      <c r="F250" s="7"/>
      <c r="G250" s="7"/>
      <c r="H250" s="7"/>
      <c r="K250" s="1023"/>
    </row>
    <row r="251" spans="1:11" customFormat="1" ht="13.2">
      <c r="A251" s="1394"/>
      <c r="E251" s="7"/>
      <c r="F251" s="7"/>
      <c r="G251" s="7"/>
      <c r="H251" s="7"/>
      <c r="K251" s="1023"/>
    </row>
    <row r="252" spans="1:11" customFormat="1" ht="13.2">
      <c r="A252" s="1394"/>
      <c r="E252" s="7"/>
      <c r="F252" s="7"/>
      <c r="G252" s="7"/>
      <c r="H252" s="7"/>
      <c r="K252" s="1023"/>
    </row>
    <row r="253" spans="1:11" customFormat="1" ht="13.2">
      <c r="A253" s="1394"/>
      <c r="E253" s="7"/>
      <c r="F253" s="7"/>
      <c r="G253" s="7"/>
      <c r="H253" s="7"/>
      <c r="K253" s="1023"/>
    </row>
    <row r="254" spans="1:11" customFormat="1" ht="13.2">
      <c r="A254" s="1394"/>
      <c r="E254" s="7"/>
      <c r="F254" s="7"/>
      <c r="G254" s="7"/>
      <c r="H254" s="7"/>
      <c r="K254" s="1023"/>
    </row>
    <row r="255" spans="1:11" customFormat="1" ht="13.2">
      <c r="A255" s="1394"/>
      <c r="E255" s="7"/>
      <c r="F255" s="7"/>
      <c r="G255" s="7"/>
      <c r="H255" s="7"/>
      <c r="K255" s="1023"/>
    </row>
    <row r="256" spans="1:11" customFormat="1" ht="13.2">
      <c r="A256" s="1394"/>
      <c r="E256" s="7"/>
      <c r="F256" s="7"/>
      <c r="G256" s="7"/>
      <c r="H256" s="7"/>
      <c r="K256" s="1023"/>
    </row>
    <row r="257" spans="1:11" customFormat="1" ht="13.2">
      <c r="A257" s="1394"/>
      <c r="E257" s="7"/>
      <c r="F257" s="7"/>
      <c r="G257" s="7"/>
      <c r="H257" s="7"/>
      <c r="K257" s="1023"/>
    </row>
    <row r="258" spans="1:11" customFormat="1" ht="13.2">
      <c r="A258" s="1394"/>
      <c r="E258" s="7"/>
      <c r="F258" s="7"/>
      <c r="G258" s="7"/>
      <c r="H258" s="7"/>
      <c r="K258" s="1023"/>
    </row>
    <row r="259" spans="1:11" customFormat="1" ht="13.2">
      <c r="A259" s="1394"/>
      <c r="E259" s="7"/>
      <c r="F259" s="7"/>
      <c r="G259" s="7"/>
      <c r="H259" s="7"/>
      <c r="K259" s="1023"/>
    </row>
    <row r="260" spans="1:11" customFormat="1" ht="13.2">
      <c r="A260" s="1394"/>
      <c r="E260" s="7"/>
      <c r="F260" s="7"/>
      <c r="G260" s="7"/>
      <c r="H260" s="7"/>
      <c r="K260" s="1023"/>
    </row>
    <row r="261" spans="1:11" customFormat="1" ht="13.2">
      <c r="A261" s="1394"/>
      <c r="E261" s="7"/>
      <c r="F261" s="7"/>
      <c r="G261" s="7"/>
      <c r="H261" s="7"/>
      <c r="K261" s="1023"/>
    </row>
    <row r="262" spans="1:11" customFormat="1" ht="13.2">
      <c r="A262" s="1394"/>
      <c r="E262" s="7"/>
      <c r="F262" s="7"/>
      <c r="G262" s="7"/>
      <c r="H262" s="7"/>
      <c r="K262" s="1023"/>
    </row>
    <row r="263" spans="1:11" customFormat="1" ht="13.2">
      <c r="A263" s="1394"/>
      <c r="E263" s="7"/>
      <c r="F263" s="7"/>
      <c r="G263" s="7"/>
      <c r="H263" s="7"/>
      <c r="K263" s="1023"/>
    </row>
    <row r="264" spans="1:11" customFormat="1" ht="13.2">
      <c r="A264" s="1394"/>
      <c r="E264" s="7"/>
      <c r="F264" s="7"/>
      <c r="G264" s="7"/>
      <c r="H264" s="7"/>
      <c r="K264" s="1023"/>
    </row>
    <row r="265" spans="1:11" customFormat="1" ht="13.2">
      <c r="A265" s="1394"/>
      <c r="E265" s="7"/>
      <c r="F265" s="7"/>
      <c r="G265" s="7"/>
      <c r="H265" s="7"/>
      <c r="K265" s="1023"/>
    </row>
    <row r="266" spans="1:11" customFormat="1" ht="13.2">
      <c r="A266" s="1394"/>
      <c r="E266" s="7"/>
      <c r="F266" s="7"/>
      <c r="G266" s="7"/>
      <c r="H266" s="7"/>
      <c r="K266" s="1023"/>
    </row>
    <row r="267" spans="1:11" customFormat="1" ht="13.2">
      <c r="A267" s="1394"/>
      <c r="E267" s="7"/>
      <c r="F267" s="7"/>
      <c r="G267" s="7"/>
      <c r="H267" s="7"/>
      <c r="K267" s="1023"/>
    </row>
    <row r="268" spans="1:11" customFormat="1" ht="13.2">
      <c r="A268" s="1394"/>
      <c r="E268" s="7"/>
      <c r="F268" s="7"/>
      <c r="G268" s="7"/>
      <c r="H268" s="7"/>
      <c r="K268" s="1023"/>
    </row>
    <row r="269" spans="1:11" customFormat="1" ht="13.2">
      <c r="A269" s="1394"/>
      <c r="E269" s="7"/>
      <c r="F269" s="7"/>
      <c r="G269" s="7"/>
      <c r="H269" s="7"/>
      <c r="K269" s="1023"/>
    </row>
    <row r="270" spans="1:11" customFormat="1" ht="13.2">
      <c r="A270" s="1394"/>
      <c r="E270" s="7"/>
      <c r="F270" s="7"/>
      <c r="G270" s="7"/>
      <c r="H270" s="7"/>
      <c r="K270" s="1023"/>
    </row>
    <row r="271" spans="1:11" customFormat="1" ht="13.2">
      <c r="A271" s="1394"/>
      <c r="E271" s="7"/>
      <c r="F271" s="7"/>
      <c r="G271" s="7"/>
      <c r="H271" s="7"/>
      <c r="K271" s="1023"/>
    </row>
    <row r="272" spans="1:11" customFormat="1" ht="13.2">
      <c r="A272" s="1394"/>
      <c r="E272" s="7"/>
      <c r="F272" s="7"/>
      <c r="G272" s="7"/>
      <c r="H272" s="7"/>
      <c r="K272" s="1023"/>
    </row>
    <row r="273" spans="1:11" customFormat="1" ht="13.2">
      <c r="A273" s="1394"/>
      <c r="E273" s="7"/>
      <c r="F273" s="7"/>
      <c r="G273" s="7"/>
      <c r="H273" s="7"/>
      <c r="K273" s="1023"/>
    </row>
    <row r="274" spans="1:11" customFormat="1" ht="13.2">
      <c r="A274" s="1394"/>
      <c r="E274" s="7"/>
      <c r="F274" s="7"/>
      <c r="G274" s="7"/>
      <c r="H274" s="7"/>
      <c r="K274" s="1023"/>
    </row>
    <row r="275" spans="1:11" customFormat="1" ht="13.2">
      <c r="A275" s="1394"/>
      <c r="E275" s="7"/>
      <c r="F275" s="7"/>
      <c r="G275" s="7"/>
      <c r="H275" s="7"/>
      <c r="K275" s="1023"/>
    </row>
    <row r="276" spans="1:11" customFormat="1" ht="13.2">
      <c r="A276" s="1394"/>
      <c r="E276" s="7"/>
      <c r="F276" s="7"/>
      <c r="G276" s="7"/>
      <c r="H276" s="7"/>
      <c r="K276" s="1023"/>
    </row>
    <row r="277" spans="1:11" customFormat="1" ht="13.2">
      <c r="A277" s="1394"/>
      <c r="E277" s="7"/>
      <c r="F277" s="7"/>
      <c r="G277" s="7"/>
      <c r="H277" s="7"/>
      <c r="K277" s="1023"/>
    </row>
    <row r="278" spans="1:11" customFormat="1" ht="13.2">
      <c r="A278" s="1394"/>
      <c r="E278" s="7"/>
      <c r="F278" s="7"/>
      <c r="G278" s="7"/>
      <c r="H278" s="7"/>
      <c r="K278" s="1023"/>
    </row>
    <row r="279" spans="1:11" customFormat="1" ht="13.2">
      <c r="A279" s="1394"/>
      <c r="E279" s="7"/>
      <c r="F279" s="7"/>
      <c r="G279" s="7"/>
      <c r="H279" s="7"/>
      <c r="K279" s="1023"/>
    </row>
    <row r="280" spans="1:11" customFormat="1" ht="13.2">
      <c r="A280" s="1394"/>
      <c r="E280" s="7"/>
      <c r="F280" s="7"/>
      <c r="G280" s="7"/>
      <c r="H280" s="7"/>
      <c r="K280" s="1023"/>
    </row>
    <row r="281" spans="1:11" customFormat="1" ht="13.2">
      <c r="A281" s="1394"/>
      <c r="E281" s="7"/>
      <c r="F281" s="7"/>
      <c r="G281" s="7"/>
      <c r="H281" s="7"/>
      <c r="K281" s="1023"/>
    </row>
    <row r="282" spans="1:11" customFormat="1" ht="13.2">
      <c r="A282" s="1394"/>
      <c r="E282" s="7"/>
      <c r="F282" s="7"/>
      <c r="G282" s="7"/>
      <c r="H282" s="7"/>
      <c r="K282" s="1023"/>
    </row>
    <row r="283" spans="1:11" customFormat="1" ht="13.2">
      <c r="A283" s="1394"/>
      <c r="E283" s="7"/>
      <c r="F283" s="7"/>
      <c r="G283" s="7"/>
      <c r="H283" s="7"/>
      <c r="K283" s="1023"/>
    </row>
    <row r="284" spans="1:11" customFormat="1" ht="13.2">
      <c r="A284" s="1394"/>
      <c r="E284" s="7"/>
      <c r="F284" s="7"/>
      <c r="G284" s="7"/>
      <c r="H284" s="7"/>
      <c r="K284" s="1023"/>
    </row>
    <row r="285" spans="1:11" customFormat="1" ht="13.2">
      <c r="A285" s="1394"/>
      <c r="E285" s="7"/>
      <c r="F285" s="7"/>
      <c r="G285" s="7"/>
      <c r="H285" s="7"/>
      <c r="K285" s="1023"/>
    </row>
    <row r="286" spans="1:11" customFormat="1" ht="13.2">
      <c r="A286" s="1394"/>
      <c r="E286" s="7"/>
      <c r="F286" s="7"/>
      <c r="G286" s="7"/>
      <c r="H286" s="7"/>
      <c r="K286" s="1023"/>
    </row>
    <row r="287" spans="1:11" customFormat="1" ht="13.2">
      <c r="A287" s="1394"/>
      <c r="E287" s="7"/>
      <c r="F287" s="7"/>
      <c r="G287" s="7"/>
      <c r="H287" s="7"/>
      <c r="K287" s="1023"/>
    </row>
    <row r="288" spans="1:11" customFormat="1" ht="13.2">
      <c r="A288" s="1394"/>
      <c r="E288" s="7"/>
      <c r="F288" s="7"/>
      <c r="G288" s="7"/>
      <c r="H288" s="7"/>
      <c r="K288" s="1023"/>
    </row>
    <row r="289" spans="1:11" customFormat="1" ht="13.2">
      <c r="A289" s="1394"/>
      <c r="E289" s="7"/>
      <c r="F289" s="7"/>
      <c r="G289" s="7"/>
      <c r="H289" s="7"/>
      <c r="K289" s="1023"/>
    </row>
    <row r="290" spans="1:11" customFormat="1" ht="13.2">
      <c r="A290" s="1394"/>
      <c r="E290" s="7"/>
      <c r="F290" s="7"/>
      <c r="G290" s="7"/>
      <c r="H290" s="7"/>
      <c r="K290" s="1023"/>
    </row>
    <row r="291" spans="1:11" customFormat="1" ht="13.2">
      <c r="A291" s="1394"/>
      <c r="E291" s="7"/>
      <c r="F291" s="7"/>
      <c r="G291" s="7"/>
      <c r="H291" s="7"/>
      <c r="K291" s="1023"/>
    </row>
    <row r="292" spans="1:11" customFormat="1" ht="13.2">
      <c r="A292" s="1394"/>
      <c r="E292" s="7"/>
      <c r="F292" s="7"/>
      <c r="G292" s="7"/>
      <c r="H292" s="7"/>
      <c r="K292" s="1023"/>
    </row>
    <row r="293" spans="1:11" customFormat="1" ht="13.2">
      <c r="A293" s="1394"/>
      <c r="E293" s="7"/>
      <c r="F293" s="7"/>
      <c r="G293" s="7"/>
      <c r="H293" s="7"/>
      <c r="K293" s="1023"/>
    </row>
    <row r="294" spans="1:11" customFormat="1" ht="13.2">
      <c r="A294" s="1394"/>
      <c r="E294" s="7"/>
      <c r="F294" s="7"/>
      <c r="G294" s="7"/>
      <c r="H294" s="7"/>
      <c r="K294" s="1023"/>
    </row>
    <row r="295" spans="1:11" customFormat="1" ht="13.2">
      <c r="A295" s="1394"/>
      <c r="E295" s="7"/>
      <c r="F295" s="7"/>
      <c r="G295" s="7"/>
      <c r="H295" s="7"/>
      <c r="K295" s="1023"/>
    </row>
    <row r="296" spans="1:11" customFormat="1" ht="13.2">
      <c r="A296" s="1394"/>
      <c r="E296" s="7"/>
      <c r="F296" s="7"/>
      <c r="G296" s="7"/>
      <c r="H296" s="7"/>
      <c r="K296" s="1023"/>
    </row>
    <row r="297" spans="1:11" customFormat="1" ht="13.2">
      <c r="A297" s="1394"/>
      <c r="E297" s="7"/>
      <c r="F297" s="7"/>
      <c r="G297" s="7"/>
      <c r="H297" s="7"/>
      <c r="K297" s="1023"/>
    </row>
    <row r="298" spans="1:11" customFormat="1" ht="13.2">
      <c r="A298" s="1394"/>
      <c r="E298" s="7"/>
      <c r="F298" s="7"/>
      <c r="G298" s="7"/>
      <c r="H298" s="7"/>
      <c r="K298" s="1023"/>
    </row>
    <row r="299" spans="1:11" customFormat="1" ht="13.2">
      <c r="A299" s="1394"/>
      <c r="E299" s="7"/>
      <c r="F299" s="7"/>
      <c r="G299" s="7"/>
      <c r="H299" s="7"/>
      <c r="K299" s="1023"/>
    </row>
    <row r="300" spans="1:11" customFormat="1" ht="13.2">
      <c r="A300" s="1394"/>
      <c r="E300" s="7"/>
      <c r="F300" s="7"/>
      <c r="G300" s="7"/>
      <c r="H300" s="7"/>
      <c r="K300" s="1023"/>
    </row>
    <row r="301" spans="1:11" customFormat="1" ht="13.2">
      <c r="A301" s="1394"/>
      <c r="E301" s="7"/>
      <c r="F301" s="7"/>
      <c r="G301" s="7"/>
      <c r="H301" s="7"/>
      <c r="K301" s="1023"/>
    </row>
    <row r="302" spans="1:11" customFormat="1" ht="13.2">
      <c r="A302" s="1394"/>
      <c r="E302" s="7"/>
      <c r="F302" s="7"/>
      <c r="G302" s="7"/>
      <c r="H302" s="7"/>
      <c r="K302" s="1023"/>
    </row>
    <row r="303" spans="1:11" customFormat="1" ht="13.2">
      <c r="A303" s="1394"/>
      <c r="E303" s="7"/>
      <c r="F303" s="7"/>
      <c r="G303" s="7"/>
      <c r="H303" s="7"/>
      <c r="K303" s="1023"/>
    </row>
    <row r="304" spans="1:11" customFormat="1" ht="13.2">
      <c r="A304" s="1394"/>
      <c r="E304" s="7"/>
      <c r="F304" s="7"/>
      <c r="G304" s="7"/>
      <c r="H304" s="7"/>
      <c r="K304" s="1023"/>
    </row>
    <row r="305" spans="1:11" customFormat="1" ht="13.2">
      <c r="A305" s="1394"/>
      <c r="E305" s="7"/>
      <c r="F305" s="7"/>
      <c r="G305" s="7"/>
      <c r="H305" s="7"/>
      <c r="K305" s="1023"/>
    </row>
    <row r="306" spans="1:11" customFormat="1" ht="13.2">
      <c r="A306" s="1394"/>
      <c r="E306" s="7"/>
      <c r="F306" s="7"/>
      <c r="G306" s="7"/>
      <c r="H306" s="7"/>
      <c r="K306" s="1023"/>
    </row>
    <row r="307" spans="1:11" customFormat="1" ht="13.2">
      <c r="A307" s="1394"/>
      <c r="E307" s="7"/>
      <c r="F307" s="7"/>
      <c r="G307" s="7"/>
      <c r="H307" s="7"/>
      <c r="K307" s="1023"/>
    </row>
    <row r="308" spans="1:11" customFormat="1" ht="13.2">
      <c r="A308" s="1394"/>
      <c r="E308" s="7"/>
      <c r="F308" s="7"/>
      <c r="G308" s="7"/>
      <c r="H308" s="7"/>
      <c r="K308" s="1023"/>
    </row>
    <row r="309" spans="1:11" customFormat="1" ht="13.2">
      <c r="A309" s="1394"/>
      <c r="E309" s="7"/>
      <c r="F309" s="7"/>
      <c r="G309" s="7"/>
      <c r="H309" s="7"/>
      <c r="K309" s="1023"/>
    </row>
    <row r="310" spans="1:11" customFormat="1" ht="13.2">
      <c r="A310" s="1394"/>
      <c r="E310" s="7"/>
      <c r="F310" s="7"/>
      <c r="G310" s="7"/>
      <c r="H310" s="7"/>
      <c r="K310" s="1023"/>
    </row>
    <row r="311" spans="1:11" customFormat="1" ht="13.2">
      <c r="A311" s="1394"/>
      <c r="E311" s="7"/>
      <c r="F311" s="7"/>
      <c r="G311" s="7"/>
      <c r="H311" s="7"/>
      <c r="K311" s="1023"/>
    </row>
    <row r="312" spans="1:11" customFormat="1" ht="13.2">
      <c r="A312" s="1394"/>
      <c r="E312" s="7"/>
      <c r="F312" s="7"/>
      <c r="G312" s="7"/>
      <c r="H312" s="7"/>
      <c r="K312" s="1023"/>
    </row>
    <row r="313" spans="1:11" customFormat="1" ht="13.2">
      <c r="A313" s="1394"/>
      <c r="E313" s="7"/>
      <c r="F313" s="7"/>
      <c r="G313" s="7"/>
      <c r="H313" s="7"/>
      <c r="K313" s="1023"/>
    </row>
    <row r="314" spans="1:11" customFormat="1" ht="13.2">
      <c r="A314" s="1394"/>
      <c r="E314" s="7"/>
      <c r="F314" s="7"/>
      <c r="G314" s="7"/>
      <c r="H314" s="7"/>
      <c r="K314" s="1023"/>
    </row>
    <row r="315" spans="1:11" customFormat="1" ht="13.2">
      <c r="A315" s="1394"/>
      <c r="E315" s="7"/>
      <c r="F315" s="7"/>
      <c r="G315" s="7"/>
      <c r="H315" s="7"/>
      <c r="K315" s="1023"/>
    </row>
    <row r="316" spans="1:11" customFormat="1" ht="13.2">
      <c r="A316" s="1394"/>
      <c r="E316" s="7"/>
      <c r="F316" s="7"/>
      <c r="G316" s="7"/>
      <c r="H316" s="7"/>
      <c r="K316" s="1023"/>
    </row>
    <row r="317" spans="1:11" customFormat="1" ht="13.2">
      <c r="A317" s="1394"/>
      <c r="E317" s="7"/>
      <c r="F317" s="7"/>
      <c r="G317" s="7"/>
      <c r="H317" s="7"/>
      <c r="K317" s="1023"/>
    </row>
    <row r="318" spans="1:11" customFormat="1" ht="13.2">
      <c r="A318" s="1394"/>
      <c r="E318" s="7"/>
      <c r="F318" s="7"/>
      <c r="G318" s="7"/>
      <c r="H318" s="7"/>
      <c r="K318" s="1023"/>
    </row>
    <row r="319" spans="1:11" customFormat="1" ht="13.2">
      <c r="A319" s="1394"/>
      <c r="E319" s="7"/>
      <c r="F319" s="7"/>
      <c r="G319" s="7"/>
      <c r="H319" s="7"/>
      <c r="K319" s="1023"/>
    </row>
    <row r="320" spans="1:11" customFormat="1" ht="13.2">
      <c r="A320" s="1394"/>
      <c r="E320" s="7"/>
      <c r="F320" s="7"/>
      <c r="G320" s="7"/>
      <c r="H320" s="7"/>
      <c r="K320" s="1023"/>
    </row>
    <row r="321" spans="1:11" customFormat="1" ht="13.2">
      <c r="A321" s="1394"/>
      <c r="E321" s="7"/>
      <c r="F321" s="7"/>
      <c r="G321" s="7"/>
      <c r="H321" s="7"/>
      <c r="K321" s="1023"/>
    </row>
    <row r="322" spans="1:11" customFormat="1" ht="13.2">
      <c r="A322" s="1394"/>
      <c r="E322" s="7"/>
      <c r="F322" s="7"/>
      <c r="G322" s="7"/>
      <c r="H322" s="7"/>
      <c r="K322" s="1023"/>
    </row>
    <row r="323" spans="1:11" customFormat="1" ht="13.2">
      <c r="A323" s="1394"/>
      <c r="E323" s="7"/>
      <c r="F323" s="7"/>
      <c r="G323" s="7"/>
      <c r="H323" s="7"/>
      <c r="K323" s="1023"/>
    </row>
    <row r="324" spans="1:11" customFormat="1" ht="13.2">
      <c r="A324" s="1394"/>
      <c r="E324" s="7"/>
      <c r="F324" s="7"/>
      <c r="G324" s="7"/>
      <c r="H324" s="7"/>
      <c r="K324" s="1023"/>
    </row>
    <row r="325" spans="1:11" customFormat="1" ht="13.2">
      <c r="A325" s="1394"/>
      <c r="E325" s="7"/>
      <c r="F325" s="7"/>
      <c r="G325" s="7"/>
      <c r="H325" s="7"/>
      <c r="K325" s="1023"/>
    </row>
    <row r="326" spans="1:11" customFormat="1" ht="13.2">
      <c r="A326" s="1394"/>
      <c r="E326" s="7"/>
      <c r="F326" s="7"/>
      <c r="G326" s="7"/>
      <c r="H326" s="7"/>
      <c r="K326" s="1023"/>
    </row>
    <row r="327" spans="1:11" customFormat="1" ht="13.2">
      <c r="A327" s="1394"/>
      <c r="E327" s="7"/>
      <c r="F327" s="7"/>
      <c r="G327" s="7"/>
      <c r="H327" s="7"/>
      <c r="K327" s="1023"/>
    </row>
    <row r="328" spans="1:11" customFormat="1" ht="13.2">
      <c r="A328" s="1394"/>
      <c r="E328" s="7"/>
      <c r="F328" s="7"/>
      <c r="G328" s="7"/>
      <c r="H328" s="7"/>
      <c r="K328" s="1023"/>
    </row>
    <row r="329" spans="1:11" customFormat="1" ht="13.2">
      <c r="A329" s="1394"/>
      <c r="E329" s="7"/>
      <c r="F329" s="7"/>
      <c r="G329" s="7"/>
      <c r="H329" s="7"/>
      <c r="K329" s="1023"/>
    </row>
    <row r="330" spans="1:11" customFormat="1" ht="13.2">
      <c r="A330" s="1394"/>
      <c r="E330" s="7"/>
      <c r="F330" s="7"/>
      <c r="G330" s="7"/>
      <c r="H330" s="7"/>
      <c r="K330" s="1023"/>
    </row>
    <row r="331" spans="1:11" customFormat="1" ht="13.2">
      <c r="A331" s="1394"/>
      <c r="E331" s="7"/>
      <c r="F331" s="7"/>
      <c r="G331" s="7"/>
      <c r="H331" s="7"/>
      <c r="K331" s="1023"/>
    </row>
    <row r="332" spans="1:11" customFormat="1" ht="13.2">
      <c r="A332" s="1394"/>
      <c r="E332" s="7"/>
      <c r="F332" s="7"/>
      <c r="G332" s="7"/>
      <c r="H332" s="7"/>
      <c r="K332" s="1023"/>
    </row>
    <row r="333" spans="1:11" customFormat="1" ht="13.2">
      <c r="A333" s="1394"/>
      <c r="E333" s="7"/>
      <c r="F333" s="7"/>
      <c r="G333" s="7"/>
      <c r="H333" s="7"/>
      <c r="K333" s="1023"/>
    </row>
    <row r="334" spans="1:11" customFormat="1" ht="13.2">
      <c r="A334" s="1394"/>
      <c r="E334" s="7"/>
      <c r="F334" s="7"/>
      <c r="G334" s="7"/>
      <c r="H334" s="7"/>
      <c r="K334" s="1023"/>
    </row>
    <row r="335" spans="1:11" customFormat="1" ht="13.2">
      <c r="A335" s="1394"/>
      <c r="E335" s="7"/>
      <c r="F335" s="7"/>
      <c r="G335" s="7"/>
      <c r="H335" s="7"/>
      <c r="K335" s="1023"/>
    </row>
    <row r="336" spans="1:11" customFormat="1" ht="13.2">
      <c r="A336" s="1394"/>
      <c r="E336" s="7"/>
      <c r="F336" s="7"/>
      <c r="G336" s="7"/>
      <c r="H336" s="7"/>
      <c r="K336" s="1023"/>
    </row>
    <row r="337" spans="1:11" customFormat="1" ht="13.2">
      <c r="A337" s="1394"/>
      <c r="E337" s="7"/>
      <c r="F337" s="7"/>
      <c r="G337" s="7"/>
      <c r="H337" s="7"/>
      <c r="K337" s="1023"/>
    </row>
    <row r="338" spans="1:11" customFormat="1" ht="13.2">
      <c r="A338" s="1394"/>
      <c r="E338" s="7"/>
      <c r="F338" s="7"/>
      <c r="G338" s="7"/>
      <c r="H338" s="7"/>
      <c r="K338" s="1023"/>
    </row>
    <row r="339" spans="1:11" customFormat="1" ht="13.2">
      <c r="A339" s="1394"/>
      <c r="E339" s="7"/>
      <c r="F339" s="7"/>
      <c r="G339" s="7"/>
      <c r="H339" s="7"/>
      <c r="K339" s="1023"/>
    </row>
    <row r="340" spans="1:11" customFormat="1" ht="13.2">
      <c r="A340" s="1394"/>
      <c r="E340" s="7"/>
      <c r="F340" s="7"/>
      <c r="G340" s="7"/>
      <c r="H340" s="7"/>
      <c r="K340" s="1023"/>
    </row>
    <row r="341" spans="1:11" customFormat="1" ht="13.2">
      <c r="A341" s="1394"/>
      <c r="E341" s="7"/>
      <c r="F341" s="7"/>
      <c r="G341" s="7"/>
      <c r="H341" s="7"/>
      <c r="K341" s="1023"/>
    </row>
    <row r="342" spans="1:11" customFormat="1" ht="13.2">
      <c r="A342" s="1394"/>
      <c r="E342" s="7"/>
      <c r="F342" s="7"/>
      <c r="G342" s="7"/>
      <c r="H342" s="7"/>
      <c r="K342" s="1023"/>
    </row>
    <row r="343" spans="1:11" customFormat="1" ht="13.2">
      <c r="A343" s="1394"/>
      <c r="E343" s="7"/>
      <c r="F343" s="7"/>
      <c r="G343" s="7"/>
      <c r="H343" s="7"/>
      <c r="K343" s="1023"/>
    </row>
    <row r="344" spans="1:11" customFormat="1" ht="13.2">
      <c r="A344" s="1394"/>
      <c r="E344" s="7"/>
      <c r="F344" s="7"/>
      <c r="G344" s="7"/>
      <c r="H344" s="7"/>
      <c r="K344" s="1023"/>
    </row>
    <row r="345" spans="1:11" customFormat="1" ht="13.2">
      <c r="A345" s="1394"/>
      <c r="E345" s="7"/>
      <c r="F345" s="7"/>
      <c r="G345" s="7"/>
      <c r="H345" s="7"/>
      <c r="K345" s="1023"/>
    </row>
    <row r="346" spans="1:11" customFormat="1" ht="13.2">
      <c r="A346" s="1394"/>
      <c r="E346" s="7"/>
      <c r="F346" s="7"/>
      <c r="G346" s="7"/>
      <c r="H346" s="7"/>
      <c r="K346" s="1023"/>
    </row>
    <row r="347" spans="1:11" customFormat="1" ht="13.2">
      <c r="A347" s="1394"/>
      <c r="E347" s="7"/>
      <c r="F347" s="7"/>
      <c r="G347" s="7"/>
      <c r="H347" s="7"/>
      <c r="K347" s="1023"/>
    </row>
    <row r="348" spans="1:11" customFormat="1" ht="13.2">
      <c r="A348" s="1394"/>
      <c r="E348" s="7"/>
      <c r="F348" s="7"/>
      <c r="G348" s="7"/>
      <c r="H348" s="7"/>
      <c r="K348" s="1023"/>
    </row>
    <row r="349" spans="1:11" customFormat="1" ht="13.2">
      <c r="A349" s="1394"/>
      <c r="E349" s="7"/>
      <c r="F349" s="7"/>
      <c r="G349" s="7"/>
      <c r="H349" s="7"/>
      <c r="K349" s="1023"/>
    </row>
    <row r="350" spans="1:11" customFormat="1" ht="13.2">
      <c r="A350" s="1394"/>
      <c r="E350" s="7"/>
      <c r="F350" s="7"/>
      <c r="G350" s="7"/>
      <c r="H350" s="7"/>
      <c r="K350" s="1023"/>
    </row>
    <row r="351" spans="1:11" customFormat="1" ht="13.2">
      <c r="A351" s="1394"/>
      <c r="E351" s="7"/>
      <c r="F351" s="7"/>
      <c r="G351" s="7"/>
      <c r="H351" s="7"/>
      <c r="K351" s="1023"/>
    </row>
    <row r="352" spans="1:11" customFormat="1" ht="13.2">
      <c r="A352" s="1394"/>
      <c r="E352" s="7"/>
      <c r="F352" s="7"/>
      <c r="G352" s="7"/>
      <c r="H352" s="7"/>
      <c r="K352" s="1023"/>
    </row>
    <row r="353" spans="1:11" customFormat="1" ht="13.2">
      <c r="A353" s="1394"/>
      <c r="E353" s="7"/>
      <c r="F353" s="7"/>
      <c r="G353" s="7"/>
      <c r="H353" s="7"/>
      <c r="K353" s="1023"/>
    </row>
    <row r="354" spans="1:11" customFormat="1" ht="13.2">
      <c r="A354" s="1394"/>
      <c r="E354" s="7"/>
      <c r="F354" s="7"/>
      <c r="G354" s="7"/>
      <c r="H354" s="7"/>
      <c r="K354" s="1023"/>
    </row>
    <row r="355" spans="1:11" customFormat="1" ht="13.2">
      <c r="A355" s="1394"/>
      <c r="E355" s="7"/>
      <c r="F355" s="7"/>
      <c r="G355" s="7"/>
      <c r="H355" s="7"/>
      <c r="K355" s="1023"/>
    </row>
    <row r="356" spans="1:11" customFormat="1" ht="13.2">
      <c r="A356" s="1394"/>
      <c r="E356" s="7"/>
      <c r="F356" s="7"/>
      <c r="G356" s="7"/>
      <c r="H356" s="7"/>
      <c r="K356" s="1023"/>
    </row>
    <row r="357" spans="1:11" customFormat="1" ht="13.2">
      <c r="A357" s="1394"/>
      <c r="E357" s="7"/>
      <c r="F357" s="7"/>
      <c r="G357" s="7"/>
      <c r="H357" s="7"/>
      <c r="K357" s="1023"/>
    </row>
    <row r="358" spans="1:11" customFormat="1" ht="13.2">
      <c r="A358" s="1394"/>
      <c r="E358" s="7"/>
      <c r="F358" s="7"/>
      <c r="G358" s="7"/>
      <c r="H358" s="7"/>
      <c r="K358" s="1023"/>
    </row>
    <row r="359" spans="1:11" customFormat="1" ht="13.2">
      <c r="A359" s="1394"/>
      <c r="E359" s="7"/>
      <c r="F359" s="7"/>
      <c r="G359" s="7"/>
      <c r="H359" s="7"/>
      <c r="K359" s="1023"/>
    </row>
    <row r="360" spans="1:11" customFormat="1" ht="13.2">
      <c r="A360" s="1394"/>
      <c r="E360" s="7"/>
      <c r="F360" s="7"/>
      <c r="G360" s="7"/>
      <c r="H360" s="7"/>
      <c r="K360" s="1023"/>
    </row>
    <row r="361" spans="1:11" customFormat="1" ht="13.2">
      <c r="A361" s="1394"/>
      <c r="E361" s="7"/>
      <c r="F361" s="7"/>
      <c r="G361" s="7"/>
      <c r="H361" s="7"/>
      <c r="K361" s="1023"/>
    </row>
    <row r="362" spans="1:11" customFormat="1" ht="13.2">
      <c r="A362" s="1394"/>
      <c r="E362" s="7"/>
      <c r="F362" s="7"/>
      <c r="G362" s="7"/>
      <c r="H362" s="7"/>
      <c r="K362" s="1023"/>
    </row>
    <row r="363" spans="1:11" customFormat="1" ht="13.2">
      <c r="A363" s="1394"/>
      <c r="E363" s="7"/>
      <c r="F363" s="7"/>
      <c r="G363" s="7"/>
      <c r="H363" s="7"/>
      <c r="K363" s="1023"/>
    </row>
    <row r="364" spans="1:11" customFormat="1" ht="13.2">
      <c r="A364" s="1394"/>
      <c r="E364" s="7"/>
      <c r="F364" s="7"/>
      <c r="G364" s="7"/>
      <c r="H364" s="7"/>
      <c r="K364" s="1023"/>
    </row>
    <row r="365" spans="1:11" customFormat="1" ht="13.2">
      <c r="A365" s="1394"/>
      <c r="E365" s="7"/>
      <c r="F365" s="7"/>
      <c r="G365" s="7"/>
      <c r="H365" s="7"/>
      <c r="K365" s="1023"/>
    </row>
    <row r="366" spans="1:11" customFormat="1" ht="13.2">
      <c r="A366" s="1394"/>
      <c r="E366" s="7"/>
      <c r="F366" s="7"/>
      <c r="G366" s="7"/>
      <c r="H366" s="7"/>
      <c r="K366" s="1023"/>
    </row>
    <row r="367" spans="1:11" customFormat="1" ht="13.2">
      <c r="A367" s="1394"/>
      <c r="E367" s="7"/>
      <c r="F367" s="7"/>
      <c r="G367" s="7"/>
      <c r="H367" s="7"/>
      <c r="K367" s="1023"/>
    </row>
    <row r="368" spans="1:11" customFormat="1" ht="13.2">
      <c r="A368" s="1394"/>
      <c r="E368" s="7"/>
      <c r="F368" s="7"/>
      <c r="G368" s="7"/>
      <c r="H368" s="7"/>
      <c r="K368" s="1023"/>
    </row>
    <row r="369" spans="1:11" customFormat="1" ht="13.2">
      <c r="A369" s="1394"/>
      <c r="E369" s="7"/>
      <c r="F369" s="7"/>
      <c r="G369" s="7"/>
      <c r="H369" s="7"/>
      <c r="K369" s="1023"/>
    </row>
    <row r="370" spans="1:11" customFormat="1" ht="13.2">
      <c r="A370" s="1394"/>
      <c r="E370" s="7"/>
      <c r="F370" s="7"/>
      <c r="G370" s="7"/>
      <c r="H370" s="7"/>
      <c r="K370" s="1023"/>
    </row>
    <row r="371" spans="1:11" customFormat="1" ht="13.2">
      <c r="A371" s="1394"/>
      <c r="E371" s="7"/>
      <c r="F371" s="7"/>
      <c r="G371" s="7"/>
      <c r="H371" s="7"/>
      <c r="K371" s="1023"/>
    </row>
    <row r="372" spans="1:11" customFormat="1" ht="13.2">
      <c r="A372" s="1394"/>
      <c r="E372" s="7"/>
      <c r="F372" s="7"/>
      <c r="G372" s="7"/>
      <c r="H372" s="7"/>
      <c r="K372" s="1023"/>
    </row>
    <row r="373" spans="1:11" customFormat="1" ht="13.2">
      <c r="A373" s="1394"/>
      <c r="E373" s="7"/>
      <c r="F373" s="7"/>
      <c r="G373" s="7"/>
      <c r="H373" s="7"/>
      <c r="K373" s="1023"/>
    </row>
    <row r="374" spans="1:11" customFormat="1" ht="13.2">
      <c r="A374" s="1394"/>
      <c r="E374" s="7"/>
      <c r="F374" s="7"/>
      <c r="G374" s="7"/>
      <c r="H374" s="7"/>
      <c r="K374" s="1023"/>
    </row>
    <row r="375" spans="1:11" customFormat="1" ht="13.2">
      <c r="A375" s="1394"/>
      <c r="E375" s="7"/>
      <c r="F375" s="7"/>
      <c r="G375" s="7"/>
      <c r="H375" s="7"/>
      <c r="K375" s="1023"/>
    </row>
    <row r="376" spans="1:11" customFormat="1" ht="13.2">
      <c r="A376" s="1394"/>
      <c r="E376" s="7"/>
      <c r="F376" s="7"/>
      <c r="G376" s="7"/>
      <c r="H376" s="7"/>
      <c r="K376" s="1023"/>
    </row>
    <row r="377" spans="1:11" customFormat="1" ht="13.2">
      <c r="A377" s="1394"/>
      <c r="E377" s="7"/>
      <c r="F377" s="7"/>
      <c r="G377" s="7"/>
      <c r="H377" s="7"/>
      <c r="K377" s="1023"/>
    </row>
    <row r="378" spans="1:11" customFormat="1" ht="13.2">
      <c r="A378" s="1394"/>
      <c r="E378" s="7"/>
      <c r="F378" s="7"/>
      <c r="G378" s="7"/>
      <c r="H378" s="7"/>
      <c r="K378" s="1023"/>
    </row>
    <row r="379" spans="1:11" customFormat="1" ht="13.2">
      <c r="A379" s="1394"/>
      <c r="E379" s="7"/>
      <c r="F379" s="7"/>
      <c r="G379" s="7"/>
      <c r="H379" s="7"/>
      <c r="K379" s="1023"/>
    </row>
    <row r="380" spans="1:11" customFormat="1" ht="13.2">
      <c r="A380" s="1394"/>
      <c r="E380" s="7"/>
      <c r="F380" s="7"/>
      <c r="G380" s="7"/>
      <c r="H380" s="7"/>
      <c r="K380" s="1023"/>
    </row>
    <row r="381" spans="1:11" customFormat="1" ht="13.2">
      <c r="A381" s="1394"/>
      <c r="E381" s="7"/>
      <c r="F381" s="7"/>
      <c r="G381" s="7"/>
      <c r="H381" s="7"/>
      <c r="K381" s="1023"/>
    </row>
    <row r="382" spans="1:11" customFormat="1" ht="13.2">
      <c r="A382" s="1394"/>
      <c r="E382" s="7"/>
      <c r="F382" s="7"/>
      <c r="G382" s="7"/>
      <c r="H382" s="7"/>
      <c r="K382" s="1023"/>
    </row>
    <row r="383" spans="1:11" customFormat="1" ht="13.2">
      <c r="A383" s="1394"/>
      <c r="E383" s="7"/>
      <c r="F383" s="7"/>
      <c r="G383" s="7"/>
      <c r="H383" s="7"/>
      <c r="K383" s="1023"/>
    </row>
    <row r="384" spans="1:11" customFormat="1" ht="13.2">
      <c r="A384" s="1394"/>
      <c r="E384" s="7"/>
      <c r="F384" s="7"/>
      <c r="G384" s="7"/>
      <c r="H384" s="7"/>
      <c r="K384" s="1023"/>
    </row>
    <row r="385" spans="1:11" customFormat="1" ht="13.2">
      <c r="A385" s="1394"/>
      <c r="E385" s="7"/>
      <c r="F385" s="7"/>
      <c r="G385" s="7"/>
      <c r="H385" s="7"/>
      <c r="K385" s="1023"/>
    </row>
    <row r="386" spans="1:11" customFormat="1" ht="13.2">
      <c r="A386" s="1394"/>
      <c r="E386" s="7"/>
      <c r="F386" s="7"/>
      <c r="G386" s="7"/>
      <c r="H386" s="7"/>
      <c r="K386" s="1023"/>
    </row>
    <row r="387" spans="1:11" customFormat="1" ht="13.2">
      <c r="A387" s="1394"/>
      <c r="E387" s="7"/>
      <c r="F387" s="7"/>
      <c r="G387" s="7"/>
      <c r="H387" s="7"/>
      <c r="K387" s="1023"/>
    </row>
    <row r="388" spans="1:11" customFormat="1" ht="13.2">
      <c r="A388" s="1394"/>
      <c r="E388" s="7"/>
      <c r="F388" s="7"/>
      <c r="G388" s="7"/>
      <c r="H388" s="7"/>
      <c r="K388" s="1023"/>
    </row>
    <row r="389" spans="1:11" customFormat="1" ht="13.2">
      <c r="A389" s="1394"/>
      <c r="E389" s="7"/>
      <c r="F389" s="7"/>
      <c r="G389" s="7"/>
      <c r="H389" s="7"/>
      <c r="K389" s="1023"/>
    </row>
    <row r="390" spans="1:11" customFormat="1" ht="13.2">
      <c r="A390" s="1394"/>
      <c r="E390" s="7"/>
      <c r="F390" s="7"/>
      <c r="G390" s="7"/>
      <c r="H390" s="7"/>
      <c r="K390" s="1023"/>
    </row>
    <row r="391" spans="1:11" customFormat="1" ht="13.2">
      <c r="A391" s="1394"/>
      <c r="E391" s="7"/>
      <c r="F391" s="7"/>
      <c r="G391" s="7"/>
      <c r="H391" s="7"/>
      <c r="K391" s="1023"/>
    </row>
    <row r="392" spans="1:11" customFormat="1" ht="13.2">
      <c r="A392" s="1394"/>
      <c r="E392" s="7"/>
      <c r="F392" s="7"/>
      <c r="G392" s="7"/>
      <c r="H392" s="7"/>
      <c r="K392" s="1023"/>
    </row>
    <row r="393" spans="1:11" customFormat="1" ht="13.2">
      <c r="A393" s="1394"/>
      <c r="E393" s="7"/>
      <c r="F393" s="7"/>
      <c r="G393" s="7"/>
      <c r="H393" s="7"/>
      <c r="K393" s="1023"/>
    </row>
    <row r="394" spans="1:11" customFormat="1" ht="13.2">
      <c r="A394" s="1394"/>
      <c r="E394" s="7"/>
      <c r="F394" s="7"/>
      <c r="G394" s="7"/>
      <c r="H394" s="7"/>
      <c r="K394" s="1023"/>
    </row>
    <row r="395" spans="1:11" customFormat="1" ht="13.2">
      <c r="A395" s="1394"/>
      <c r="E395" s="7"/>
      <c r="F395" s="7"/>
      <c r="G395" s="7"/>
      <c r="H395" s="7"/>
      <c r="K395" s="1023"/>
    </row>
    <row r="396" spans="1:11" customFormat="1" ht="13.2">
      <c r="A396" s="1394"/>
      <c r="E396" s="7"/>
      <c r="F396" s="7"/>
      <c r="G396" s="7"/>
      <c r="H396" s="7"/>
      <c r="K396" s="1023"/>
    </row>
    <row r="397" spans="1:11" customFormat="1" ht="13.2">
      <c r="A397" s="1394"/>
      <c r="E397" s="7"/>
      <c r="F397" s="7"/>
      <c r="G397" s="7"/>
      <c r="H397" s="7"/>
      <c r="K397" s="1023"/>
    </row>
    <row r="398" spans="1:11" customFormat="1" ht="13.2">
      <c r="A398" s="1394"/>
      <c r="E398" s="7"/>
      <c r="F398" s="7"/>
      <c r="G398" s="7"/>
      <c r="H398" s="7"/>
      <c r="K398" s="1023"/>
    </row>
    <row r="399" spans="1:11" customFormat="1" ht="13.2">
      <c r="A399" s="1394"/>
      <c r="E399" s="7"/>
      <c r="F399" s="7"/>
      <c r="G399" s="7"/>
      <c r="H399" s="7"/>
      <c r="K399" s="1023"/>
    </row>
    <row r="400" spans="1:11" customFormat="1" ht="13.2">
      <c r="A400" s="1394"/>
      <c r="E400" s="7"/>
      <c r="F400" s="7"/>
      <c r="G400" s="7"/>
      <c r="H400" s="7"/>
      <c r="K400" s="1023"/>
    </row>
    <row r="401" spans="1:11" customFormat="1" ht="13.2">
      <c r="A401" s="1394"/>
      <c r="E401" s="7"/>
      <c r="F401" s="7"/>
      <c r="G401" s="7"/>
      <c r="H401" s="7"/>
      <c r="K401" s="1023"/>
    </row>
    <row r="402" spans="1:11" customFormat="1" ht="13.2">
      <c r="A402" s="1394"/>
      <c r="E402" s="7"/>
      <c r="F402" s="7"/>
      <c r="G402" s="7"/>
      <c r="H402" s="7"/>
      <c r="K402" s="1023"/>
    </row>
    <row r="403" spans="1:11" customFormat="1" ht="13.2">
      <c r="A403" s="1394"/>
      <c r="E403" s="7"/>
      <c r="F403" s="7"/>
      <c r="G403" s="7"/>
      <c r="H403" s="7"/>
      <c r="K403" s="1023"/>
    </row>
    <row r="404" spans="1:11" customFormat="1" ht="13.2">
      <c r="A404" s="1394"/>
      <c r="E404" s="7"/>
      <c r="F404" s="7"/>
      <c r="G404" s="7"/>
      <c r="H404" s="7"/>
      <c r="K404" s="1023"/>
    </row>
    <row r="405" spans="1:11" customFormat="1" ht="13.2">
      <c r="A405" s="1394"/>
      <c r="E405" s="7"/>
      <c r="F405" s="7"/>
      <c r="G405" s="7"/>
      <c r="H405" s="7"/>
      <c r="K405" s="1023"/>
    </row>
    <row r="406" spans="1:11" customFormat="1" ht="13.2">
      <c r="A406" s="1394"/>
      <c r="E406" s="7"/>
      <c r="F406" s="7"/>
      <c r="G406" s="7"/>
      <c r="H406" s="7"/>
      <c r="K406" s="1023"/>
    </row>
    <row r="407" spans="1:11" customFormat="1" ht="13.2">
      <c r="A407" s="1394"/>
      <c r="E407" s="7"/>
      <c r="F407" s="7"/>
      <c r="G407" s="7"/>
      <c r="H407" s="7"/>
      <c r="K407" s="1023"/>
    </row>
    <row r="408" spans="1:11" customFormat="1" ht="13.2">
      <c r="A408" s="1394"/>
      <c r="E408" s="7"/>
      <c r="F408" s="7"/>
      <c r="G408" s="7"/>
      <c r="H408" s="7"/>
      <c r="K408" s="1023"/>
    </row>
    <row r="409" spans="1:11" customFormat="1" ht="13.2">
      <c r="A409" s="1394"/>
      <c r="E409" s="7"/>
      <c r="F409" s="7"/>
      <c r="G409" s="7"/>
      <c r="H409" s="7"/>
      <c r="K409" s="1023"/>
    </row>
    <row r="410" spans="1:11" customFormat="1" ht="13.2">
      <c r="A410" s="1394"/>
      <c r="E410" s="7"/>
      <c r="F410" s="7"/>
      <c r="G410" s="7"/>
      <c r="H410" s="7"/>
      <c r="K410" s="1023"/>
    </row>
    <row r="411" spans="1:11" customFormat="1" ht="13.2">
      <c r="A411" s="1394"/>
      <c r="E411" s="7"/>
      <c r="F411" s="7"/>
      <c r="G411" s="7"/>
      <c r="H411" s="7"/>
      <c r="K411" s="1023"/>
    </row>
    <row r="412" spans="1:11" customFormat="1" ht="13.2">
      <c r="A412" s="1394"/>
      <c r="E412" s="7"/>
      <c r="F412" s="7"/>
      <c r="G412" s="7"/>
      <c r="H412" s="7"/>
      <c r="K412" s="1023"/>
    </row>
    <row r="413" spans="1:11" customFormat="1" ht="13.2">
      <c r="A413" s="1394"/>
      <c r="E413" s="7"/>
      <c r="F413" s="7"/>
      <c r="G413" s="7"/>
      <c r="H413" s="7"/>
      <c r="K413" s="1023"/>
    </row>
    <row r="414" spans="1:11" customFormat="1" ht="13.2">
      <c r="A414" s="1394"/>
      <c r="E414" s="7"/>
      <c r="F414" s="7"/>
      <c r="G414" s="7"/>
      <c r="H414" s="7"/>
      <c r="K414" s="1023"/>
    </row>
    <row r="415" spans="1:11" customFormat="1" ht="13.2">
      <c r="A415" s="1394"/>
      <c r="E415" s="7"/>
      <c r="F415" s="7"/>
      <c r="G415" s="7"/>
      <c r="H415" s="7"/>
      <c r="K415" s="1023"/>
    </row>
    <row r="416" spans="1:11" customFormat="1" ht="13.2">
      <c r="A416" s="1394"/>
      <c r="E416" s="7"/>
      <c r="F416" s="7"/>
      <c r="G416" s="7"/>
      <c r="H416" s="7"/>
      <c r="K416" s="1023"/>
    </row>
    <row r="417" spans="1:11" customFormat="1" ht="13.2">
      <c r="A417" s="1394"/>
      <c r="E417" s="7"/>
      <c r="F417" s="7"/>
      <c r="G417" s="7"/>
      <c r="H417" s="7"/>
      <c r="K417" s="1023"/>
    </row>
    <row r="418" spans="1:11" customFormat="1" ht="13.2">
      <c r="A418" s="1394"/>
      <c r="E418" s="7"/>
      <c r="F418" s="7"/>
      <c r="G418" s="7"/>
      <c r="H418" s="7"/>
      <c r="K418" s="1023"/>
    </row>
    <row r="419" spans="1:11" customFormat="1" ht="13.2">
      <c r="A419" s="1394"/>
      <c r="E419" s="7"/>
      <c r="F419" s="7"/>
      <c r="G419" s="7"/>
      <c r="H419" s="7"/>
      <c r="K419" s="1023"/>
    </row>
    <row r="420" spans="1:11" customFormat="1" ht="13.2">
      <c r="A420" s="1394"/>
      <c r="E420" s="7"/>
      <c r="F420" s="7"/>
      <c r="G420" s="7"/>
      <c r="H420" s="7"/>
      <c r="K420" s="1023"/>
    </row>
    <row r="421" spans="1:11" customFormat="1" ht="13.2">
      <c r="A421" s="1394"/>
      <c r="E421" s="7"/>
      <c r="F421" s="7"/>
      <c r="G421" s="7"/>
      <c r="H421" s="7"/>
      <c r="K421" s="1023"/>
    </row>
    <row r="422" spans="1:11" customFormat="1" ht="13.2">
      <c r="A422" s="1394"/>
      <c r="E422" s="7"/>
      <c r="F422" s="7"/>
      <c r="G422" s="7"/>
      <c r="H422" s="7"/>
      <c r="K422" s="1023"/>
    </row>
    <row r="423" spans="1:11" customFormat="1" ht="13.2">
      <c r="A423" s="1394"/>
      <c r="E423" s="7"/>
      <c r="F423" s="7"/>
      <c r="G423" s="7"/>
      <c r="H423" s="7"/>
      <c r="K423" s="1023"/>
    </row>
    <row r="424" spans="1:11" customFormat="1" ht="13.2">
      <c r="A424" s="1394"/>
      <c r="E424" s="7"/>
      <c r="F424" s="7"/>
      <c r="G424" s="7"/>
      <c r="H424" s="7"/>
      <c r="K424" s="1023"/>
    </row>
    <row r="425" spans="1:11" customFormat="1" ht="13.2">
      <c r="A425" s="1394"/>
      <c r="E425" s="7"/>
      <c r="F425" s="7"/>
      <c r="G425" s="7"/>
      <c r="H425" s="7"/>
      <c r="K425" s="1023"/>
    </row>
    <row r="426" spans="1:11" customFormat="1" ht="13.2">
      <c r="A426" s="1394"/>
      <c r="E426" s="7"/>
      <c r="F426" s="7"/>
      <c r="G426" s="7"/>
      <c r="H426" s="7"/>
      <c r="K426" s="1023"/>
    </row>
    <row r="427" spans="1:11" customFormat="1" ht="13.2">
      <c r="A427" s="1394"/>
      <c r="E427" s="7"/>
      <c r="F427" s="7"/>
      <c r="G427" s="7"/>
      <c r="H427" s="7"/>
      <c r="K427" s="1023"/>
    </row>
    <row r="428" spans="1:11" customFormat="1" ht="13.2">
      <c r="A428" s="1394"/>
      <c r="E428" s="7"/>
      <c r="F428" s="7"/>
      <c r="G428" s="7"/>
      <c r="H428" s="7"/>
      <c r="K428" s="1023"/>
    </row>
    <row r="429" spans="1:11" customFormat="1" ht="13.2">
      <c r="A429" s="1394"/>
      <c r="E429" s="7"/>
      <c r="F429" s="7"/>
      <c r="G429" s="7"/>
      <c r="H429" s="7"/>
      <c r="K429" s="1023"/>
    </row>
    <row r="430" spans="1:11" customFormat="1" ht="13.2">
      <c r="A430" s="1394"/>
      <c r="E430" s="7"/>
      <c r="F430" s="7"/>
      <c r="G430" s="7"/>
      <c r="H430" s="7"/>
      <c r="K430" s="1023"/>
    </row>
    <row r="431" spans="1:11" customFormat="1" ht="13.2">
      <c r="A431" s="1394"/>
      <c r="E431" s="7"/>
      <c r="F431" s="7"/>
      <c r="G431" s="7"/>
      <c r="H431" s="7"/>
      <c r="K431" s="1023"/>
    </row>
    <row r="432" spans="1:11" customFormat="1" ht="13.2">
      <c r="A432" s="1394"/>
      <c r="E432" s="7"/>
      <c r="F432" s="7"/>
      <c r="G432" s="7"/>
      <c r="H432" s="7"/>
      <c r="K432" s="1023"/>
    </row>
    <row r="433" spans="1:11" customFormat="1" ht="13.2">
      <c r="A433" s="1394"/>
      <c r="E433" s="7"/>
      <c r="F433" s="7"/>
      <c r="G433" s="7"/>
      <c r="H433" s="7"/>
      <c r="K433" s="1023"/>
    </row>
    <row r="434" spans="1:11" customFormat="1" ht="13.2">
      <c r="A434" s="1394"/>
      <c r="E434" s="7"/>
      <c r="F434" s="7"/>
      <c r="G434" s="7"/>
      <c r="H434" s="7"/>
      <c r="K434" s="1023"/>
    </row>
    <row r="435" spans="1:11" customFormat="1" ht="13.2">
      <c r="A435" s="1394"/>
      <c r="E435" s="7"/>
      <c r="F435" s="7"/>
      <c r="G435" s="7"/>
      <c r="H435" s="7"/>
      <c r="K435" s="1023"/>
    </row>
    <row r="436" spans="1:11" customFormat="1" ht="13.2">
      <c r="A436" s="1394"/>
      <c r="E436" s="7"/>
      <c r="F436" s="7"/>
      <c r="G436" s="7"/>
      <c r="H436" s="7"/>
      <c r="K436" s="1023"/>
    </row>
    <row r="437" spans="1:11" customFormat="1" ht="13.2">
      <c r="A437" s="1394"/>
      <c r="E437" s="7"/>
      <c r="F437" s="7"/>
      <c r="G437" s="7"/>
      <c r="H437" s="7"/>
      <c r="K437" s="1023"/>
    </row>
    <row r="438" spans="1:11" customFormat="1" ht="13.2">
      <c r="A438" s="1394"/>
      <c r="E438" s="7"/>
      <c r="F438" s="7"/>
      <c r="G438" s="7"/>
      <c r="H438" s="7"/>
      <c r="K438" s="1023"/>
    </row>
    <row r="439" spans="1:11" customFormat="1" ht="13.2">
      <c r="A439" s="1394"/>
      <c r="E439" s="7"/>
      <c r="F439" s="7"/>
      <c r="G439" s="7"/>
      <c r="H439" s="7"/>
      <c r="K439" s="1023"/>
    </row>
    <row r="440" spans="1:11" customFormat="1" ht="13.2">
      <c r="A440" s="1394"/>
      <c r="E440" s="7"/>
      <c r="F440" s="7"/>
      <c r="G440" s="7"/>
      <c r="H440" s="7"/>
      <c r="K440" s="1023"/>
    </row>
    <row r="441" spans="1:11" customFormat="1" ht="13.2">
      <c r="A441" s="1394"/>
      <c r="E441" s="7"/>
      <c r="F441" s="7"/>
      <c r="G441" s="7"/>
      <c r="H441" s="7"/>
      <c r="K441" s="1023"/>
    </row>
    <row r="442" spans="1:11" customFormat="1" ht="13.2">
      <c r="A442" s="1394"/>
      <c r="E442" s="7"/>
      <c r="F442" s="7"/>
      <c r="G442" s="7"/>
      <c r="H442" s="7"/>
      <c r="K442" s="1023"/>
    </row>
    <row r="443" spans="1:11" customFormat="1" ht="13.2">
      <c r="A443" s="1394"/>
      <c r="E443" s="7"/>
      <c r="F443" s="7"/>
      <c r="G443" s="7"/>
      <c r="H443" s="7"/>
      <c r="K443" s="1023"/>
    </row>
    <row r="444" spans="1:11" customFormat="1" ht="13.2">
      <c r="A444" s="1394"/>
      <c r="E444" s="7"/>
      <c r="F444" s="7"/>
      <c r="G444" s="7"/>
      <c r="H444" s="7"/>
      <c r="K444" s="1023"/>
    </row>
    <row r="445" spans="1:11" customFormat="1" ht="13.2">
      <c r="A445" s="1394"/>
      <c r="E445" s="7"/>
      <c r="F445" s="7"/>
      <c r="G445" s="7"/>
      <c r="H445" s="7"/>
      <c r="K445" s="1023"/>
    </row>
    <row r="446" spans="1:11" customFormat="1" ht="13.2">
      <c r="A446" s="1394"/>
      <c r="E446" s="7"/>
      <c r="F446" s="7"/>
      <c r="G446" s="7"/>
      <c r="H446" s="7"/>
      <c r="K446" s="1023"/>
    </row>
    <row r="447" spans="1:11" customFormat="1" ht="13.2">
      <c r="A447" s="1394"/>
      <c r="E447" s="7"/>
      <c r="F447" s="7"/>
      <c r="G447" s="7"/>
      <c r="H447" s="7"/>
      <c r="K447" s="1023"/>
    </row>
    <row r="448" spans="1:11" customFormat="1" ht="13.2">
      <c r="A448" s="1394"/>
      <c r="E448" s="7"/>
      <c r="F448" s="7"/>
      <c r="G448" s="7"/>
      <c r="H448" s="7"/>
      <c r="K448" s="1023"/>
    </row>
    <row r="449" spans="1:11" customFormat="1" ht="13.2">
      <c r="A449" s="1394"/>
      <c r="E449" s="7"/>
      <c r="F449" s="7"/>
      <c r="G449" s="7"/>
      <c r="H449" s="7"/>
      <c r="K449" s="1023"/>
    </row>
    <row r="450" spans="1:11" customFormat="1" ht="13.2">
      <c r="A450" s="1394"/>
      <c r="E450" s="7"/>
      <c r="F450" s="7"/>
      <c r="G450" s="7"/>
      <c r="H450" s="7"/>
      <c r="K450" s="1023"/>
    </row>
    <row r="451" spans="1:11" customFormat="1" ht="13.2">
      <c r="A451" s="1394"/>
      <c r="E451" s="7"/>
      <c r="F451" s="7"/>
      <c r="G451" s="7"/>
      <c r="H451" s="7"/>
      <c r="K451" s="1023"/>
    </row>
    <row r="452" spans="1:11" customFormat="1" ht="13.2">
      <c r="A452" s="1394"/>
      <c r="E452" s="7"/>
      <c r="F452" s="7"/>
      <c r="G452" s="7"/>
      <c r="H452" s="7"/>
      <c r="K452" s="1023"/>
    </row>
    <row r="453" spans="1:11" customFormat="1" ht="13.2">
      <c r="A453" s="1394"/>
      <c r="E453" s="7"/>
      <c r="F453" s="7"/>
      <c r="G453" s="7"/>
      <c r="H453" s="7"/>
      <c r="K453" s="1023"/>
    </row>
    <row r="454" spans="1:11" customFormat="1" ht="13.2">
      <c r="A454" s="1394"/>
      <c r="E454" s="7"/>
      <c r="F454" s="7"/>
      <c r="G454" s="7"/>
      <c r="H454" s="7"/>
      <c r="K454" s="1023"/>
    </row>
    <row r="455" spans="1:11" customFormat="1" ht="13.2">
      <c r="A455" s="1394"/>
      <c r="E455" s="7"/>
      <c r="F455" s="7"/>
      <c r="G455" s="7"/>
      <c r="H455" s="7"/>
      <c r="K455" s="1023"/>
    </row>
    <row r="456" spans="1:11" customFormat="1" ht="13.2">
      <c r="A456" s="1394"/>
      <c r="E456" s="7"/>
      <c r="F456" s="7"/>
      <c r="G456" s="7"/>
      <c r="H456" s="7"/>
      <c r="K456" s="1023"/>
    </row>
    <row r="457" spans="1:11" customFormat="1" ht="13.2">
      <c r="A457" s="1394"/>
      <c r="E457" s="7"/>
      <c r="F457" s="7"/>
      <c r="G457" s="7"/>
      <c r="H457" s="7"/>
      <c r="K457" s="1023"/>
    </row>
    <row r="458" spans="1:11" customFormat="1" ht="13.2">
      <c r="A458" s="1394"/>
      <c r="E458" s="7"/>
      <c r="F458" s="7"/>
      <c r="G458" s="7"/>
      <c r="H458" s="7"/>
      <c r="K458" s="1023"/>
    </row>
    <row r="459" spans="1:11" customFormat="1" ht="13.2">
      <c r="A459" s="1394"/>
      <c r="E459" s="7"/>
      <c r="F459" s="7"/>
      <c r="G459" s="7"/>
      <c r="H459" s="7"/>
      <c r="K459" s="1023"/>
    </row>
    <row r="460" spans="1:11" customFormat="1" ht="13.2">
      <c r="A460" s="1394"/>
      <c r="E460" s="7"/>
      <c r="F460" s="7"/>
      <c r="G460" s="7"/>
      <c r="H460" s="7"/>
      <c r="K460" s="1023"/>
    </row>
    <row r="461" spans="1:11" customFormat="1" ht="13.2">
      <c r="A461" s="1394"/>
      <c r="E461" s="7"/>
      <c r="F461" s="7"/>
      <c r="G461" s="7"/>
      <c r="H461" s="7"/>
      <c r="K461" s="1023"/>
    </row>
    <row r="462" spans="1:11" customFormat="1" ht="13.2">
      <c r="A462" s="1394"/>
      <c r="E462" s="7"/>
      <c r="F462" s="7"/>
      <c r="G462" s="7"/>
      <c r="H462" s="7"/>
      <c r="K462" s="1023"/>
    </row>
    <row r="463" spans="1:11" customFormat="1" ht="13.2">
      <c r="A463" s="1394"/>
      <c r="E463" s="7"/>
      <c r="F463" s="7"/>
      <c r="G463" s="7"/>
      <c r="H463" s="7"/>
      <c r="K463" s="1023"/>
    </row>
    <row r="464" spans="1:11" customFormat="1" ht="13.2">
      <c r="A464" s="1394"/>
      <c r="E464" s="7"/>
      <c r="F464" s="7"/>
      <c r="G464" s="7"/>
      <c r="H464" s="7"/>
      <c r="K464" s="1023"/>
    </row>
    <row r="465" spans="1:11" customFormat="1" ht="13.2">
      <c r="A465" s="1394"/>
      <c r="E465" s="7"/>
      <c r="F465" s="7"/>
      <c r="G465" s="7"/>
      <c r="H465" s="7"/>
      <c r="K465" s="1023"/>
    </row>
    <row r="466" spans="1:11" customFormat="1" ht="13.2">
      <c r="A466" s="1394"/>
      <c r="E466" s="7"/>
      <c r="F466" s="7"/>
      <c r="G466" s="7"/>
      <c r="H466" s="7"/>
      <c r="K466" s="1023"/>
    </row>
    <row r="467" spans="1:11" customFormat="1" ht="13.2">
      <c r="A467" s="1394"/>
      <c r="E467" s="7"/>
      <c r="F467" s="7"/>
      <c r="G467" s="7"/>
      <c r="H467" s="7"/>
      <c r="K467" s="1023"/>
    </row>
    <row r="468" spans="1:11" customFormat="1" ht="13.2">
      <c r="A468" s="1394"/>
      <c r="E468" s="7"/>
      <c r="F468" s="7"/>
      <c r="G468" s="7"/>
      <c r="H468" s="7"/>
      <c r="K468" s="1023"/>
    </row>
    <row r="469" spans="1:11" customFormat="1" ht="13.2">
      <c r="A469" s="1394"/>
      <c r="E469" s="7"/>
      <c r="F469" s="7"/>
      <c r="G469" s="7"/>
      <c r="H469" s="7"/>
      <c r="K469" s="1023"/>
    </row>
    <row r="470" spans="1:11" customFormat="1" ht="13.2">
      <c r="A470" s="1394"/>
      <c r="E470" s="7"/>
      <c r="F470" s="7"/>
      <c r="G470" s="7"/>
      <c r="H470" s="7"/>
      <c r="K470" s="1023"/>
    </row>
    <row r="471" spans="1:11" customFormat="1" ht="13.2">
      <c r="A471" s="1394"/>
      <c r="E471" s="7"/>
      <c r="F471" s="7"/>
      <c r="G471" s="7"/>
      <c r="H471" s="7"/>
      <c r="K471" s="1023"/>
    </row>
    <row r="472" spans="1:11" customFormat="1" ht="13.2">
      <c r="A472" s="1394"/>
      <c r="E472" s="7"/>
      <c r="F472" s="7"/>
      <c r="G472" s="7"/>
      <c r="H472" s="7"/>
      <c r="K472" s="1023"/>
    </row>
    <row r="473" spans="1:11" customFormat="1" ht="13.2">
      <c r="A473" s="1394"/>
      <c r="E473" s="7"/>
      <c r="F473" s="7"/>
      <c r="G473" s="7"/>
      <c r="H473" s="7"/>
      <c r="K473" s="1023"/>
    </row>
    <row r="474" spans="1:11" customFormat="1" ht="13.2">
      <c r="A474" s="1394"/>
      <c r="E474" s="7"/>
      <c r="F474" s="7"/>
      <c r="G474" s="7"/>
      <c r="H474" s="7"/>
      <c r="K474" s="1023"/>
    </row>
    <row r="475" spans="1:11" customFormat="1" ht="13.2">
      <c r="A475" s="1394"/>
      <c r="E475" s="7"/>
      <c r="F475" s="7"/>
      <c r="G475" s="7"/>
      <c r="H475" s="7"/>
      <c r="K475" s="1023"/>
    </row>
    <row r="476" spans="1:11" customFormat="1" ht="13.2">
      <c r="A476" s="1394"/>
      <c r="E476" s="7"/>
      <c r="F476" s="7"/>
      <c r="G476" s="7"/>
      <c r="H476" s="7"/>
      <c r="K476" s="1023"/>
    </row>
    <row r="477" spans="1:11" customFormat="1" ht="13.2">
      <c r="A477" s="1394"/>
      <c r="E477" s="7"/>
      <c r="F477" s="7"/>
      <c r="G477" s="7"/>
      <c r="H477" s="7"/>
      <c r="K477" s="1023"/>
    </row>
    <row r="478" spans="1:11" customFormat="1" ht="13.2">
      <c r="A478" s="1394"/>
      <c r="E478" s="7"/>
      <c r="F478" s="7"/>
      <c r="G478" s="7"/>
      <c r="H478" s="7"/>
      <c r="K478" s="1023"/>
    </row>
    <row r="479" spans="1:11" customFormat="1" ht="13.2">
      <c r="A479" s="1394"/>
      <c r="E479" s="7"/>
      <c r="F479" s="7"/>
      <c r="G479" s="7"/>
      <c r="H479" s="7"/>
      <c r="K479" s="1023"/>
    </row>
    <row r="480" spans="1:11" customFormat="1" ht="13.2">
      <c r="A480" s="1394"/>
      <c r="E480" s="7"/>
      <c r="F480" s="7"/>
      <c r="G480" s="7"/>
      <c r="H480" s="7"/>
      <c r="K480" s="1023"/>
    </row>
    <row r="481" spans="1:11" customFormat="1" ht="13.2">
      <c r="A481" s="1394"/>
      <c r="E481" s="7"/>
      <c r="F481" s="7"/>
      <c r="G481" s="7"/>
      <c r="H481" s="7"/>
      <c r="K481" s="1023"/>
    </row>
    <row r="482" spans="1:11" customFormat="1" ht="13.2">
      <c r="A482" s="1394"/>
      <c r="E482" s="7"/>
      <c r="F482" s="7"/>
      <c r="G482" s="7"/>
      <c r="H482" s="7"/>
      <c r="K482" s="1023"/>
    </row>
    <row r="483" spans="1:11" customFormat="1" ht="13.2">
      <c r="A483" s="1394"/>
      <c r="E483" s="7"/>
      <c r="F483" s="7"/>
      <c r="G483" s="7"/>
      <c r="H483" s="7"/>
      <c r="K483" s="1023"/>
    </row>
    <row r="484" spans="1:11" customFormat="1" ht="13.2">
      <c r="A484" s="1394"/>
      <c r="E484" s="7"/>
      <c r="F484" s="7"/>
      <c r="G484" s="7"/>
      <c r="H484" s="7"/>
      <c r="K484" s="1023"/>
    </row>
    <row r="485" spans="1:11" customFormat="1" ht="13.2">
      <c r="A485" s="1394"/>
      <c r="E485" s="7"/>
      <c r="F485" s="7"/>
      <c r="G485" s="7"/>
      <c r="H485" s="7"/>
      <c r="K485" s="1023"/>
    </row>
    <row r="486" spans="1:11" customFormat="1" ht="13.2">
      <c r="A486" s="1394"/>
      <c r="E486" s="7"/>
      <c r="F486" s="7"/>
      <c r="G486" s="7"/>
      <c r="H486" s="7"/>
      <c r="K486" s="1023"/>
    </row>
    <row r="487" spans="1:11" customFormat="1" ht="13.2">
      <c r="A487" s="1394"/>
      <c r="E487" s="7"/>
      <c r="F487" s="7"/>
      <c r="G487" s="7"/>
      <c r="H487" s="7"/>
      <c r="K487" s="1023"/>
    </row>
    <row r="488" spans="1:11" customFormat="1" ht="13.2">
      <c r="A488" s="1394"/>
      <c r="E488" s="7"/>
      <c r="F488" s="7"/>
      <c r="G488" s="7"/>
      <c r="H488" s="7"/>
      <c r="K488" s="1023"/>
    </row>
    <row r="489" spans="1:11" customFormat="1" ht="13.2">
      <c r="A489" s="1394"/>
      <c r="E489" s="7"/>
      <c r="F489" s="7"/>
      <c r="G489" s="7"/>
      <c r="H489" s="7"/>
      <c r="K489" s="1023"/>
    </row>
    <row r="490" spans="1:11" customFormat="1" ht="13.2">
      <c r="A490" s="1394"/>
      <c r="E490" s="7"/>
      <c r="F490" s="7"/>
      <c r="G490" s="7"/>
      <c r="H490" s="7"/>
      <c r="K490" s="1023"/>
    </row>
    <row r="491" spans="1:11" customFormat="1" ht="13.2">
      <c r="A491" s="1394"/>
      <c r="E491" s="7"/>
      <c r="F491" s="7"/>
      <c r="G491" s="7"/>
      <c r="H491" s="7"/>
      <c r="K491" s="1023"/>
    </row>
    <row r="492" spans="1:11" customFormat="1" ht="13.2">
      <c r="A492" s="1394"/>
      <c r="E492" s="7"/>
      <c r="F492" s="7"/>
      <c r="G492" s="7"/>
      <c r="H492" s="7"/>
      <c r="K492" s="1023"/>
    </row>
    <row r="493" spans="1:11" customFormat="1" ht="13.2">
      <c r="A493" s="1394"/>
      <c r="E493" s="7"/>
      <c r="F493" s="7"/>
      <c r="G493" s="7"/>
      <c r="H493" s="7"/>
      <c r="K493" s="1023"/>
    </row>
    <row r="494" spans="1:11" customFormat="1" ht="13.2">
      <c r="A494" s="1394"/>
      <c r="E494" s="7"/>
      <c r="F494" s="7"/>
      <c r="G494" s="7"/>
      <c r="H494" s="7"/>
      <c r="K494" s="1023"/>
    </row>
    <row r="495" spans="1:11" customFormat="1" ht="13.2">
      <c r="A495" s="1394"/>
      <c r="E495" s="7"/>
      <c r="F495" s="7"/>
      <c r="G495" s="7"/>
      <c r="H495" s="7"/>
      <c r="K495" s="1023"/>
    </row>
    <row r="496" spans="1:11" customFormat="1" ht="13.2">
      <c r="A496" s="1394"/>
      <c r="E496" s="7"/>
      <c r="F496" s="7"/>
      <c r="G496" s="7"/>
      <c r="H496" s="7"/>
      <c r="K496" s="1023"/>
    </row>
    <row r="497" spans="1:11" customFormat="1" ht="13.2">
      <c r="A497" s="1394"/>
      <c r="E497" s="7"/>
      <c r="F497" s="7"/>
      <c r="G497" s="7"/>
      <c r="H497" s="7"/>
      <c r="K497" s="1023"/>
    </row>
    <row r="498" spans="1:11" customFormat="1" ht="13.2">
      <c r="A498" s="1394"/>
      <c r="E498" s="7"/>
      <c r="F498" s="7"/>
      <c r="G498" s="7"/>
      <c r="H498" s="7"/>
      <c r="K498" s="1023"/>
    </row>
    <row r="499" spans="1:11" customFormat="1" ht="13.2">
      <c r="A499" s="1394"/>
      <c r="E499" s="7"/>
      <c r="F499" s="7"/>
      <c r="G499" s="7"/>
      <c r="H499" s="7"/>
      <c r="K499" s="1023"/>
    </row>
    <row r="500" spans="1:11" customFormat="1" ht="13.2">
      <c r="A500" s="1394"/>
      <c r="E500" s="7"/>
      <c r="F500" s="7"/>
      <c r="G500" s="7"/>
      <c r="H500" s="7"/>
      <c r="K500" s="1023"/>
    </row>
    <row r="501" spans="1:11" customFormat="1" ht="13.2">
      <c r="A501" s="1394"/>
      <c r="E501" s="7"/>
      <c r="F501" s="7"/>
      <c r="G501" s="7"/>
      <c r="H501" s="7"/>
      <c r="K501" s="1023"/>
    </row>
    <row r="502" spans="1:11" customFormat="1" ht="13.2">
      <c r="A502" s="1394"/>
      <c r="E502" s="7"/>
      <c r="F502" s="7"/>
      <c r="G502" s="7"/>
      <c r="H502" s="7"/>
      <c r="K502" s="1023"/>
    </row>
    <row r="503" spans="1:11" customFormat="1" ht="13.2">
      <c r="A503" s="1394"/>
      <c r="E503" s="7"/>
      <c r="F503" s="7"/>
      <c r="G503" s="7"/>
      <c r="H503" s="7"/>
      <c r="K503" s="1023"/>
    </row>
    <row r="504" spans="1:11" customFormat="1" ht="13.2">
      <c r="A504" s="1394"/>
      <c r="E504" s="7"/>
      <c r="F504" s="7"/>
      <c r="G504" s="7"/>
      <c r="H504" s="7"/>
      <c r="K504" s="1023"/>
    </row>
    <row r="505" spans="1:11" customFormat="1" ht="13.2">
      <c r="A505" s="1394"/>
      <c r="E505" s="7"/>
      <c r="F505" s="7"/>
      <c r="G505" s="7"/>
      <c r="H505" s="7"/>
      <c r="K505" s="1023"/>
    </row>
    <row r="506" spans="1:11" customFormat="1" ht="13.2">
      <c r="A506" s="1394"/>
      <c r="E506" s="7"/>
      <c r="F506" s="7"/>
      <c r="G506" s="7"/>
      <c r="H506" s="7"/>
      <c r="K506" s="1023"/>
    </row>
    <row r="507" spans="1:11" customFormat="1" ht="13.2">
      <c r="A507" s="1394"/>
      <c r="E507" s="7"/>
      <c r="F507" s="7"/>
      <c r="G507" s="7"/>
      <c r="H507" s="7"/>
      <c r="K507" s="1023"/>
    </row>
    <row r="508" spans="1:11" customFormat="1" ht="13.2">
      <c r="A508" s="1394"/>
      <c r="E508" s="7"/>
      <c r="F508" s="7"/>
      <c r="G508" s="7"/>
      <c r="H508" s="7"/>
      <c r="K508" s="1023"/>
    </row>
    <row r="509" spans="1:11" customFormat="1" ht="13.2">
      <c r="A509" s="1394"/>
      <c r="E509" s="7"/>
      <c r="F509" s="7"/>
      <c r="G509" s="7"/>
      <c r="H509" s="7"/>
      <c r="K509" s="1023"/>
    </row>
    <row r="510" spans="1:11" customFormat="1" ht="13.2">
      <c r="A510" s="1394"/>
      <c r="E510" s="7"/>
      <c r="F510" s="7"/>
      <c r="G510" s="7"/>
      <c r="H510" s="7"/>
      <c r="K510" s="1023"/>
    </row>
    <row r="511" spans="1:11" customFormat="1" ht="13.2">
      <c r="A511" s="1394"/>
      <c r="E511" s="7"/>
      <c r="F511" s="7"/>
      <c r="G511" s="7"/>
      <c r="H511" s="7"/>
      <c r="K511" s="1023"/>
    </row>
    <row r="512" spans="1:11" customFormat="1" ht="13.2">
      <c r="A512" s="1394"/>
      <c r="E512" s="7"/>
      <c r="F512" s="7"/>
      <c r="G512" s="7"/>
      <c r="H512" s="7"/>
      <c r="K512" s="1023"/>
    </row>
    <row r="513" spans="1:11" customFormat="1" ht="13.2">
      <c r="A513" s="1394"/>
      <c r="E513" s="7"/>
      <c r="F513" s="7"/>
      <c r="G513" s="7"/>
      <c r="H513" s="7"/>
      <c r="K513" s="1023"/>
    </row>
    <row r="514" spans="1:11" customFormat="1" ht="13.2">
      <c r="A514" s="1394"/>
      <c r="E514" s="7"/>
      <c r="F514" s="7"/>
      <c r="G514" s="7"/>
      <c r="H514" s="7"/>
      <c r="K514" s="1023"/>
    </row>
    <row r="515" spans="1:11" customFormat="1" ht="13.2">
      <c r="A515" s="1394"/>
      <c r="E515" s="7"/>
      <c r="F515" s="7"/>
      <c r="G515" s="7"/>
      <c r="H515" s="7"/>
      <c r="K515" s="1023"/>
    </row>
    <row r="516" spans="1:11" customFormat="1" ht="13.2">
      <c r="A516" s="1394"/>
      <c r="E516" s="7"/>
      <c r="F516" s="7"/>
      <c r="G516" s="7"/>
      <c r="H516" s="7"/>
      <c r="K516" s="1023"/>
    </row>
    <row r="517" spans="1:11" customFormat="1" ht="13.2">
      <c r="A517" s="1394"/>
      <c r="E517" s="7"/>
      <c r="F517" s="7"/>
      <c r="G517" s="7"/>
      <c r="H517" s="7"/>
      <c r="K517" s="1023"/>
    </row>
    <row r="518" spans="1:11" customFormat="1" ht="13.2">
      <c r="A518" s="1394"/>
      <c r="E518" s="7"/>
      <c r="F518" s="7"/>
      <c r="G518" s="7"/>
      <c r="H518" s="7"/>
      <c r="K518" s="1023"/>
    </row>
    <row r="519" spans="1:11" customFormat="1" ht="13.2">
      <c r="A519" s="1394"/>
      <c r="E519" s="7"/>
      <c r="F519" s="7"/>
      <c r="G519" s="7"/>
      <c r="H519" s="7"/>
      <c r="K519" s="1023"/>
    </row>
    <row r="520" spans="1:11" customFormat="1" ht="13.2">
      <c r="A520" s="1394"/>
      <c r="E520" s="7"/>
      <c r="F520" s="7"/>
      <c r="G520" s="7"/>
      <c r="H520" s="7"/>
      <c r="K520" s="1023"/>
    </row>
    <row r="521" spans="1:11" customFormat="1" ht="13.2">
      <c r="A521" s="1394"/>
      <c r="E521" s="7"/>
      <c r="F521" s="7"/>
      <c r="G521" s="7"/>
      <c r="H521" s="7"/>
      <c r="K521" s="1023"/>
    </row>
    <row r="522" spans="1:11" customFormat="1" ht="13.2">
      <c r="A522" s="1394"/>
      <c r="E522" s="7"/>
      <c r="F522" s="7"/>
      <c r="G522" s="7"/>
      <c r="H522" s="7"/>
      <c r="K522" s="1023"/>
    </row>
    <row r="523" spans="1:11" customFormat="1" ht="13.2">
      <c r="A523" s="1394"/>
      <c r="E523" s="7"/>
      <c r="F523" s="7"/>
      <c r="G523" s="7"/>
      <c r="H523" s="7"/>
      <c r="K523" s="1023"/>
    </row>
    <row r="524" spans="1:11" customFormat="1" ht="13.2">
      <c r="A524" s="1394"/>
      <c r="E524" s="7"/>
      <c r="F524" s="7"/>
      <c r="G524" s="7"/>
      <c r="H524" s="7"/>
      <c r="K524" s="1023"/>
    </row>
    <row r="525" spans="1:11" customFormat="1" ht="13.2">
      <c r="A525" s="1394"/>
      <c r="E525" s="7"/>
      <c r="F525" s="7"/>
      <c r="G525" s="7"/>
      <c r="H525" s="7"/>
      <c r="K525" s="1023"/>
    </row>
    <row r="526" spans="1:11" customFormat="1" ht="13.2">
      <c r="A526" s="1394"/>
      <c r="E526" s="7"/>
      <c r="F526" s="7"/>
      <c r="G526" s="7"/>
      <c r="H526" s="7"/>
      <c r="K526" s="1023"/>
    </row>
    <row r="527" spans="1:11" customFormat="1" ht="13.2">
      <c r="A527" s="1394"/>
      <c r="E527" s="7"/>
      <c r="F527" s="7"/>
      <c r="G527" s="7"/>
      <c r="H527" s="7"/>
      <c r="K527" s="1023"/>
    </row>
    <row r="528" spans="1:11" customFormat="1" ht="13.2">
      <c r="A528" s="1394"/>
      <c r="E528" s="7"/>
      <c r="F528" s="7"/>
      <c r="G528" s="7"/>
      <c r="H528" s="7"/>
      <c r="K528" s="1023"/>
    </row>
    <row r="529" spans="1:11" customFormat="1" ht="13.2">
      <c r="A529" s="1394"/>
      <c r="E529" s="7"/>
      <c r="F529" s="7"/>
      <c r="G529" s="7"/>
      <c r="H529" s="7"/>
      <c r="K529" s="1023"/>
    </row>
    <row r="530" spans="1:11" customFormat="1" ht="13.2">
      <c r="A530" s="1394"/>
      <c r="E530" s="7"/>
      <c r="F530" s="7"/>
      <c r="G530" s="7"/>
      <c r="H530" s="7"/>
      <c r="K530" s="1023"/>
    </row>
    <row r="531" spans="1:11" customFormat="1" ht="13.2">
      <c r="A531" s="1394"/>
      <c r="E531" s="7"/>
      <c r="F531" s="7"/>
      <c r="G531" s="7"/>
      <c r="H531" s="7"/>
      <c r="K531" s="1023"/>
    </row>
    <row r="532" spans="1:11" customFormat="1" ht="13.2">
      <c r="A532" s="1394"/>
      <c r="E532" s="7"/>
      <c r="F532" s="7"/>
      <c r="G532" s="7"/>
      <c r="H532" s="7"/>
      <c r="K532" s="1023"/>
    </row>
    <row r="533" spans="1:11" customFormat="1" ht="13.2">
      <c r="A533" s="1394"/>
      <c r="E533" s="7"/>
      <c r="F533" s="7"/>
      <c r="G533" s="7"/>
      <c r="H533" s="7"/>
      <c r="K533" s="1023"/>
    </row>
    <row r="534" spans="1:11" customFormat="1" ht="13.2">
      <c r="A534" s="1394"/>
      <c r="E534" s="7"/>
      <c r="F534" s="7"/>
      <c r="G534" s="7"/>
      <c r="H534" s="7"/>
      <c r="K534" s="1023"/>
    </row>
    <row r="535" spans="1:11" customFormat="1" ht="13.2">
      <c r="A535" s="1394"/>
      <c r="E535" s="7"/>
      <c r="F535" s="7"/>
      <c r="G535" s="7"/>
      <c r="H535" s="7"/>
      <c r="K535" s="1023"/>
    </row>
    <row r="536" spans="1:11" customFormat="1" ht="13.2">
      <c r="A536" s="1394"/>
      <c r="E536" s="7"/>
      <c r="F536" s="7"/>
      <c r="G536" s="7"/>
      <c r="H536" s="7"/>
      <c r="K536" s="1023"/>
    </row>
    <row r="537" spans="1:11" customFormat="1" ht="13.2">
      <c r="A537" s="1394"/>
      <c r="E537" s="7"/>
      <c r="F537" s="7"/>
      <c r="G537" s="7"/>
      <c r="H537" s="7"/>
      <c r="K537" s="1023"/>
    </row>
    <row r="538" spans="1:11" customFormat="1" ht="13.2">
      <c r="A538" s="1394"/>
      <c r="E538" s="7"/>
      <c r="F538" s="7"/>
      <c r="G538" s="7"/>
      <c r="H538" s="7"/>
      <c r="K538" s="1023"/>
    </row>
    <row r="539" spans="1:11" customFormat="1" ht="13.2">
      <c r="A539" s="1394"/>
      <c r="E539" s="7"/>
      <c r="F539" s="7"/>
      <c r="G539" s="7"/>
      <c r="H539" s="7"/>
      <c r="K539" s="1023"/>
    </row>
    <row r="540" spans="1:11" customFormat="1" ht="13.2">
      <c r="A540" s="1394"/>
      <c r="E540" s="7"/>
      <c r="F540" s="7"/>
      <c r="G540" s="7"/>
      <c r="H540" s="7"/>
      <c r="K540" s="1023"/>
    </row>
    <row r="541" spans="1:11" customFormat="1" ht="13.2">
      <c r="A541" s="1394"/>
      <c r="E541" s="7"/>
      <c r="F541" s="7"/>
      <c r="G541" s="7"/>
      <c r="H541" s="7"/>
      <c r="K541" s="1023"/>
    </row>
    <row r="542" spans="1:11" customFormat="1" ht="13.2">
      <c r="A542" s="1394"/>
      <c r="E542" s="7"/>
      <c r="F542" s="7"/>
      <c r="G542" s="7"/>
      <c r="H542" s="7"/>
      <c r="K542" s="1023"/>
    </row>
    <row r="543" spans="1:11" customFormat="1" ht="13.2">
      <c r="A543" s="1394"/>
      <c r="E543" s="7"/>
      <c r="F543" s="7"/>
      <c r="G543" s="7"/>
      <c r="H543" s="7"/>
      <c r="K543" s="1023"/>
    </row>
    <row r="544" spans="1:11" customFormat="1" ht="13.2">
      <c r="A544" s="1394"/>
      <c r="E544" s="7"/>
      <c r="F544" s="7"/>
      <c r="G544" s="7"/>
      <c r="H544" s="7"/>
      <c r="K544" s="1023"/>
    </row>
    <row r="545" spans="1:11" customFormat="1" ht="13.2">
      <c r="A545" s="1394"/>
      <c r="E545" s="7"/>
      <c r="F545" s="7"/>
      <c r="G545" s="7"/>
      <c r="H545" s="7"/>
      <c r="K545" s="1023"/>
    </row>
    <row r="546" spans="1:11" customFormat="1" ht="13.2">
      <c r="A546" s="1394"/>
      <c r="E546" s="7"/>
      <c r="F546" s="7"/>
      <c r="G546" s="7"/>
      <c r="H546" s="7"/>
      <c r="K546" s="1023"/>
    </row>
    <row r="547" spans="1:11" customFormat="1" ht="13.2">
      <c r="A547" s="1394"/>
      <c r="E547" s="7"/>
      <c r="F547" s="7"/>
      <c r="G547" s="7"/>
      <c r="H547" s="7"/>
      <c r="K547" s="1023"/>
    </row>
    <row r="548" spans="1:11" customFormat="1" ht="13.2">
      <c r="A548" s="1394"/>
      <c r="E548" s="7"/>
      <c r="F548" s="7"/>
      <c r="G548" s="7"/>
      <c r="H548" s="7"/>
      <c r="K548" s="1023"/>
    </row>
    <row r="549" spans="1:11" customFormat="1" ht="13.2">
      <c r="A549" s="1394"/>
      <c r="E549" s="7"/>
      <c r="F549" s="7"/>
      <c r="G549" s="7"/>
      <c r="H549" s="7"/>
      <c r="K549" s="1023"/>
    </row>
    <row r="550" spans="1:11" customFormat="1" ht="13.2">
      <c r="A550" s="1394"/>
      <c r="E550" s="7"/>
      <c r="F550" s="7"/>
      <c r="G550" s="7"/>
      <c r="H550" s="7"/>
      <c r="K550" s="1023"/>
    </row>
    <row r="551" spans="1:11" customFormat="1" ht="13.2">
      <c r="A551" s="1394"/>
      <c r="E551" s="7"/>
      <c r="F551" s="7"/>
      <c r="G551" s="7"/>
      <c r="H551" s="7"/>
      <c r="K551" s="1023"/>
    </row>
    <row r="552" spans="1:11" customFormat="1" ht="13.2">
      <c r="A552" s="1394"/>
      <c r="E552" s="7"/>
      <c r="F552" s="7"/>
      <c r="G552" s="7"/>
      <c r="H552" s="7"/>
      <c r="K552" s="1023"/>
    </row>
    <row r="553" spans="1:11" customFormat="1" ht="13.2">
      <c r="A553" s="1394"/>
      <c r="E553" s="7"/>
      <c r="F553" s="7"/>
      <c r="G553" s="7"/>
      <c r="H553" s="7"/>
      <c r="K553" s="1023"/>
    </row>
    <row r="554" spans="1:11" customFormat="1" ht="13.2">
      <c r="A554" s="1394"/>
      <c r="E554" s="7"/>
      <c r="F554" s="7"/>
      <c r="G554" s="7"/>
      <c r="H554" s="7"/>
      <c r="K554" s="1023"/>
    </row>
    <row r="555" spans="1:11" customFormat="1" ht="13.2">
      <c r="A555" s="1394"/>
      <c r="E555" s="7"/>
      <c r="F555" s="7"/>
      <c r="G555" s="7"/>
      <c r="H555" s="7"/>
      <c r="K555" s="1023"/>
    </row>
    <row r="556" spans="1:11" customFormat="1" ht="13.2">
      <c r="A556" s="1394"/>
      <c r="E556" s="7"/>
      <c r="F556" s="7"/>
      <c r="G556" s="7"/>
      <c r="H556" s="7"/>
      <c r="K556" s="1023"/>
    </row>
    <row r="557" spans="1:11" customFormat="1" ht="13.2">
      <c r="A557" s="1394"/>
      <c r="E557" s="7"/>
      <c r="F557" s="7"/>
      <c r="G557" s="7"/>
      <c r="H557" s="7"/>
      <c r="K557" s="1023"/>
    </row>
    <row r="558" spans="1:11" customFormat="1" ht="13.2">
      <c r="A558" s="1394"/>
      <c r="E558" s="7"/>
      <c r="F558" s="7"/>
      <c r="G558" s="7"/>
      <c r="H558" s="7"/>
      <c r="K558" s="1023"/>
    </row>
    <row r="559" spans="1:11" customFormat="1" ht="13.2">
      <c r="A559" s="1394"/>
      <c r="E559" s="7"/>
      <c r="F559" s="7"/>
      <c r="G559" s="7"/>
      <c r="H559" s="7"/>
      <c r="K559" s="1023"/>
    </row>
    <row r="560" spans="1:11" customFormat="1" ht="13.2">
      <c r="A560" s="1394"/>
      <c r="E560" s="7"/>
      <c r="F560" s="7"/>
      <c r="G560" s="7"/>
      <c r="H560" s="7"/>
      <c r="K560" s="1023"/>
    </row>
    <row r="561" spans="1:11" customFormat="1" ht="13.2">
      <c r="A561" s="1394"/>
      <c r="E561" s="7"/>
      <c r="F561" s="7"/>
      <c r="G561" s="7"/>
      <c r="H561" s="7"/>
      <c r="K561" s="1023"/>
    </row>
    <row r="562" spans="1:11" customFormat="1" ht="13.2">
      <c r="A562" s="1394"/>
      <c r="E562" s="7"/>
      <c r="F562" s="7"/>
      <c r="G562" s="7"/>
      <c r="H562" s="7"/>
      <c r="K562" s="1023"/>
    </row>
    <row r="563" spans="1:11" customFormat="1" ht="13.2">
      <c r="A563" s="1394"/>
      <c r="E563" s="7"/>
      <c r="F563" s="7"/>
      <c r="G563" s="7"/>
      <c r="H563" s="7"/>
      <c r="K563" s="1023"/>
    </row>
    <row r="564" spans="1:11" customFormat="1" ht="13.2">
      <c r="A564" s="1394"/>
      <c r="E564" s="7"/>
      <c r="F564" s="7"/>
      <c r="G564" s="7"/>
      <c r="H564" s="7"/>
      <c r="K564" s="1023"/>
    </row>
    <row r="565" spans="1:11" customFormat="1" ht="13.2">
      <c r="A565" s="1394"/>
      <c r="E565" s="7"/>
      <c r="F565" s="7"/>
      <c r="G565" s="7"/>
      <c r="H565" s="7"/>
      <c r="K565" s="1023"/>
    </row>
    <row r="566" spans="1:11" customFormat="1" ht="13.2">
      <c r="A566" s="1394"/>
      <c r="E566" s="7"/>
      <c r="F566" s="7"/>
      <c r="G566" s="7"/>
      <c r="H566" s="7"/>
      <c r="K566" s="1023"/>
    </row>
    <row r="567" spans="1:11" customFormat="1" ht="13.2">
      <c r="A567" s="1394"/>
      <c r="E567" s="7"/>
      <c r="F567" s="7"/>
      <c r="G567" s="7"/>
      <c r="H567" s="7"/>
      <c r="K567" s="1023"/>
    </row>
    <row r="568" spans="1:11" customFormat="1" ht="13.2">
      <c r="A568" s="1394"/>
      <c r="E568" s="7"/>
      <c r="F568" s="7"/>
      <c r="G568" s="7"/>
      <c r="H568" s="7"/>
      <c r="K568" s="1023"/>
    </row>
    <row r="569" spans="1:11" customFormat="1" ht="13.2">
      <c r="A569" s="1394"/>
      <c r="E569" s="7"/>
      <c r="F569" s="7"/>
      <c r="G569" s="7"/>
      <c r="H569" s="7"/>
      <c r="K569" s="1023"/>
    </row>
    <row r="570" spans="1:11" customFormat="1" ht="13.2">
      <c r="A570" s="1394"/>
      <c r="E570" s="7"/>
      <c r="F570" s="7"/>
      <c r="G570" s="7"/>
      <c r="H570" s="7"/>
      <c r="K570" s="1023"/>
    </row>
    <row r="571" spans="1:11" customFormat="1" ht="13.2">
      <c r="A571" s="1394"/>
      <c r="E571" s="7"/>
      <c r="F571" s="7"/>
      <c r="G571" s="7"/>
      <c r="H571" s="7"/>
      <c r="K571" s="1023"/>
    </row>
    <row r="572" spans="1:11" customFormat="1" ht="13.2">
      <c r="A572" s="1394"/>
      <c r="E572" s="7"/>
      <c r="F572" s="7"/>
      <c r="G572" s="7"/>
      <c r="H572" s="7"/>
      <c r="K572" s="1023"/>
    </row>
    <row r="573" spans="1:11" customFormat="1" ht="13.2">
      <c r="A573" s="1394"/>
      <c r="E573" s="7"/>
      <c r="F573" s="7"/>
      <c r="G573" s="7"/>
      <c r="H573" s="7"/>
      <c r="K573" s="1023"/>
    </row>
    <row r="574" spans="1:11" customFormat="1" ht="13.2">
      <c r="A574" s="1394"/>
      <c r="E574" s="7"/>
      <c r="F574" s="7"/>
      <c r="G574" s="7"/>
      <c r="H574" s="7"/>
      <c r="K574" s="1023"/>
    </row>
    <row r="575" spans="1:11" customFormat="1" ht="13.2">
      <c r="A575" s="1394"/>
      <c r="E575" s="7"/>
      <c r="F575" s="7"/>
      <c r="G575" s="7"/>
      <c r="H575" s="7"/>
      <c r="K575" s="1023"/>
    </row>
    <row r="576" spans="1:11" customFormat="1" ht="13.2">
      <c r="A576" s="1394"/>
      <c r="E576" s="7"/>
      <c r="F576" s="7"/>
      <c r="G576" s="7"/>
      <c r="H576" s="7"/>
      <c r="K576" s="1023"/>
    </row>
    <row r="577" spans="1:11" customFormat="1" ht="13.2">
      <c r="A577" s="1394"/>
      <c r="E577" s="7"/>
      <c r="F577" s="7"/>
      <c r="G577" s="7"/>
      <c r="H577" s="7"/>
      <c r="K577" s="1023"/>
    </row>
    <row r="578" spans="1:11" customFormat="1" ht="13.2">
      <c r="A578" s="1394"/>
      <c r="E578" s="7"/>
      <c r="F578" s="7"/>
      <c r="G578" s="7"/>
      <c r="H578" s="7"/>
      <c r="K578" s="1023"/>
    </row>
    <row r="579" spans="1:11" customFormat="1" ht="13.2">
      <c r="A579" s="1394"/>
      <c r="E579" s="7"/>
      <c r="F579" s="7"/>
      <c r="G579" s="7"/>
      <c r="H579" s="7"/>
      <c r="K579" s="1023"/>
    </row>
    <row r="580" spans="1:11" customFormat="1" ht="13.2">
      <c r="A580" s="1394"/>
      <c r="E580" s="7"/>
      <c r="F580" s="7"/>
      <c r="G580" s="7"/>
      <c r="H580" s="7"/>
      <c r="K580" s="1023"/>
    </row>
    <row r="581" spans="1:11" customFormat="1" ht="13.2">
      <c r="A581" s="1394"/>
      <c r="E581" s="7"/>
      <c r="F581" s="7"/>
      <c r="G581" s="7"/>
      <c r="H581" s="7"/>
      <c r="K581" s="1023"/>
    </row>
    <row r="582" spans="1:11" customFormat="1" ht="13.2">
      <c r="A582" s="1394"/>
      <c r="E582" s="7"/>
      <c r="F582" s="7"/>
      <c r="G582" s="7"/>
      <c r="H582" s="7"/>
      <c r="K582" s="1023"/>
    </row>
    <row r="583" spans="1:11" customFormat="1" ht="13.2">
      <c r="A583" s="1394"/>
      <c r="E583" s="7"/>
      <c r="F583" s="7"/>
      <c r="G583" s="7"/>
      <c r="H583" s="7"/>
      <c r="K583" s="1023"/>
    </row>
    <row r="584" spans="1:11" customFormat="1" ht="13.2">
      <c r="A584" s="1394"/>
      <c r="E584" s="7"/>
      <c r="F584" s="7"/>
      <c r="G584" s="7"/>
      <c r="H584" s="7"/>
      <c r="K584" s="1023"/>
    </row>
    <row r="585" spans="1:11" customFormat="1" ht="13.2">
      <c r="A585" s="1394"/>
      <c r="E585" s="7"/>
      <c r="F585" s="7"/>
      <c r="G585" s="7"/>
      <c r="H585" s="7"/>
      <c r="K585" s="1023"/>
    </row>
    <row r="586" spans="1:11" customFormat="1" ht="13.2">
      <c r="A586" s="1394"/>
      <c r="E586" s="7"/>
      <c r="F586" s="7"/>
      <c r="G586" s="7"/>
      <c r="H586" s="7"/>
      <c r="K586" s="1023"/>
    </row>
    <row r="587" spans="1:11" customFormat="1" ht="13.2">
      <c r="A587" s="1394"/>
      <c r="E587" s="7"/>
      <c r="F587" s="7"/>
      <c r="G587" s="7"/>
      <c r="H587" s="7"/>
      <c r="K587" s="1023"/>
    </row>
    <row r="588" spans="1:11" customFormat="1" ht="13.2">
      <c r="A588" s="1394"/>
      <c r="E588" s="7"/>
      <c r="F588" s="7"/>
      <c r="G588" s="7"/>
      <c r="H588" s="7"/>
      <c r="K588" s="1023"/>
    </row>
    <row r="589" spans="1:11" customFormat="1" ht="13.2">
      <c r="A589" s="1394"/>
      <c r="E589" s="7"/>
      <c r="F589" s="7"/>
      <c r="G589" s="7"/>
      <c r="H589" s="7"/>
      <c r="K589" s="1023"/>
    </row>
    <row r="590" spans="1:11" customFormat="1" ht="13.2">
      <c r="A590" s="1394"/>
      <c r="E590" s="7"/>
      <c r="F590" s="7"/>
      <c r="G590" s="7"/>
      <c r="H590" s="7"/>
      <c r="K590" s="1023"/>
    </row>
    <row r="591" spans="1:11" customFormat="1" ht="13.2">
      <c r="A591" s="1394"/>
      <c r="E591" s="7"/>
      <c r="F591" s="7"/>
      <c r="G591" s="7"/>
      <c r="H591" s="7"/>
      <c r="K591" s="1023"/>
    </row>
    <row r="592" spans="1:11" customFormat="1" ht="13.2">
      <c r="A592" s="1394"/>
      <c r="E592" s="7"/>
      <c r="F592" s="7"/>
      <c r="G592" s="7"/>
      <c r="H592" s="7"/>
      <c r="K592" s="1023"/>
    </row>
    <row r="593" spans="1:11" customFormat="1" ht="13.2">
      <c r="A593" s="1394"/>
      <c r="E593" s="7"/>
      <c r="F593" s="7"/>
      <c r="G593" s="7"/>
      <c r="H593" s="7"/>
      <c r="K593" s="1023"/>
    </row>
    <row r="594" spans="1:11" customFormat="1" ht="13.2">
      <c r="A594" s="1394"/>
      <c r="E594" s="7"/>
      <c r="F594" s="7"/>
      <c r="G594" s="7"/>
      <c r="H594" s="7"/>
      <c r="K594" s="1023"/>
    </row>
    <row r="595" spans="1:11" customFormat="1" ht="13.2">
      <c r="A595" s="1394"/>
      <c r="E595" s="7"/>
      <c r="F595" s="7"/>
      <c r="G595" s="7"/>
      <c r="H595" s="7"/>
      <c r="K595" s="1023"/>
    </row>
    <row r="596" spans="1:11" customFormat="1" ht="13.2">
      <c r="A596" s="1394"/>
      <c r="E596" s="7"/>
      <c r="F596" s="7"/>
      <c r="G596" s="7"/>
      <c r="H596" s="7"/>
      <c r="K596" s="1023"/>
    </row>
    <row r="597" spans="1:11" customFormat="1" ht="13.2">
      <c r="A597" s="1394"/>
      <c r="E597" s="7"/>
      <c r="F597" s="7"/>
      <c r="G597" s="7"/>
      <c r="H597" s="7"/>
      <c r="K597" s="1023"/>
    </row>
    <row r="598" spans="1:11" customFormat="1" ht="13.2">
      <c r="A598" s="1394"/>
      <c r="E598" s="7"/>
      <c r="F598" s="7"/>
      <c r="G598" s="7"/>
      <c r="H598" s="7"/>
      <c r="K598" s="1023"/>
    </row>
    <row r="599" spans="1:11" customFormat="1" ht="13.2">
      <c r="A599" s="1394"/>
      <c r="E599" s="7"/>
      <c r="F599" s="7"/>
      <c r="G599" s="7"/>
      <c r="H599" s="7"/>
      <c r="K599" s="1023"/>
    </row>
    <row r="600" spans="1:11" customFormat="1" ht="13.2">
      <c r="A600" s="1394"/>
      <c r="E600" s="7"/>
      <c r="F600" s="7"/>
      <c r="G600" s="7"/>
      <c r="H600" s="7"/>
      <c r="K600" s="1023"/>
    </row>
    <row r="601" spans="1:11" customFormat="1" ht="13.2">
      <c r="A601" s="1394"/>
      <c r="E601" s="7"/>
      <c r="F601" s="7"/>
      <c r="G601" s="7"/>
      <c r="H601" s="7"/>
      <c r="K601" s="1023"/>
    </row>
    <row r="602" spans="1:11" customFormat="1" ht="13.2">
      <c r="A602" s="1394"/>
      <c r="E602" s="7"/>
      <c r="F602" s="7"/>
      <c r="G602" s="7"/>
      <c r="H602" s="7"/>
      <c r="K602" s="1023"/>
    </row>
    <row r="603" spans="1:11" customFormat="1" ht="13.2">
      <c r="A603" s="1394"/>
      <c r="E603" s="7"/>
      <c r="F603" s="7"/>
      <c r="G603" s="7"/>
      <c r="H603" s="7"/>
      <c r="K603" s="1023"/>
    </row>
    <row r="604" spans="1:11" customFormat="1" ht="13.2">
      <c r="A604" s="1394"/>
      <c r="E604" s="7"/>
      <c r="F604" s="7"/>
      <c r="G604" s="7"/>
      <c r="H604" s="7"/>
      <c r="K604" s="1023"/>
    </row>
    <row r="605" spans="1:11" customFormat="1" ht="13.2">
      <c r="A605" s="1394"/>
      <c r="E605" s="7"/>
      <c r="F605" s="7"/>
      <c r="G605" s="7"/>
      <c r="H605" s="7"/>
      <c r="K605" s="1023"/>
    </row>
    <row r="606" spans="1:11" customFormat="1" ht="13.2">
      <c r="A606" s="1394"/>
      <c r="E606" s="7"/>
      <c r="F606" s="7"/>
      <c r="G606" s="7"/>
      <c r="H606" s="7"/>
      <c r="K606" s="1023"/>
    </row>
    <row r="607" spans="1:11" customFormat="1" ht="13.2">
      <c r="A607" s="1394"/>
      <c r="E607" s="7"/>
      <c r="F607" s="7"/>
      <c r="G607" s="7"/>
      <c r="H607" s="7"/>
      <c r="K607" s="1023"/>
    </row>
    <row r="608" spans="1:11" customFormat="1" ht="13.2">
      <c r="A608" s="1394"/>
      <c r="E608" s="7"/>
      <c r="F608" s="7"/>
      <c r="G608" s="7"/>
      <c r="H608" s="7"/>
      <c r="K608" s="1023"/>
    </row>
    <row r="609" spans="1:11" customFormat="1" ht="13.2">
      <c r="A609" s="1394"/>
      <c r="E609" s="7"/>
      <c r="F609" s="7"/>
      <c r="G609" s="7"/>
      <c r="H609" s="7"/>
      <c r="K609" s="1023"/>
    </row>
    <row r="610" spans="1:11" customFormat="1" ht="13.2">
      <c r="A610" s="1394"/>
      <c r="E610" s="7"/>
      <c r="F610" s="7"/>
      <c r="G610" s="7"/>
      <c r="H610" s="7"/>
      <c r="K610" s="1023"/>
    </row>
    <row r="611" spans="1:11" customFormat="1" ht="13.2">
      <c r="A611" s="1394"/>
      <c r="E611" s="7"/>
      <c r="F611" s="7"/>
      <c r="G611" s="7"/>
      <c r="H611" s="7"/>
      <c r="K611" s="1023"/>
    </row>
    <row r="612" spans="1:11" customFormat="1" ht="13.2">
      <c r="A612" s="1394"/>
      <c r="E612" s="7"/>
      <c r="F612" s="7"/>
      <c r="G612" s="7"/>
      <c r="H612" s="7"/>
      <c r="K612" s="1023"/>
    </row>
    <row r="613" spans="1:11" customFormat="1" ht="13.2">
      <c r="A613" s="1394"/>
      <c r="E613" s="7"/>
      <c r="F613" s="7"/>
      <c r="G613" s="7"/>
      <c r="H613" s="7"/>
      <c r="K613" s="1023"/>
    </row>
    <row r="614" spans="1:11" customFormat="1" ht="13.2">
      <c r="A614" s="1394"/>
      <c r="E614" s="7"/>
      <c r="F614" s="7"/>
      <c r="G614" s="7"/>
      <c r="H614" s="7"/>
      <c r="K614" s="1023"/>
    </row>
    <row r="615" spans="1:11" customFormat="1" ht="13.2">
      <c r="A615" s="1394"/>
      <c r="E615" s="7"/>
      <c r="F615" s="7"/>
      <c r="G615" s="7"/>
      <c r="H615" s="7"/>
      <c r="K615" s="1023"/>
    </row>
    <row r="616" spans="1:11" customFormat="1" ht="13.2">
      <c r="A616" s="1394"/>
      <c r="E616" s="7"/>
      <c r="F616" s="7"/>
      <c r="G616" s="7"/>
      <c r="H616" s="7"/>
      <c r="K616" s="1023"/>
    </row>
    <row r="617" spans="1:11" customFormat="1" ht="13.2">
      <c r="A617" s="1394"/>
      <c r="E617" s="7"/>
      <c r="F617" s="7"/>
      <c r="G617" s="7"/>
      <c r="H617" s="7"/>
      <c r="K617" s="1023"/>
    </row>
    <row r="618" spans="1:11" customFormat="1" ht="13.2">
      <c r="A618" s="1394"/>
      <c r="E618" s="7"/>
      <c r="F618" s="7"/>
      <c r="G618" s="7"/>
      <c r="H618" s="7"/>
      <c r="K618" s="1023"/>
    </row>
    <row r="619" spans="1:11" customFormat="1" ht="13.2">
      <c r="A619" s="1394"/>
      <c r="E619" s="7"/>
      <c r="F619" s="7"/>
      <c r="G619" s="7"/>
      <c r="H619" s="7"/>
      <c r="K619" s="1023"/>
    </row>
    <row r="620" spans="1:11" customFormat="1" ht="13.2">
      <c r="A620" s="1394"/>
      <c r="E620" s="7"/>
      <c r="F620" s="7"/>
      <c r="G620" s="7"/>
      <c r="H620" s="7"/>
      <c r="K620" s="1023"/>
    </row>
    <row r="621" spans="1:11" customFormat="1" ht="13.2">
      <c r="A621" s="1394"/>
      <c r="E621" s="7"/>
      <c r="F621" s="7"/>
      <c r="G621" s="7"/>
      <c r="H621" s="7"/>
      <c r="K621" s="1023"/>
    </row>
    <row r="622" spans="1:11" customFormat="1" ht="13.2">
      <c r="A622" s="1394"/>
      <c r="E622" s="7"/>
      <c r="F622" s="7"/>
      <c r="G622" s="7"/>
      <c r="H622" s="7"/>
      <c r="K622" s="1023"/>
    </row>
    <row r="623" spans="1:11" customFormat="1" ht="13.2">
      <c r="A623" s="1394"/>
      <c r="E623" s="7"/>
      <c r="F623" s="7"/>
      <c r="G623" s="7"/>
      <c r="H623" s="7"/>
      <c r="K623" s="1023"/>
    </row>
    <row r="624" spans="1:11" customFormat="1" ht="13.2">
      <c r="A624" s="1394"/>
      <c r="E624" s="7"/>
      <c r="F624" s="7"/>
      <c r="G624" s="7"/>
      <c r="H624" s="7"/>
      <c r="K624" s="1023"/>
    </row>
    <row r="625" spans="1:11" customFormat="1" ht="13.2">
      <c r="A625" s="1394"/>
      <c r="E625" s="7"/>
      <c r="F625" s="7"/>
      <c r="G625" s="7"/>
      <c r="H625" s="7"/>
      <c r="K625" s="1023"/>
    </row>
    <row r="626" spans="1:11" customFormat="1" ht="13.2">
      <c r="A626" s="1394"/>
      <c r="E626" s="7"/>
      <c r="F626" s="7"/>
      <c r="G626" s="7"/>
      <c r="H626" s="7"/>
      <c r="K626" s="1023"/>
    </row>
    <row r="627" spans="1:11" customFormat="1" ht="13.2">
      <c r="A627" s="1394"/>
      <c r="E627" s="7"/>
      <c r="F627" s="7"/>
      <c r="G627" s="7"/>
      <c r="H627" s="7"/>
      <c r="K627" s="1023"/>
    </row>
    <row r="628" spans="1:11" customFormat="1" ht="13.2">
      <c r="A628" s="1394"/>
      <c r="E628" s="7"/>
      <c r="F628" s="7"/>
      <c r="G628" s="7"/>
      <c r="H628" s="7"/>
      <c r="K628" s="1023"/>
    </row>
    <row r="629" spans="1:11" customFormat="1" ht="13.2">
      <c r="A629" s="1394"/>
      <c r="E629" s="7"/>
      <c r="F629" s="7"/>
      <c r="G629" s="7"/>
      <c r="H629" s="7"/>
      <c r="K629" s="1023"/>
    </row>
    <row r="630" spans="1:11" customFormat="1" ht="13.2">
      <c r="A630" s="1394"/>
      <c r="E630" s="7"/>
      <c r="F630" s="7"/>
      <c r="G630" s="7"/>
      <c r="H630" s="7"/>
      <c r="K630" s="1023"/>
    </row>
    <row r="631" spans="1:11" customFormat="1" ht="13.2">
      <c r="A631" s="1394"/>
      <c r="E631" s="7"/>
      <c r="F631" s="7"/>
      <c r="G631" s="7"/>
      <c r="H631" s="7"/>
      <c r="K631" s="1023"/>
    </row>
    <row r="632" spans="1:11" customFormat="1" ht="13.2">
      <c r="A632" s="1394"/>
      <c r="E632" s="7"/>
      <c r="F632" s="7"/>
      <c r="G632" s="7"/>
      <c r="H632" s="7"/>
      <c r="K632" s="1023"/>
    </row>
    <row r="633" spans="1:11" customFormat="1" ht="13.2">
      <c r="A633" s="1394"/>
      <c r="E633" s="7"/>
      <c r="F633" s="7"/>
      <c r="G633" s="7"/>
      <c r="H633" s="7"/>
      <c r="K633" s="1023"/>
    </row>
    <row r="634" spans="1:11" customFormat="1" ht="13.2">
      <c r="A634" s="1394"/>
      <c r="E634" s="7"/>
      <c r="F634" s="7"/>
      <c r="G634" s="7"/>
      <c r="H634" s="7"/>
      <c r="K634" s="1023"/>
    </row>
    <row r="635" spans="1:11" customFormat="1" ht="13.2">
      <c r="A635" s="1394"/>
      <c r="E635" s="7"/>
      <c r="F635" s="7"/>
      <c r="G635" s="7"/>
      <c r="H635" s="7"/>
      <c r="K635" s="1023"/>
    </row>
    <row r="636" spans="1:11" customFormat="1" ht="13.2">
      <c r="A636" s="1394"/>
      <c r="E636" s="7"/>
      <c r="F636" s="7"/>
      <c r="G636" s="7"/>
      <c r="H636" s="7"/>
      <c r="K636" s="1023"/>
    </row>
    <row r="637" spans="1:11" customFormat="1" ht="13.2">
      <c r="A637" s="1394"/>
      <c r="E637" s="7"/>
      <c r="F637" s="7"/>
      <c r="G637" s="7"/>
      <c r="H637" s="7"/>
      <c r="K637" s="1023"/>
    </row>
    <row r="638" spans="1:11" customFormat="1" ht="13.2">
      <c r="A638" s="1394"/>
      <c r="E638" s="7"/>
      <c r="F638" s="7"/>
      <c r="G638" s="7"/>
      <c r="H638" s="7"/>
      <c r="K638" s="1023"/>
    </row>
    <row r="639" spans="1:11" customFormat="1" ht="13.2">
      <c r="A639" s="1394"/>
      <c r="E639" s="7"/>
      <c r="F639" s="7"/>
      <c r="G639" s="7"/>
      <c r="H639" s="7"/>
      <c r="K639" s="1023"/>
    </row>
    <row r="640" spans="1:11" customFormat="1" ht="13.2">
      <c r="A640" s="1394"/>
      <c r="E640" s="7"/>
      <c r="F640" s="7"/>
      <c r="G640" s="7"/>
      <c r="H640" s="7"/>
      <c r="K640" s="1023"/>
    </row>
    <row r="641" spans="1:11" customFormat="1" ht="13.2">
      <c r="A641" s="1394"/>
      <c r="E641" s="7"/>
      <c r="F641" s="7"/>
      <c r="G641" s="7"/>
      <c r="H641" s="7"/>
      <c r="K641" s="1023"/>
    </row>
    <row r="642" spans="1:11" customFormat="1" ht="13.2">
      <c r="A642" s="1394"/>
      <c r="E642" s="7"/>
      <c r="F642" s="7"/>
      <c r="G642" s="7"/>
      <c r="H642" s="7"/>
      <c r="K642" s="1023"/>
    </row>
    <row r="643" spans="1:11" customFormat="1" ht="13.2">
      <c r="A643" s="1394"/>
      <c r="E643" s="7"/>
      <c r="F643" s="7"/>
      <c r="G643" s="7"/>
      <c r="H643" s="7"/>
      <c r="K643" s="1023"/>
    </row>
    <row r="644" spans="1:11" customFormat="1" ht="13.2">
      <c r="A644" s="1394"/>
      <c r="E644" s="7"/>
      <c r="F644" s="7"/>
      <c r="G644" s="7"/>
      <c r="H644" s="7"/>
      <c r="K644" s="1023"/>
    </row>
    <row r="645" spans="1:11" customFormat="1" ht="13.2">
      <c r="A645" s="1394"/>
      <c r="E645" s="7"/>
      <c r="F645" s="7"/>
      <c r="G645" s="7"/>
      <c r="H645" s="7"/>
      <c r="K645" s="1023"/>
    </row>
    <row r="646" spans="1:11" customFormat="1" ht="13.2">
      <c r="A646" s="1394"/>
      <c r="E646" s="7"/>
      <c r="F646" s="7"/>
      <c r="G646" s="7"/>
      <c r="H646" s="7"/>
      <c r="K646" s="1023"/>
    </row>
    <row r="647" spans="1:11" customFormat="1" ht="13.2">
      <c r="A647" s="1394"/>
      <c r="E647" s="7"/>
      <c r="F647" s="7"/>
      <c r="G647" s="7"/>
      <c r="H647" s="7"/>
      <c r="K647" s="1023"/>
    </row>
    <row r="648" spans="1:11" customFormat="1" ht="13.2">
      <c r="A648" s="1394"/>
      <c r="E648" s="7"/>
      <c r="F648" s="7"/>
      <c r="G648" s="7"/>
      <c r="H648" s="7"/>
      <c r="K648" s="1023"/>
    </row>
    <row r="649" spans="1:11" customFormat="1" ht="13.2">
      <c r="A649" s="1394"/>
      <c r="E649" s="7"/>
      <c r="F649" s="7"/>
      <c r="G649" s="7"/>
      <c r="H649" s="7"/>
      <c r="K649" s="1023"/>
    </row>
    <row r="650" spans="1:11" customFormat="1" ht="13.2">
      <c r="A650" s="1394"/>
      <c r="E650" s="7"/>
      <c r="F650" s="7"/>
      <c r="G650" s="7"/>
      <c r="H650" s="7"/>
      <c r="K650" s="1023"/>
    </row>
    <row r="651" spans="1:11" customFormat="1" ht="13.2">
      <c r="A651" s="1394"/>
      <c r="E651" s="7"/>
      <c r="F651" s="7"/>
      <c r="G651" s="7"/>
      <c r="H651" s="7"/>
      <c r="K651" s="1023"/>
    </row>
    <row r="652" spans="1:11" customFormat="1" ht="13.2">
      <c r="A652" s="1394"/>
      <c r="E652" s="7"/>
      <c r="F652" s="7"/>
      <c r="G652" s="7"/>
      <c r="H652" s="7"/>
      <c r="K652" s="1023"/>
    </row>
    <row r="653" spans="1:11" customFormat="1" ht="13.2">
      <c r="A653" s="1394"/>
      <c r="E653" s="7"/>
      <c r="F653" s="7"/>
      <c r="G653" s="7"/>
      <c r="H653" s="7"/>
      <c r="K653" s="1023"/>
    </row>
    <row r="654" spans="1:11" customFormat="1" ht="13.2">
      <c r="A654" s="1394"/>
      <c r="E654" s="7"/>
      <c r="F654" s="7"/>
      <c r="G654" s="7"/>
      <c r="H654" s="7"/>
      <c r="K654" s="1023"/>
    </row>
    <row r="655" spans="1:11" customFormat="1" ht="13.2">
      <c r="A655" s="1394"/>
      <c r="E655" s="7"/>
      <c r="F655" s="7"/>
      <c r="G655" s="7"/>
      <c r="H655" s="7"/>
      <c r="K655" s="1023"/>
    </row>
    <row r="656" spans="1:11" customFormat="1" ht="13.2">
      <c r="A656" s="1394"/>
      <c r="E656" s="7"/>
      <c r="F656" s="7"/>
      <c r="G656" s="7"/>
      <c r="H656" s="7"/>
      <c r="K656" s="1023"/>
    </row>
    <row r="657" spans="1:11" customFormat="1" ht="13.2">
      <c r="A657" s="1394"/>
      <c r="E657" s="7"/>
      <c r="F657" s="7"/>
      <c r="G657" s="7"/>
      <c r="H657" s="7"/>
      <c r="K657" s="1023"/>
    </row>
    <row r="658" spans="1:11" customFormat="1" ht="13.2">
      <c r="A658" s="1394"/>
      <c r="E658" s="7"/>
      <c r="F658" s="7"/>
      <c r="G658" s="7"/>
      <c r="H658" s="7"/>
      <c r="K658" s="1023"/>
    </row>
    <row r="659" spans="1:11" customFormat="1" ht="13.2">
      <c r="A659" s="1394"/>
      <c r="E659" s="7"/>
      <c r="F659" s="7"/>
      <c r="G659" s="7"/>
      <c r="H659" s="7"/>
      <c r="K659" s="1023"/>
    </row>
    <row r="660" spans="1:11" customFormat="1" ht="13.2">
      <c r="A660" s="1394"/>
      <c r="E660" s="7"/>
      <c r="F660" s="7"/>
      <c r="G660" s="7"/>
      <c r="H660" s="7"/>
      <c r="K660" s="1023"/>
    </row>
    <row r="661" spans="1:11" customFormat="1" ht="13.2">
      <c r="A661" s="1394"/>
      <c r="E661" s="7"/>
      <c r="F661" s="7"/>
      <c r="G661" s="7"/>
      <c r="H661" s="7"/>
      <c r="K661" s="1023"/>
    </row>
    <row r="662" spans="1:11" customFormat="1" ht="13.2">
      <c r="A662" s="1394"/>
      <c r="E662" s="7"/>
      <c r="F662" s="7"/>
      <c r="G662" s="7"/>
      <c r="H662" s="7"/>
      <c r="K662" s="1023"/>
    </row>
    <row r="663" spans="1:11" customFormat="1" ht="13.2">
      <c r="A663" s="1394"/>
      <c r="E663" s="7"/>
      <c r="F663" s="7"/>
      <c r="G663" s="7"/>
      <c r="H663" s="7"/>
      <c r="K663" s="1023"/>
    </row>
    <row r="664" spans="1:11" customFormat="1" ht="13.2">
      <c r="A664" s="1394"/>
      <c r="E664" s="7"/>
      <c r="F664" s="7"/>
      <c r="G664" s="7"/>
      <c r="H664" s="7"/>
      <c r="K664" s="1023"/>
    </row>
    <row r="665" spans="1:11" customFormat="1" ht="13.2">
      <c r="A665" s="1394"/>
      <c r="E665" s="7"/>
      <c r="F665" s="7"/>
      <c r="G665" s="7"/>
      <c r="H665" s="7"/>
      <c r="K665" s="1023"/>
    </row>
    <row r="666" spans="1:11" customFormat="1" ht="13.2">
      <c r="A666" s="1394"/>
      <c r="E666" s="7"/>
      <c r="F666" s="7"/>
      <c r="G666" s="7"/>
      <c r="H666" s="7"/>
      <c r="K666" s="1023"/>
    </row>
    <row r="667" spans="1:11" customFormat="1" ht="13.2">
      <c r="A667" s="1394"/>
      <c r="E667" s="7"/>
      <c r="F667" s="7"/>
      <c r="G667" s="7"/>
      <c r="H667" s="7"/>
      <c r="K667" s="1023"/>
    </row>
    <row r="668" spans="1:11" customFormat="1" ht="13.2">
      <c r="A668" s="1394"/>
      <c r="E668" s="7"/>
      <c r="F668" s="7"/>
      <c r="G668" s="7"/>
      <c r="H668" s="7"/>
      <c r="K668" s="1023"/>
    </row>
    <row r="669" spans="1:11" customFormat="1" ht="13.2">
      <c r="A669" s="1394"/>
      <c r="E669" s="7"/>
      <c r="F669" s="7"/>
      <c r="G669" s="7"/>
      <c r="H669" s="7"/>
      <c r="K669" s="1023"/>
    </row>
    <row r="670" spans="1:11" customFormat="1" ht="13.2">
      <c r="A670" s="1394"/>
      <c r="E670" s="7"/>
      <c r="F670" s="7"/>
      <c r="G670" s="7"/>
      <c r="H670" s="7"/>
      <c r="K670" s="1023"/>
    </row>
    <row r="671" spans="1:11" customFormat="1" ht="13.2">
      <c r="A671" s="1394"/>
      <c r="E671" s="7"/>
      <c r="F671" s="7"/>
      <c r="G671" s="7"/>
      <c r="H671" s="7"/>
      <c r="K671" s="1023"/>
    </row>
    <row r="672" spans="1:11" customFormat="1" ht="13.2">
      <c r="A672" s="1394"/>
      <c r="E672" s="7"/>
      <c r="F672" s="7"/>
      <c r="G672" s="7"/>
      <c r="H672" s="7"/>
      <c r="K672" s="1023"/>
    </row>
    <row r="673" spans="1:11" customFormat="1" ht="13.2">
      <c r="A673" s="1394"/>
      <c r="E673" s="7"/>
      <c r="F673" s="7"/>
      <c r="G673" s="7"/>
      <c r="H673" s="7"/>
      <c r="K673" s="1023"/>
    </row>
    <row r="674" spans="1:11" customFormat="1" ht="13.2">
      <c r="A674" s="1394"/>
      <c r="E674" s="7"/>
      <c r="F674" s="7"/>
      <c r="G674" s="7"/>
      <c r="H674" s="7"/>
      <c r="K674" s="1023"/>
    </row>
    <row r="675" spans="1:11" customFormat="1" ht="13.2">
      <c r="A675" s="1394"/>
      <c r="E675" s="7"/>
      <c r="F675" s="7"/>
      <c r="G675" s="7"/>
      <c r="H675" s="7"/>
      <c r="K675" s="1023"/>
    </row>
    <row r="676" spans="1:11" customFormat="1" ht="13.2">
      <c r="A676" s="1394"/>
      <c r="E676" s="7"/>
      <c r="F676" s="7"/>
      <c r="G676" s="7"/>
      <c r="H676" s="7"/>
      <c r="K676" s="1023"/>
    </row>
    <row r="677" spans="1:11" customFormat="1" ht="13.2">
      <c r="A677" s="1394"/>
      <c r="E677" s="7"/>
      <c r="F677" s="7"/>
      <c r="G677" s="7"/>
      <c r="H677" s="7"/>
      <c r="K677" s="1023"/>
    </row>
    <row r="678" spans="1:11" customFormat="1" ht="13.2">
      <c r="A678" s="1394"/>
      <c r="E678" s="7"/>
      <c r="F678" s="7"/>
      <c r="G678" s="7"/>
      <c r="H678" s="7"/>
      <c r="K678" s="1023"/>
    </row>
    <row r="679" spans="1:11" customFormat="1" ht="13.2">
      <c r="A679" s="1394"/>
      <c r="E679" s="7"/>
      <c r="F679" s="7"/>
      <c r="G679" s="7"/>
      <c r="H679" s="7"/>
      <c r="K679" s="1023"/>
    </row>
    <row r="680" spans="1:11" customFormat="1" ht="13.2">
      <c r="A680" s="1394"/>
      <c r="E680" s="7"/>
      <c r="F680" s="7"/>
      <c r="G680" s="7"/>
      <c r="H680" s="7"/>
      <c r="K680" s="1023"/>
    </row>
    <row r="681" spans="1:11" customFormat="1" ht="13.2">
      <c r="A681" s="1394"/>
      <c r="E681" s="7"/>
      <c r="F681" s="7"/>
      <c r="G681" s="7"/>
      <c r="H681" s="7"/>
      <c r="K681" s="1023"/>
    </row>
    <row r="682" spans="1:11" customFormat="1" ht="13.2">
      <c r="A682" s="1394"/>
      <c r="E682" s="7"/>
      <c r="F682" s="7"/>
      <c r="G682" s="7"/>
      <c r="H682" s="7"/>
      <c r="K682" s="1023"/>
    </row>
    <row r="683" spans="1:11" customFormat="1" ht="13.2">
      <c r="A683" s="1394"/>
      <c r="E683" s="7"/>
      <c r="F683" s="7"/>
      <c r="G683" s="7"/>
      <c r="H683" s="7"/>
      <c r="K683" s="1023"/>
    </row>
    <row r="684" spans="1:11" customFormat="1" ht="13.2">
      <c r="A684" s="1394"/>
      <c r="E684" s="7"/>
      <c r="F684" s="7"/>
      <c r="G684" s="7"/>
      <c r="H684" s="7"/>
      <c r="K684" s="1023"/>
    </row>
    <row r="685" spans="1:11" customFormat="1" ht="13.2">
      <c r="A685" s="1394"/>
      <c r="E685" s="7"/>
      <c r="F685" s="7"/>
      <c r="G685" s="7"/>
      <c r="H685" s="7"/>
      <c r="K685" s="1023"/>
    </row>
    <row r="686" spans="1:11" customFormat="1" ht="13.2">
      <c r="A686" s="1394"/>
      <c r="E686" s="7"/>
      <c r="F686" s="7"/>
      <c r="G686" s="7"/>
      <c r="H686" s="7"/>
      <c r="K686" s="1023"/>
    </row>
    <row r="687" spans="1:11" customFormat="1" ht="13.2">
      <c r="A687" s="1394"/>
      <c r="E687" s="7"/>
      <c r="F687" s="7"/>
      <c r="G687" s="7"/>
      <c r="H687" s="7"/>
      <c r="K687" s="1023"/>
    </row>
    <row r="688" spans="1:11" customFormat="1" ht="13.2">
      <c r="A688" s="1394"/>
      <c r="E688" s="7"/>
      <c r="F688" s="7"/>
      <c r="G688" s="7"/>
      <c r="H688" s="7"/>
      <c r="K688" s="1023"/>
    </row>
    <row r="689" spans="1:11" customFormat="1" ht="13.2">
      <c r="A689" s="1394"/>
      <c r="E689" s="7"/>
      <c r="F689" s="7"/>
      <c r="G689" s="7"/>
      <c r="H689" s="7"/>
      <c r="K689" s="1023"/>
    </row>
    <row r="690" spans="1:11" customFormat="1" ht="13.2">
      <c r="A690" s="1394"/>
      <c r="E690" s="7"/>
      <c r="F690" s="7"/>
      <c r="G690" s="7"/>
      <c r="H690" s="7"/>
      <c r="K690" s="1023"/>
    </row>
    <row r="691" spans="1:11" customFormat="1" ht="13.2">
      <c r="A691" s="1394"/>
      <c r="E691" s="7"/>
      <c r="F691" s="7"/>
      <c r="G691" s="7"/>
      <c r="H691" s="7"/>
      <c r="K691" s="1023"/>
    </row>
    <row r="692" spans="1:11" customFormat="1" ht="13.2">
      <c r="A692" s="1394"/>
      <c r="E692" s="7"/>
      <c r="F692" s="7"/>
      <c r="G692" s="7"/>
      <c r="H692" s="7"/>
      <c r="K692" s="1023"/>
    </row>
    <row r="693" spans="1:11" customFormat="1" ht="13.2">
      <c r="A693" s="1394"/>
      <c r="E693" s="7"/>
      <c r="F693" s="7"/>
      <c r="G693" s="7"/>
      <c r="H693" s="7"/>
      <c r="K693" s="1023"/>
    </row>
    <row r="694" spans="1:11" customFormat="1" ht="13.2">
      <c r="A694" s="1394"/>
      <c r="E694" s="7"/>
      <c r="F694" s="7"/>
      <c r="G694" s="7"/>
      <c r="H694" s="7"/>
      <c r="K694" s="1023"/>
    </row>
    <row r="695" spans="1:11" customFormat="1" ht="13.2">
      <c r="A695" s="1394"/>
      <c r="E695" s="7"/>
      <c r="F695" s="7"/>
      <c r="G695" s="7"/>
      <c r="H695" s="7"/>
      <c r="K695" s="1023"/>
    </row>
    <row r="696" spans="1:11" customFormat="1" ht="13.2">
      <c r="A696" s="1394"/>
      <c r="E696" s="7"/>
      <c r="F696" s="7"/>
      <c r="G696" s="7"/>
      <c r="H696" s="7"/>
      <c r="K696" s="1023"/>
    </row>
    <row r="697" spans="1:11" customFormat="1" ht="13.2">
      <c r="A697" s="1394"/>
      <c r="E697" s="7"/>
      <c r="F697" s="7"/>
      <c r="G697" s="7"/>
      <c r="H697" s="7"/>
      <c r="K697" s="1023"/>
    </row>
    <row r="698" spans="1:11" customFormat="1" ht="13.2">
      <c r="A698" s="1394"/>
      <c r="E698" s="7"/>
      <c r="F698" s="7"/>
      <c r="G698" s="7"/>
      <c r="H698" s="7"/>
      <c r="K698" s="1023"/>
    </row>
    <row r="699" spans="1:11" customFormat="1" ht="13.2">
      <c r="A699" s="1394"/>
      <c r="E699" s="7"/>
      <c r="F699" s="7"/>
      <c r="G699" s="7"/>
      <c r="H699" s="7"/>
      <c r="K699" s="1023"/>
    </row>
    <row r="700" spans="1:11" customFormat="1" ht="13.2">
      <c r="A700" s="1394"/>
      <c r="E700" s="7"/>
      <c r="F700" s="7"/>
      <c r="G700" s="7"/>
      <c r="H700" s="7"/>
      <c r="K700" s="1023"/>
    </row>
    <row r="701" spans="1:11" customFormat="1" ht="13.2">
      <c r="A701" s="1394"/>
      <c r="E701" s="7"/>
      <c r="F701" s="7"/>
      <c r="G701" s="7"/>
      <c r="H701" s="7"/>
      <c r="K701" s="1023"/>
    </row>
    <row r="702" spans="1:11" customFormat="1" ht="13.2">
      <c r="A702" s="1394"/>
      <c r="E702" s="7"/>
      <c r="F702" s="7"/>
      <c r="G702" s="7"/>
      <c r="H702" s="7"/>
      <c r="K702" s="1023"/>
    </row>
    <row r="703" spans="1:11" customFormat="1" ht="13.2">
      <c r="A703" s="1394"/>
      <c r="E703" s="7"/>
      <c r="F703" s="7"/>
      <c r="G703" s="7"/>
      <c r="H703" s="7"/>
      <c r="K703" s="1023"/>
    </row>
    <row r="704" spans="1:11" customFormat="1" ht="13.2">
      <c r="A704" s="1394"/>
      <c r="E704" s="7"/>
      <c r="F704" s="7"/>
      <c r="G704" s="7"/>
      <c r="H704" s="7"/>
      <c r="K704" s="1023"/>
    </row>
    <row r="705" spans="1:11" customFormat="1" ht="13.2">
      <c r="A705" s="1394"/>
      <c r="E705" s="7"/>
      <c r="F705" s="7"/>
      <c r="G705" s="7"/>
      <c r="H705" s="7"/>
      <c r="K705" s="1023"/>
    </row>
    <row r="706" spans="1:11" customFormat="1" ht="13.2">
      <c r="A706" s="1394"/>
      <c r="E706" s="7"/>
      <c r="F706" s="7"/>
      <c r="G706" s="7"/>
      <c r="H706" s="7"/>
      <c r="K706" s="1023"/>
    </row>
    <row r="707" spans="1:11" customFormat="1" ht="13.2">
      <c r="A707" s="1394"/>
      <c r="E707" s="7"/>
      <c r="F707" s="7"/>
      <c r="G707" s="7"/>
      <c r="H707" s="7"/>
      <c r="K707" s="1023"/>
    </row>
    <row r="708" spans="1:11" customFormat="1" ht="13.2">
      <c r="A708" s="1394"/>
      <c r="E708" s="7"/>
      <c r="F708" s="7"/>
      <c r="G708" s="7"/>
      <c r="H708" s="7"/>
      <c r="K708" s="1023"/>
    </row>
    <row r="709" spans="1:11" customFormat="1" ht="13.2">
      <c r="A709" s="1394"/>
      <c r="E709" s="7"/>
      <c r="F709" s="7"/>
      <c r="G709" s="7"/>
      <c r="H709" s="7"/>
      <c r="K709" s="1023"/>
    </row>
    <row r="710" spans="1:11" customFormat="1" ht="13.2">
      <c r="A710" s="1394"/>
      <c r="E710" s="7"/>
      <c r="F710" s="7"/>
      <c r="G710" s="7"/>
      <c r="H710" s="7"/>
      <c r="K710" s="1023"/>
    </row>
    <row r="711" spans="1:11" customFormat="1" ht="13.2">
      <c r="A711" s="1394"/>
      <c r="E711" s="7"/>
      <c r="F711" s="7"/>
      <c r="G711" s="7"/>
      <c r="H711" s="7"/>
      <c r="K711" s="1023"/>
    </row>
    <row r="712" spans="1:11" customFormat="1" ht="13.2">
      <c r="A712" s="1394"/>
      <c r="E712" s="7"/>
      <c r="F712" s="7"/>
      <c r="G712" s="7"/>
      <c r="H712" s="7"/>
      <c r="K712" s="1023"/>
    </row>
    <row r="713" spans="1:11" customFormat="1" ht="13.2">
      <c r="A713" s="1394"/>
      <c r="E713" s="7"/>
      <c r="F713" s="7"/>
      <c r="G713" s="7"/>
      <c r="H713" s="7"/>
      <c r="K713" s="1023"/>
    </row>
    <row r="714" spans="1:11" customFormat="1" ht="13.2">
      <c r="A714" s="1394"/>
      <c r="E714" s="7"/>
      <c r="F714" s="7"/>
      <c r="G714" s="7"/>
      <c r="H714" s="7"/>
      <c r="K714" s="1023"/>
    </row>
    <row r="715" spans="1:11" customFormat="1" ht="13.2">
      <c r="A715" s="1394"/>
      <c r="E715" s="7"/>
      <c r="F715" s="7"/>
      <c r="G715" s="7"/>
      <c r="H715" s="7"/>
      <c r="K715" s="1023"/>
    </row>
    <row r="716" spans="1:11" customFormat="1" ht="13.2">
      <c r="A716" s="1394"/>
      <c r="E716" s="7"/>
      <c r="F716" s="7"/>
      <c r="G716" s="7"/>
      <c r="H716" s="7"/>
      <c r="K716" s="1023"/>
    </row>
    <row r="717" spans="1:11" customFormat="1" ht="13.2">
      <c r="A717" s="1394"/>
      <c r="E717" s="7"/>
      <c r="F717" s="7"/>
      <c r="G717" s="7"/>
      <c r="H717" s="7"/>
      <c r="K717" s="1023"/>
    </row>
    <row r="718" spans="1:11" customFormat="1" ht="13.2">
      <c r="A718" s="1394"/>
      <c r="E718" s="7"/>
      <c r="F718" s="7"/>
      <c r="G718" s="7"/>
      <c r="H718" s="7"/>
      <c r="K718" s="1023"/>
    </row>
    <row r="719" spans="1:11" customFormat="1" ht="13.2">
      <c r="A719" s="1394"/>
      <c r="E719" s="7"/>
      <c r="F719" s="7"/>
      <c r="G719" s="7"/>
      <c r="H719" s="7"/>
      <c r="K719" s="1023"/>
    </row>
    <row r="720" spans="1:11" customFormat="1" ht="13.2">
      <c r="A720" s="1394"/>
      <c r="E720" s="7"/>
      <c r="F720" s="7"/>
      <c r="G720" s="7"/>
      <c r="H720" s="7"/>
      <c r="K720" s="1023"/>
    </row>
    <row r="721" spans="1:11" customFormat="1" ht="13.2">
      <c r="A721" s="1394"/>
      <c r="E721" s="7"/>
      <c r="F721" s="7"/>
      <c r="G721" s="7"/>
      <c r="H721" s="7"/>
      <c r="K721" s="1023"/>
    </row>
    <row r="722" spans="1:11" customFormat="1" ht="13.2">
      <c r="A722" s="1394"/>
      <c r="E722" s="7"/>
      <c r="F722" s="7"/>
      <c r="G722" s="7"/>
      <c r="H722" s="7"/>
      <c r="K722" s="1023"/>
    </row>
    <row r="723" spans="1:11" customFormat="1" ht="13.2">
      <c r="A723" s="1394"/>
      <c r="E723" s="7"/>
      <c r="F723" s="7"/>
      <c r="G723" s="7"/>
      <c r="H723" s="7"/>
      <c r="K723" s="1023"/>
    </row>
    <row r="724" spans="1:11" customFormat="1" ht="13.2">
      <c r="A724" s="1394"/>
      <c r="E724" s="7"/>
      <c r="F724" s="7"/>
      <c r="G724" s="7"/>
      <c r="H724" s="7"/>
      <c r="K724" s="1023"/>
    </row>
    <row r="725" spans="1:11" customFormat="1" ht="13.2">
      <c r="A725" s="1394"/>
      <c r="E725" s="7"/>
      <c r="F725" s="7"/>
      <c r="G725" s="7"/>
      <c r="H725" s="7"/>
      <c r="K725" s="1023"/>
    </row>
    <row r="726" spans="1:11" customFormat="1" ht="13.2">
      <c r="A726" s="1394"/>
      <c r="E726" s="7"/>
      <c r="F726" s="7"/>
      <c r="G726" s="7"/>
      <c r="H726" s="7"/>
      <c r="K726" s="1023"/>
    </row>
    <row r="727" spans="1:11" customFormat="1" ht="13.2">
      <c r="A727" s="1394"/>
      <c r="E727" s="7"/>
      <c r="F727" s="7"/>
      <c r="G727" s="7"/>
      <c r="H727" s="7"/>
      <c r="K727" s="1023"/>
    </row>
    <row r="728" spans="1:11" customFormat="1" ht="13.2">
      <c r="A728" s="1394"/>
      <c r="E728" s="7"/>
      <c r="F728" s="7"/>
      <c r="G728" s="7"/>
      <c r="H728" s="7"/>
      <c r="K728" s="1023"/>
    </row>
    <row r="729" spans="1:11" customFormat="1" ht="13.2">
      <c r="A729" s="1394"/>
      <c r="E729" s="7"/>
      <c r="F729" s="7"/>
      <c r="G729" s="7"/>
      <c r="H729" s="7"/>
      <c r="K729" s="1023"/>
    </row>
    <row r="730" spans="1:11" customFormat="1" ht="13.2">
      <c r="A730" s="1394"/>
      <c r="E730" s="7"/>
      <c r="F730" s="7"/>
      <c r="G730" s="7"/>
      <c r="H730" s="7"/>
      <c r="K730" s="1023"/>
    </row>
    <row r="731" spans="1:11" customFormat="1" ht="13.2">
      <c r="A731" s="1394"/>
      <c r="E731" s="7"/>
      <c r="F731" s="7"/>
      <c r="G731" s="7"/>
      <c r="H731" s="7"/>
      <c r="K731" s="1023"/>
    </row>
    <row r="732" spans="1:11" customFormat="1" ht="13.2">
      <c r="A732" s="1394"/>
      <c r="E732" s="7"/>
      <c r="F732" s="7"/>
      <c r="G732" s="7"/>
      <c r="H732" s="7"/>
      <c r="K732" s="1023"/>
    </row>
    <row r="733" spans="1:11" customFormat="1" ht="13.2">
      <c r="A733" s="1394"/>
      <c r="E733" s="7"/>
      <c r="F733" s="7"/>
      <c r="G733" s="7"/>
      <c r="H733" s="7"/>
      <c r="K733" s="1023"/>
    </row>
    <row r="734" spans="1:11" customFormat="1" ht="13.2">
      <c r="A734" s="1394"/>
      <c r="E734" s="7"/>
      <c r="F734" s="7"/>
      <c r="G734" s="7"/>
      <c r="H734" s="7"/>
      <c r="K734" s="1023"/>
    </row>
    <row r="735" spans="1:11" customFormat="1" ht="13.2">
      <c r="A735" s="1394"/>
      <c r="E735" s="7"/>
      <c r="F735" s="7"/>
      <c r="G735" s="7"/>
      <c r="H735" s="7"/>
      <c r="K735" s="1023"/>
    </row>
    <row r="736" spans="1:11" customFormat="1" ht="13.2">
      <c r="A736" s="1394"/>
      <c r="E736" s="7"/>
      <c r="F736" s="7"/>
      <c r="G736" s="7"/>
      <c r="H736" s="7"/>
      <c r="K736" s="1023"/>
    </row>
    <row r="737" spans="1:11" customFormat="1" ht="13.2">
      <c r="A737" s="1394"/>
      <c r="E737" s="7"/>
      <c r="F737" s="7"/>
      <c r="G737" s="7"/>
      <c r="H737" s="7"/>
      <c r="K737" s="1023"/>
    </row>
    <row r="738" spans="1:11" customFormat="1" ht="13.2">
      <c r="A738" s="1394"/>
      <c r="E738" s="7"/>
      <c r="F738" s="7"/>
      <c r="G738" s="7"/>
      <c r="H738" s="7"/>
      <c r="K738" s="1023"/>
    </row>
    <row r="739" spans="1:11" customFormat="1" ht="13.2">
      <c r="A739" s="1394"/>
      <c r="E739" s="7"/>
      <c r="F739" s="7"/>
      <c r="G739" s="7"/>
      <c r="H739" s="7"/>
      <c r="K739" s="1023"/>
    </row>
    <row r="740" spans="1:11" customFormat="1" ht="13.2">
      <c r="A740" s="1394"/>
      <c r="E740" s="7"/>
      <c r="F740" s="7"/>
      <c r="G740" s="7"/>
      <c r="H740" s="7"/>
      <c r="K740" s="1023"/>
    </row>
    <row r="741" spans="1:11" customFormat="1" ht="13.2">
      <c r="A741" s="1394"/>
      <c r="E741" s="7"/>
      <c r="F741" s="7"/>
      <c r="G741" s="7"/>
      <c r="H741" s="7"/>
      <c r="K741" s="1023"/>
    </row>
    <row r="742" spans="1:11" customFormat="1" ht="13.2">
      <c r="A742" s="1394"/>
      <c r="E742" s="7"/>
      <c r="F742" s="7"/>
      <c r="G742" s="7"/>
      <c r="H742" s="7"/>
      <c r="K742" s="1023"/>
    </row>
    <row r="743" spans="1:11" customFormat="1" ht="13.2">
      <c r="A743" s="1394"/>
      <c r="E743" s="7"/>
      <c r="F743" s="7"/>
      <c r="G743" s="7"/>
      <c r="H743" s="7"/>
      <c r="K743" s="1023"/>
    </row>
    <row r="744" spans="1:11" customFormat="1" ht="13.2">
      <c r="A744" s="1394"/>
      <c r="E744" s="7"/>
      <c r="F744" s="7"/>
      <c r="G744" s="7"/>
      <c r="H744" s="7"/>
      <c r="K744" s="1023"/>
    </row>
    <row r="745" spans="1:11" customFormat="1" ht="13.2">
      <c r="A745" s="1394"/>
      <c r="E745" s="7"/>
      <c r="F745" s="7"/>
      <c r="G745" s="7"/>
      <c r="H745" s="7"/>
      <c r="K745" s="1023"/>
    </row>
    <row r="746" spans="1:11" customFormat="1" ht="13.2">
      <c r="A746" s="1394"/>
      <c r="E746" s="7"/>
      <c r="F746" s="7"/>
      <c r="G746" s="7"/>
      <c r="H746" s="7"/>
      <c r="K746" s="1023"/>
    </row>
    <row r="747" spans="1:11" customFormat="1" ht="13.2">
      <c r="A747" s="1394"/>
      <c r="E747" s="7"/>
      <c r="F747" s="7"/>
      <c r="G747" s="7"/>
      <c r="H747" s="7"/>
      <c r="K747" s="1023"/>
    </row>
    <row r="748" spans="1:11" customFormat="1" ht="13.2">
      <c r="A748" s="1394"/>
      <c r="E748" s="7"/>
      <c r="F748" s="7"/>
      <c r="G748" s="7"/>
      <c r="H748" s="7"/>
      <c r="K748" s="1023"/>
    </row>
    <row r="749" spans="1:11" customFormat="1" ht="13.2">
      <c r="A749" s="1394"/>
      <c r="E749" s="7"/>
      <c r="F749" s="7"/>
      <c r="G749" s="7"/>
      <c r="H749" s="7"/>
      <c r="K749" s="1023"/>
    </row>
    <row r="750" spans="1:11" customFormat="1" ht="13.2">
      <c r="A750" s="1394"/>
      <c r="E750" s="7"/>
      <c r="F750" s="7"/>
      <c r="G750" s="7"/>
      <c r="H750" s="7"/>
      <c r="K750" s="1023"/>
    </row>
    <row r="751" spans="1:11" customFormat="1" ht="13.2">
      <c r="A751" s="1394"/>
      <c r="E751" s="7"/>
      <c r="F751" s="7"/>
      <c r="G751" s="7"/>
      <c r="H751" s="7"/>
      <c r="K751" s="1023"/>
    </row>
    <row r="752" spans="1:11" customFormat="1" ht="13.2">
      <c r="A752" s="1394"/>
      <c r="E752" s="7"/>
      <c r="F752" s="7"/>
      <c r="G752" s="7"/>
      <c r="H752" s="7"/>
      <c r="K752" s="1023"/>
    </row>
    <row r="753" spans="1:11" customFormat="1" ht="13.2">
      <c r="A753" s="1394"/>
      <c r="E753" s="7"/>
      <c r="F753" s="7"/>
      <c r="G753" s="7"/>
      <c r="H753" s="7"/>
      <c r="K753" s="1023"/>
    </row>
    <row r="754" spans="1:11" customFormat="1" ht="13.2">
      <c r="A754" s="1394"/>
      <c r="E754" s="7"/>
      <c r="F754" s="7"/>
      <c r="G754" s="7"/>
      <c r="H754" s="7"/>
      <c r="K754" s="1023"/>
    </row>
    <row r="755" spans="1:11" customFormat="1" ht="13.2">
      <c r="A755" s="1394"/>
      <c r="E755" s="7"/>
      <c r="F755" s="7"/>
      <c r="G755" s="7"/>
      <c r="H755" s="7"/>
      <c r="K755" s="1023"/>
    </row>
    <row r="756" spans="1:11" customFormat="1" ht="13.2">
      <c r="A756" s="1394"/>
      <c r="E756" s="7"/>
      <c r="F756" s="7"/>
      <c r="G756" s="7"/>
      <c r="H756" s="7"/>
      <c r="K756" s="1023"/>
    </row>
    <row r="757" spans="1:11" customFormat="1" ht="13.2">
      <c r="A757" s="1394"/>
      <c r="E757" s="7"/>
      <c r="F757" s="7"/>
      <c r="G757" s="7"/>
      <c r="H757" s="7"/>
      <c r="K757" s="1023"/>
    </row>
    <row r="758" spans="1:11" customFormat="1" ht="13.2">
      <c r="A758" s="1394"/>
      <c r="E758" s="7"/>
      <c r="F758" s="7"/>
      <c r="G758" s="7"/>
      <c r="H758" s="7"/>
      <c r="K758" s="1023"/>
    </row>
    <row r="759" spans="1:11" customFormat="1" ht="13.2">
      <c r="A759" s="1394"/>
      <c r="E759" s="7"/>
      <c r="F759" s="7"/>
      <c r="G759" s="7"/>
      <c r="H759" s="7"/>
      <c r="K759" s="1023"/>
    </row>
    <row r="760" spans="1:11" customFormat="1" ht="13.2">
      <c r="A760" s="1394"/>
      <c r="E760" s="7"/>
      <c r="F760" s="7"/>
      <c r="G760" s="7"/>
      <c r="H760" s="7"/>
      <c r="K760" s="1023"/>
    </row>
    <row r="761" spans="1:11" customFormat="1" ht="13.2">
      <c r="A761" s="1394"/>
      <c r="E761" s="7"/>
      <c r="F761" s="7"/>
      <c r="G761" s="7"/>
      <c r="H761" s="7"/>
      <c r="K761" s="1023"/>
    </row>
    <row r="762" spans="1:11" customFormat="1" ht="13.2">
      <c r="A762" s="1394"/>
      <c r="E762" s="7"/>
      <c r="F762" s="7"/>
      <c r="G762" s="7"/>
      <c r="H762" s="7"/>
      <c r="K762" s="1023"/>
    </row>
    <row r="763" spans="1:11" customFormat="1" ht="13.2">
      <c r="A763" s="1394"/>
      <c r="E763" s="7"/>
      <c r="F763" s="7"/>
      <c r="G763" s="7"/>
      <c r="H763" s="7"/>
      <c r="K763" s="1023"/>
    </row>
    <row r="764" spans="1:11" customFormat="1" ht="13.2">
      <c r="A764" s="1394"/>
      <c r="E764" s="7"/>
      <c r="F764" s="7"/>
      <c r="G764" s="7"/>
      <c r="H764" s="7"/>
      <c r="K764" s="1023"/>
    </row>
    <row r="765" spans="1:11" customFormat="1" ht="13.2">
      <c r="A765" s="1394"/>
      <c r="E765" s="7"/>
      <c r="F765" s="7"/>
      <c r="G765" s="7"/>
      <c r="H765" s="7"/>
      <c r="K765" s="1023"/>
    </row>
    <row r="766" spans="1:11" customFormat="1" ht="13.2">
      <c r="A766" s="1394"/>
      <c r="E766" s="7"/>
      <c r="F766" s="7"/>
      <c r="G766" s="7"/>
      <c r="H766" s="7"/>
      <c r="K766" s="1023"/>
    </row>
    <row r="767" spans="1:11" customFormat="1" ht="13.2">
      <c r="A767" s="1394"/>
      <c r="E767" s="7"/>
      <c r="F767" s="7"/>
      <c r="G767" s="7"/>
      <c r="H767" s="7"/>
      <c r="K767" s="1023"/>
    </row>
    <row r="768" spans="1:11" customFormat="1" ht="13.2">
      <c r="A768" s="1394"/>
      <c r="E768" s="7"/>
      <c r="F768" s="7"/>
      <c r="G768" s="7"/>
      <c r="H768" s="7"/>
      <c r="K768" s="1023"/>
    </row>
    <row r="769" spans="1:11" customFormat="1" ht="13.2">
      <c r="A769" s="1394"/>
      <c r="E769" s="7"/>
      <c r="F769" s="7"/>
      <c r="G769" s="7"/>
      <c r="H769" s="7"/>
      <c r="K769" s="1023"/>
    </row>
    <row r="770" spans="1:11" customFormat="1" ht="13.2">
      <c r="A770" s="1394"/>
      <c r="E770" s="7"/>
      <c r="F770" s="7"/>
      <c r="G770" s="7"/>
      <c r="H770" s="7"/>
      <c r="K770" s="1023"/>
    </row>
    <row r="771" spans="1:11" customFormat="1" ht="13.2">
      <c r="A771" s="1394"/>
      <c r="E771" s="7"/>
      <c r="F771" s="7"/>
      <c r="G771" s="7"/>
      <c r="H771" s="7"/>
      <c r="K771" s="1023"/>
    </row>
    <row r="772" spans="1:11" customFormat="1" ht="13.2">
      <c r="A772" s="1394"/>
      <c r="E772" s="7"/>
      <c r="F772" s="7"/>
      <c r="G772" s="7"/>
      <c r="H772" s="7"/>
      <c r="K772" s="1023"/>
    </row>
    <row r="773" spans="1:11" customFormat="1" ht="13.2">
      <c r="A773" s="1394"/>
      <c r="E773" s="7"/>
      <c r="F773" s="7"/>
      <c r="G773" s="7"/>
      <c r="H773" s="7"/>
      <c r="K773" s="1023"/>
    </row>
    <row r="774" spans="1:11" customFormat="1" ht="13.2">
      <c r="A774" s="1394"/>
      <c r="E774" s="7"/>
      <c r="F774" s="7"/>
      <c r="G774" s="7"/>
      <c r="H774" s="7"/>
      <c r="K774" s="1023"/>
    </row>
    <row r="775" spans="1:11" customFormat="1" ht="13.2">
      <c r="A775" s="1394"/>
      <c r="E775" s="7"/>
      <c r="F775" s="7"/>
      <c r="G775" s="7"/>
      <c r="H775" s="7"/>
      <c r="K775" s="1023"/>
    </row>
    <row r="776" spans="1:11" customFormat="1" ht="13.2">
      <c r="A776" s="1394"/>
      <c r="E776" s="7"/>
      <c r="F776" s="7"/>
      <c r="G776" s="7"/>
      <c r="H776" s="7"/>
      <c r="K776" s="1023"/>
    </row>
    <row r="777" spans="1:11" customFormat="1" ht="13.2">
      <c r="A777" s="1394"/>
      <c r="E777" s="7"/>
      <c r="F777" s="7"/>
      <c r="G777" s="7"/>
      <c r="H777" s="7"/>
      <c r="K777" s="1023"/>
    </row>
    <row r="778" spans="1:11" customFormat="1" ht="13.2">
      <c r="A778" s="1394"/>
      <c r="E778" s="7"/>
      <c r="F778" s="7"/>
      <c r="G778" s="7"/>
      <c r="H778" s="7"/>
      <c r="K778" s="1023"/>
    </row>
    <row r="779" spans="1:11" customFormat="1" ht="13.2">
      <c r="A779" s="1394"/>
      <c r="E779" s="7"/>
      <c r="F779" s="7"/>
      <c r="G779" s="7"/>
      <c r="H779" s="7"/>
      <c r="K779" s="1023"/>
    </row>
    <row r="780" spans="1:11" customFormat="1" ht="13.2">
      <c r="A780" s="1394"/>
      <c r="E780" s="7"/>
      <c r="F780" s="7"/>
      <c r="G780" s="7"/>
      <c r="H780" s="7"/>
      <c r="K780" s="1023"/>
    </row>
    <row r="781" spans="1:11" customFormat="1" ht="13.2">
      <c r="A781" s="1394"/>
      <c r="E781" s="7"/>
      <c r="F781" s="7"/>
      <c r="G781" s="7"/>
      <c r="H781" s="7"/>
      <c r="K781" s="1023"/>
    </row>
    <row r="782" spans="1:11" customFormat="1" ht="13.2">
      <c r="A782" s="1394"/>
      <c r="E782" s="7"/>
      <c r="F782" s="7"/>
      <c r="G782" s="7"/>
      <c r="H782" s="7"/>
      <c r="K782" s="1023"/>
    </row>
    <row r="783" spans="1:11" customFormat="1" ht="13.2">
      <c r="A783" s="1394"/>
      <c r="E783" s="7"/>
      <c r="F783" s="7"/>
      <c r="G783" s="7"/>
      <c r="H783" s="7"/>
      <c r="K783" s="1023"/>
    </row>
    <row r="784" spans="1:11" customFormat="1" ht="13.2">
      <c r="A784" s="1394"/>
      <c r="E784" s="7"/>
      <c r="F784" s="7"/>
      <c r="G784" s="7"/>
      <c r="H784" s="7"/>
      <c r="K784" s="1023"/>
    </row>
    <row r="785" spans="1:11" customFormat="1" ht="13.2">
      <c r="A785" s="1394"/>
      <c r="E785" s="7"/>
      <c r="F785" s="7"/>
      <c r="G785" s="7"/>
      <c r="H785" s="7"/>
      <c r="K785" s="1023"/>
    </row>
    <row r="786" spans="1:11" customFormat="1" ht="13.2">
      <c r="A786" s="1394"/>
      <c r="E786" s="7"/>
      <c r="F786" s="7"/>
      <c r="G786" s="7"/>
      <c r="H786" s="7"/>
      <c r="K786" s="1023"/>
    </row>
    <row r="787" spans="1:11" customFormat="1" ht="13.2">
      <c r="A787" s="1394"/>
      <c r="E787" s="7"/>
      <c r="F787" s="7"/>
      <c r="G787" s="7"/>
      <c r="H787" s="7"/>
      <c r="K787" s="1023"/>
    </row>
    <row r="788" spans="1:11" customFormat="1" ht="13.2">
      <c r="A788" s="1394"/>
      <c r="E788" s="7"/>
      <c r="F788" s="7"/>
      <c r="G788" s="7"/>
      <c r="H788" s="7"/>
      <c r="K788" s="1023"/>
    </row>
    <row r="789" spans="1:11" customFormat="1" ht="13.2">
      <c r="A789" s="1394"/>
      <c r="E789" s="7"/>
      <c r="F789" s="7"/>
      <c r="G789" s="7"/>
      <c r="H789" s="7"/>
      <c r="K789" s="1023"/>
    </row>
    <row r="790" spans="1:11" customFormat="1" ht="13.2">
      <c r="A790" s="1394"/>
      <c r="E790" s="7"/>
      <c r="F790" s="7"/>
      <c r="G790" s="7"/>
      <c r="H790" s="7"/>
      <c r="K790" s="1023"/>
    </row>
    <row r="791" spans="1:11" customFormat="1" ht="13.2">
      <c r="A791" s="1394"/>
      <c r="E791" s="7"/>
      <c r="F791" s="7"/>
      <c r="G791" s="7"/>
      <c r="H791" s="7"/>
      <c r="K791" s="1023"/>
    </row>
    <row r="792" spans="1:11" customFormat="1" ht="13.2">
      <c r="A792" s="1394"/>
      <c r="E792" s="7"/>
      <c r="F792" s="7"/>
      <c r="G792" s="7"/>
      <c r="H792" s="7"/>
      <c r="K792" s="1023"/>
    </row>
    <row r="793" spans="1:11" customFormat="1" ht="13.2">
      <c r="A793" s="1394"/>
      <c r="E793" s="7"/>
      <c r="F793" s="7"/>
      <c r="G793" s="7"/>
      <c r="H793" s="7"/>
      <c r="K793" s="1023"/>
    </row>
    <row r="794" spans="1:11" customFormat="1" ht="13.2">
      <c r="A794" s="1394"/>
      <c r="E794" s="7"/>
      <c r="F794" s="7"/>
      <c r="G794" s="7"/>
      <c r="H794" s="7"/>
      <c r="K794" s="1023"/>
    </row>
    <row r="795" spans="1:11" customFormat="1" ht="13.2">
      <c r="A795" s="1394"/>
      <c r="E795" s="7"/>
      <c r="F795" s="7"/>
      <c r="G795" s="7"/>
      <c r="H795" s="7"/>
      <c r="K795" s="1023"/>
    </row>
    <row r="796" spans="1:11" customFormat="1" ht="13.2">
      <c r="A796" s="1394"/>
      <c r="E796" s="7"/>
      <c r="F796" s="7"/>
      <c r="G796" s="7"/>
      <c r="H796" s="7"/>
      <c r="K796" s="1023"/>
    </row>
    <row r="797" spans="1:11" customFormat="1" ht="13.2">
      <c r="A797" s="1394"/>
      <c r="E797" s="7"/>
      <c r="F797" s="7"/>
      <c r="G797" s="7"/>
      <c r="H797" s="7"/>
      <c r="K797" s="1023"/>
    </row>
    <row r="798" spans="1:11" customFormat="1" ht="13.2">
      <c r="A798" s="1394"/>
      <c r="E798" s="7"/>
      <c r="F798" s="7"/>
      <c r="G798" s="7"/>
      <c r="H798" s="7"/>
      <c r="K798" s="1023"/>
    </row>
    <row r="799" spans="1:11" customFormat="1" ht="13.2">
      <c r="A799" s="1394"/>
      <c r="E799" s="7"/>
      <c r="F799" s="7"/>
      <c r="G799" s="7"/>
      <c r="H799" s="7"/>
      <c r="K799" s="1023"/>
    </row>
    <row r="800" spans="1:11" customFormat="1" ht="13.2">
      <c r="A800" s="1394"/>
      <c r="E800" s="7"/>
      <c r="F800" s="7"/>
      <c r="G800" s="7"/>
      <c r="H800" s="7"/>
      <c r="K800" s="1023"/>
    </row>
    <row r="801" spans="1:11" customFormat="1" ht="13.2">
      <c r="A801" s="1394"/>
      <c r="E801" s="7"/>
      <c r="F801" s="7"/>
      <c r="G801" s="7"/>
      <c r="H801" s="7"/>
      <c r="K801" s="1023"/>
    </row>
    <row r="802" spans="1:11" customFormat="1" ht="13.2">
      <c r="A802" s="1394"/>
      <c r="E802" s="7"/>
      <c r="F802" s="7"/>
      <c r="G802" s="7"/>
      <c r="H802" s="7"/>
      <c r="K802" s="1023"/>
    </row>
    <row r="803" spans="1:11" customFormat="1" ht="13.2">
      <c r="A803" s="1394"/>
      <c r="E803" s="7"/>
      <c r="F803" s="7"/>
      <c r="G803" s="7"/>
      <c r="H803" s="7"/>
      <c r="K803" s="1023"/>
    </row>
    <row r="804" spans="1:11" customFormat="1" ht="13.2">
      <c r="A804" s="1394"/>
      <c r="E804" s="7"/>
      <c r="F804" s="7"/>
      <c r="G804" s="7"/>
      <c r="H804" s="7"/>
      <c r="K804" s="1023"/>
    </row>
    <row r="805" spans="1:11" customFormat="1" ht="13.2">
      <c r="A805" s="1394"/>
      <c r="E805" s="7"/>
      <c r="F805" s="7"/>
      <c r="G805" s="7"/>
      <c r="H805" s="7"/>
      <c r="K805" s="1023"/>
    </row>
    <row r="806" spans="1:11" customFormat="1" ht="13.2">
      <c r="A806" s="1394"/>
      <c r="E806" s="7"/>
      <c r="F806" s="7"/>
      <c r="G806" s="7"/>
      <c r="H806" s="7"/>
      <c r="K806" s="1023"/>
    </row>
    <row r="807" spans="1:11" customFormat="1" ht="13.2">
      <c r="A807" s="1394"/>
      <c r="E807" s="7"/>
      <c r="F807" s="7"/>
      <c r="G807" s="7"/>
      <c r="H807" s="7"/>
      <c r="K807" s="1023"/>
    </row>
    <row r="808" spans="1:11" customFormat="1" ht="13.2">
      <c r="A808" s="1394"/>
      <c r="E808" s="7"/>
      <c r="F808" s="7"/>
      <c r="G808" s="7"/>
      <c r="H808" s="7"/>
      <c r="K808" s="1023"/>
    </row>
    <row r="809" spans="1:11" customFormat="1" ht="13.2">
      <c r="A809" s="1394"/>
      <c r="E809" s="7"/>
      <c r="F809" s="7"/>
      <c r="G809" s="7"/>
      <c r="H809" s="7"/>
      <c r="K809" s="1023"/>
    </row>
    <row r="810" spans="1:11" customFormat="1" ht="13.2">
      <c r="A810" s="1394"/>
      <c r="E810" s="7"/>
      <c r="F810" s="7"/>
      <c r="G810" s="7"/>
      <c r="H810" s="7"/>
      <c r="K810" s="1023"/>
    </row>
    <row r="811" spans="1:11" customFormat="1" ht="13.2">
      <c r="A811" s="1394"/>
      <c r="E811" s="7"/>
      <c r="F811" s="7"/>
      <c r="G811" s="7"/>
      <c r="H811" s="7"/>
      <c r="K811" s="1023"/>
    </row>
    <row r="812" spans="1:11" customFormat="1" ht="13.2">
      <c r="A812" s="1394"/>
      <c r="E812" s="7"/>
      <c r="F812" s="7"/>
      <c r="G812" s="7"/>
      <c r="H812" s="7"/>
      <c r="K812" s="1023"/>
    </row>
    <row r="813" spans="1:11" customFormat="1" ht="13.2">
      <c r="A813" s="1394"/>
      <c r="E813" s="7"/>
      <c r="F813" s="7"/>
      <c r="G813" s="7"/>
      <c r="H813" s="7"/>
      <c r="K813" s="1023"/>
    </row>
    <row r="814" spans="1:11" customFormat="1" ht="13.2">
      <c r="A814" s="1394"/>
      <c r="E814" s="7"/>
      <c r="F814" s="7"/>
      <c r="G814" s="7"/>
      <c r="H814" s="7"/>
      <c r="K814" s="1023"/>
    </row>
    <row r="815" spans="1:11" customFormat="1" ht="13.2">
      <c r="A815" s="1394"/>
      <c r="E815" s="7"/>
      <c r="F815" s="7"/>
      <c r="G815" s="7"/>
      <c r="H815" s="7"/>
      <c r="K815" s="1023"/>
    </row>
    <row r="816" spans="1:11" customFormat="1" ht="13.2">
      <c r="A816" s="1394"/>
      <c r="E816" s="7"/>
      <c r="F816" s="7"/>
      <c r="G816" s="7"/>
      <c r="H816" s="7"/>
      <c r="K816" s="1023"/>
    </row>
    <row r="817" spans="1:11" customFormat="1" ht="13.2">
      <c r="A817" s="1394"/>
      <c r="E817" s="7"/>
      <c r="F817" s="7"/>
      <c r="G817" s="7"/>
      <c r="H817" s="7"/>
      <c r="K817" s="1023"/>
    </row>
    <row r="818" spans="1:11" customFormat="1" ht="13.2">
      <c r="A818" s="1394"/>
      <c r="E818" s="7"/>
      <c r="F818" s="7"/>
      <c r="G818" s="7"/>
      <c r="H818" s="7"/>
      <c r="K818" s="1023"/>
    </row>
    <row r="819" spans="1:11" customFormat="1" ht="13.2">
      <c r="A819" s="1394"/>
      <c r="E819" s="7"/>
      <c r="F819" s="7"/>
      <c r="G819" s="7"/>
      <c r="H819" s="7"/>
      <c r="K819" s="1023"/>
    </row>
    <row r="820" spans="1:11" customFormat="1" ht="13.2">
      <c r="A820" s="1394"/>
      <c r="E820" s="7"/>
      <c r="F820" s="7"/>
      <c r="G820" s="7"/>
      <c r="H820" s="7"/>
      <c r="K820" s="1023"/>
    </row>
    <row r="821" spans="1:11" customFormat="1" ht="13.2">
      <c r="A821" s="1394"/>
      <c r="E821" s="7"/>
      <c r="F821" s="7"/>
      <c r="G821" s="7"/>
      <c r="H821" s="7"/>
      <c r="K821" s="1023"/>
    </row>
    <row r="822" spans="1:11" customFormat="1" ht="13.2">
      <c r="A822" s="1394"/>
      <c r="E822" s="7"/>
      <c r="F822" s="7"/>
      <c r="G822" s="7"/>
      <c r="H822" s="7"/>
      <c r="K822" s="1023"/>
    </row>
    <row r="823" spans="1:11" customFormat="1" ht="13.2">
      <c r="A823" s="1394"/>
      <c r="E823" s="7"/>
      <c r="F823" s="7"/>
      <c r="G823" s="7"/>
      <c r="H823" s="7"/>
      <c r="K823" s="1023"/>
    </row>
    <row r="824" spans="1:11" customFormat="1" ht="13.2">
      <c r="A824" s="1394"/>
      <c r="E824" s="7"/>
      <c r="F824" s="7"/>
      <c r="G824" s="7"/>
      <c r="H824" s="7"/>
      <c r="K824" s="1023"/>
    </row>
    <row r="825" spans="1:11" customFormat="1" ht="13.2">
      <c r="A825" s="1394"/>
      <c r="E825" s="7"/>
      <c r="F825" s="7"/>
      <c r="G825" s="7"/>
      <c r="H825" s="7"/>
      <c r="K825" s="1023"/>
    </row>
    <row r="826" spans="1:11" customFormat="1" ht="13.2">
      <c r="A826" s="1394"/>
      <c r="E826" s="7"/>
      <c r="F826" s="7"/>
      <c r="G826" s="7"/>
      <c r="H826" s="7"/>
      <c r="K826" s="1023"/>
    </row>
    <row r="827" spans="1:11" customFormat="1" ht="13.2">
      <c r="A827" s="1394"/>
      <c r="E827" s="7"/>
      <c r="F827" s="7"/>
      <c r="G827" s="7"/>
      <c r="H827" s="7"/>
      <c r="K827" s="1023"/>
    </row>
    <row r="828" spans="1:11" customFormat="1" ht="13.2">
      <c r="A828" s="1394"/>
      <c r="E828" s="7"/>
      <c r="F828" s="7"/>
      <c r="G828" s="7"/>
      <c r="H828" s="7"/>
      <c r="K828" s="1023"/>
    </row>
    <row r="829" spans="1:11" customFormat="1" ht="13.2">
      <c r="A829" s="1394"/>
      <c r="E829" s="7"/>
      <c r="F829" s="7"/>
      <c r="G829" s="7"/>
      <c r="H829" s="7"/>
      <c r="K829" s="1023"/>
    </row>
    <row r="830" spans="1:11" customFormat="1" ht="13.2">
      <c r="A830" s="1394"/>
      <c r="E830" s="7"/>
      <c r="F830" s="7"/>
      <c r="G830" s="7"/>
      <c r="H830" s="7"/>
      <c r="K830" s="1023"/>
    </row>
    <row r="831" spans="1:11" customFormat="1" ht="13.2">
      <c r="A831" s="1394"/>
      <c r="E831" s="7"/>
      <c r="F831" s="7"/>
      <c r="G831" s="7"/>
      <c r="H831" s="7"/>
      <c r="K831" s="1023"/>
    </row>
    <row r="832" spans="1:11" customFormat="1" ht="13.2">
      <c r="A832" s="1394"/>
      <c r="E832" s="7"/>
      <c r="F832" s="7"/>
      <c r="G832" s="7"/>
      <c r="H832" s="7"/>
      <c r="K832" s="1023"/>
    </row>
    <row r="833" spans="1:11" customFormat="1" ht="13.2">
      <c r="A833" s="1394"/>
      <c r="E833" s="7"/>
      <c r="F833" s="7"/>
      <c r="G833" s="7"/>
      <c r="H833" s="7"/>
      <c r="K833" s="1023"/>
    </row>
    <row r="834" spans="1:11" customFormat="1" ht="13.2">
      <c r="A834" s="1394"/>
      <c r="E834" s="7"/>
      <c r="F834" s="7"/>
      <c r="G834" s="7"/>
      <c r="H834" s="7"/>
      <c r="K834" s="1023"/>
    </row>
    <row r="835" spans="1:11" customFormat="1" ht="13.2">
      <c r="A835" s="1394"/>
      <c r="E835" s="7"/>
      <c r="F835" s="7"/>
      <c r="G835" s="7"/>
      <c r="H835" s="7"/>
      <c r="K835" s="1023"/>
    </row>
  </sheetData>
  <sheetProtection algorithmName="SHA-512" hashValue="qPLoStDrob8pjtK/PDLDr0uN7qU2x12zzg73EHGm3ykyvonmYF4teoUGLXCNS63dGmlWBz7lahHxECsoasExVA==" saltValue="gH+J/seiIZl1kF/3EUkGJA==" spinCount="100000" sheet="1" objects="1" scenarios="1"/>
  <mergeCells count="21">
    <mergeCell ref="I46:J46"/>
    <mergeCell ref="B3:J3"/>
    <mergeCell ref="B4:J4"/>
    <mergeCell ref="B5:J5"/>
    <mergeCell ref="C46:E46"/>
    <mergeCell ref="C12:D12"/>
    <mergeCell ref="I47:J47"/>
    <mergeCell ref="C50:E50"/>
    <mergeCell ref="C47:E47"/>
    <mergeCell ref="I48:J48"/>
    <mergeCell ref="C49:E49"/>
    <mergeCell ref="I50:J50"/>
    <mergeCell ref="I49:J49"/>
    <mergeCell ref="C48:E48"/>
    <mergeCell ref="I51:J51"/>
    <mergeCell ref="C51:E51"/>
    <mergeCell ref="B57:D57"/>
    <mergeCell ref="I53:J53"/>
    <mergeCell ref="C52:E52"/>
    <mergeCell ref="C53:E53"/>
    <mergeCell ref="I52:J52"/>
  </mergeCells>
  <phoneticPr fontId="5" type="noConversion"/>
  <conditionalFormatting sqref="J32">
    <cfRule type="expression" dxfId="188" priority="1" stopIfTrue="1">
      <formula>$K$33=1</formula>
    </cfRule>
  </conditionalFormatting>
  <conditionalFormatting sqref="H47:I47">
    <cfRule type="expression" dxfId="187" priority="2" stopIfTrue="1">
      <formula>$B$47=""</formula>
    </cfRule>
  </conditionalFormatting>
  <conditionalFormatting sqref="F13 F16 F35">
    <cfRule type="expression" dxfId="186" priority="3" stopIfTrue="1">
      <formula>Zonen&gt;1</formula>
    </cfRule>
  </conditionalFormatting>
  <conditionalFormatting sqref="H12:H13 H16 H35 H18">
    <cfRule type="expression" dxfId="185" priority="4" stopIfTrue="1">
      <formula>Zonen&gt;3</formula>
    </cfRule>
  </conditionalFormatting>
  <conditionalFormatting sqref="F12 F18">
    <cfRule type="expression" dxfId="184" priority="5" stopIfTrue="1">
      <formula>Zonen&gt;1</formula>
    </cfRule>
  </conditionalFormatting>
  <conditionalFormatting sqref="G12:G13 G16 G35 G18">
    <cfRule type="expression" dxfId="183" priority="6" stopIfTrue="1">
      <formula>Zonen&gt;2</formula>
    </cfRule>
  </conditionalFormatting>
  <conditionalFormatting sqref="I53:J53">
    <cfRule type="expression" dxfId="182" priority="7" stopIfTrue="1">
      <formula>minergiep=TRUE</formula>
    </cfRule>
  </conditionalFormatting>
  <conditionalFormatting sqref="E14:E15">
    <cfRule type="expression" dxfId="181" priority="8" stopIfTrue="1">
      <formula>$E$15&lt;$E$14</formula>
    </cfRule>
  </conditionalFormatting>
  <conditionalFormatting sqref="F14:F15">
    <cfRule type="expression" dxfId="180" priority="9" stopIfTrue="1">
      <formula>$F$15&lt;$F$14</formula>
    </cfRule>
    <cfRule type="expression" dxfId="179" priority="10" stopIfTrue="1">
      <formula>Zonen&gt;1</formula>
    </cfRule>
  </conditionalFormatting>
  <conditionalFormatting sqref="G14:G15">
    <cfRule type="expression" dxfId="178" priority="11" stopIfTrue="1">
      <formula>$G$15&lt;$G$14</formula>
    </cfRule>
    <cfRule type="expression" dxfId="177" priority="12" stopIfTrue="1">
      <formula>Zonen&gt;2</formula>
    </cfRule>
  </conditionalFormatting>
  <conditionalFormatting sqref="H14">
    <cfRule type="expression" dxfId="176" priority="13" stopIfTrue="1">
      <formula>$H$15&lt;$H$14</formula>
    </cfRule>
    <cfRule type="expression" dxfId="175" priority="14" stopIfTrue="1">
      <formula>Zonen&gt;3</formula>
    </cfRule>
  </conditionalFormatting>
  <conditionalFormatting sqref="H15">
    <cfRule type="expression" dxfId="174" priority="15" stopIfTrue="1">
      <formula>$H$15&lt;$H$14</formula>
    </cfRule>
    <cfRule type="expression" dxfId="173" priority="16" stopIfTrue="1">
      <formula>Zonen&gt;3</formula>
    </cfRule>
  </conditionalFormatting>
  <conditionalFormatting sqref="J36:J37 J60">
    <cfRule type="expression" dxfId="172" priority="17" stopIfTrue="1">
      <formula>AND(Primaeranforderung&gt;0,(qhs_vollständig*IF(EBF=0,0,(_qhs1*_EBF1+_qhs2*_EBF2+_qhs3*_EBF3+_qhs4*_EBF4)/EBF)/3.6)&gt;Primaeranforderung)</formula>
    </cfRule>
  </conditionalFormatting>
  <conditionalFormatting sqref="F42">
    <cfRule type="expression" dxfId="171" priority="18" stopIfTrue="1">
      <formula>AND(Zonen&gt;1,Kategorie2&lt;&gt;13)</formula>
    </cfRule>
  </conditionalFormatting>
  <conditionalFormatting sqref="G42">
    <cfRule type="expression" dxfId="170" priority="19" stopIfTrue="1">
      <formula>AND(Zonen&gt;2,Kategorie3&lt;&gt;13)</formula>
    </cfRule>
  </conditionalFormatting>
  <conditionalFormatting sqref="H42">
    <cfRule type="expression" dxfId="169" priority="20" stopIfTrue="1">
      <formula>AND(Zonen&gt;3,Kategorie4&lt;&gt;13)</formula>
    </cfRule>
  </conditionalFormatting>
  <conditionalFormatting sqref="E42 E60">
    <cfRule type="expression" dxfId="168" priority="21" stopIfTrue="1">
      <formula>Kategorie1=13</formula>
    </cfRule>
  </conditionalFormatting>
  <conditionalFormatting sqref="E62:H62 J62">
    <cfRule type="expression" dxfId="167" priority="22" stopIfTrue="1">
      <formula>minergiep</formula>
    </cfRule>
  </conditionalFormatting>
  <conditionalFormatting sqref="F17 F20">
    <cfRule type="expression" dxfId="166" priority="23" stopIfTrue="1">
      <formula>AND(Zonen&gt;1)</formula>
    </cfRule>
  </conditionalFormatting>
  <conditionalFormatting sqref="G17">
    <cfRule type="expression" dxfId="165" priority="24" stopIfTrue="1">
      <formula>AND(Zonen&gt;2)</formula>
    </cfRule>
  </conditionalFormatting>
  <conditionalFormatting sqref="H17">
    <cfRule type="expression" dxfId="164" priority="25" stopIfTrue="1">
      <formula>AND(Zonen&gt;3)</formula>
    </cfRule>
  </conditionalFormatting>
  <conditionalFormatting sqref="E29">
    <cfRule type="expression" dxfId="163" priority="26" stopIfTrue="1">
      <formula>OR(Standardlüftung1&gt;2,minergiep)</formula>
    </cfRule>
  </conditionalFormatting>
  <conditionalFormatting sqref="F29">
    <cfRule type="expression" dxfId="162" priority="27" stopIfTrue="1">
      <formula>AND(Zonen&gt;1,OR(Standardlüftung2&gt;2,minergiep))</formula>
    </cfRule>
  </conditionalFormatting>
  <conditionalFormatting sqref="G29">
    <cfRule type="expression" dxfId="161" priority="28" stopIfTrue="1">
      <formula>AND(Zonen&gt;2,OR(Standardlüftung3&gt;2,minergiep))</formula>
    </cfRule>
  </conditionalFormatting>
  <conditionalFormatting sqref="H29">
    <cfRule type="expression" dxfId="160" priority="29" stopIfTrue="1">
      <formula>AND(Zonen&gt;3,OR(Standardlüftung4&gt;2,minergiep))</formula>
    </cfRule>
  </conditionalFormatting>
  <conditionalFormatting sqref="G28">
    <cfRule type="expression" dxfId="159" priority="30" stopIfTrue="1">
      <formula>AND(Zonen&gt;2,Kategorie3&gt;1,Kategorie3&lt;6)</formula>
    </cfRule>
  </conditionalFormatting>
  <conditionalFormatting sqref="E28">
    <cfRule type="expression" dxfId="158" priority="31" stopIfTrue="1">
      <formula>AND(Kategorie1&lt;6,Kategorie1&gt;1)</formula>
    </cfRule>
  </conditionalFormatting>
  <conditionalFormatting sqref="H28">
    <cfRule type="expression" dxfId="157" priority="32" stopIfTrue="1">
      <formula>AND(Zonen&gt;3,Kategorie4&gt;1,Kategorie4&lt;6)</formula>
    </cfRule>
  </conditionalFormatting>
  <conditionalFormatting sqref="F28">
    <cfRule type="expression" dxfId="156" priority="33" stopIfTrue="1">
      <formula>AND(Zonen&gt;1,Kategorie2&gt;1,Kategorie2&lt;6)</formula>
    </cfRule>
  </conditionalFormatting>
  <conditionalFormatting sqref="G20">
    <cfRule type="expression" dxfId="155" priority="34" stopIfTrue="1">
      <formula>AND(Zonen&gt;2)</formula>
    </cfRule>
  </conditionalFormatting>
  <conditionalFormatting sqref="H20">
    <cfRule type="expression" dxfId="154" priority="35" stopIfTrue="1">
      <formula>AND(Zonen&gt;3)</formula>
    </cfRule>
  </conditionalFormatting>
  <conditionalFormatting sqref="F46:G46">
    <cfRule type="expression" dxfId="153" priority="36" stopIfTrue="1">
      <formula>$B$46&lt;&gt;""</formula>
    </cfRule>
  </conditionalFormatting>
  <conditionalFormatting sqref="F47:G47">
    <cfRule type="expression" dxfId="152" priority="37" stopIfTrue="1">
      <formula>$B$47&lt;&gt;""</formula>
    </cfRule>
  </conditionalFormatting>
  <conditionalFormatting sqref="F48:G48">
    <cfRule type="expression" dxfId="151" priority="38" stopIfTrue="1">
      <formula>$B$48&lt;&gt;""</formula>
    </cfRule>
  </conditionalFormatting>
  <conditionalFormatting sqref="F49:G49">
    <cfRule type="expression" dxfId="150" priority="39" stopIfTrue="1">
      <formula>$B$49&lt;&gt;""</formula>
    </cfRule>
  </conditionalFormatting>
  <conditionalFormatting sqref="F50:G50">
    <cfRule type="expression" dxfId="149" priority="40" stopIfTrue="1">
      <formula>$B$50&lt;&gt;""</formula>
    </cfRule>
  </conditionalFormatting>
  <conditionalFormatting sqref="F51:G51">
    <cfRule type="expression" dxfId="148" priority="41" stopIfTrue="1">
      <formula>$B$51&lt;&gt;""</formula>
    </cfRule>
  </conditionalFormatting>
  <conditionalFormatting sqref="F52:G52">
    <cfRule type="expression" dxfId="147" priority="42" stopIfTrue="1">
      <formula>$B$52&lt;&gt;""</formula>
    </cfRule>
  </conditionalFormatting>
  <conditionalFormatting sqref="F53:G53">
    <cfRule type="expression" dxfId="146" priority="43" stopIfTrue="1">
      <formula>$B$53&lt;&gt;""</formula>
    </cfRule>
  </conditionalFormatting>
  <conditionalFormatting sqref="J14">
    <cfRule type="expression" dxfId="145" priority="44" stopIfTrue="1">
      <formula>OR($E$15&lt;$E$14,$F$15&lt;$F$14,$G$15&lt;$G$14,$H$15&lt;$H$14)</formula>
    </cfRule>
    <cfRule type="expression" dxfId="144" priority="45" stopIfTrue="1">
      <formula>BadMisch</formula>
    </cfRule>
  </conditionalFormatting>
  <conditionalFormatting sqref="J15">
    <cfRule type="expression" dxfId="143" priority="46" stopIfTrue="1">
      <formula>BadMisch</formula>
    </cfRule>
  </conditionalFormatting>
  <conditionalFormatting sqref="F60">
    <cfRule type="expression" dxfId="142" priority="47" stopIfTrue="1">
      <formula>AND(Zonen&gt;1,Kategorie2+$G$3&lt;&gt;13)</formula>
    </cfRule>
  </conditionalFormatting>
  <conditionalFormatting sqref="G60">
    <cfRule type="expression" dxfId="141" priority="48" stopIfTrue="1">
      <formula>AND(Zonen&gt;2,Kategorie3&lt;&gt;13)</formula>
    </cfRule>
  </conditionalFormatting>
  <conditionalFormatting sqref="H60">
    <cfRule type="expression" dxfId="140" priority="49" stopIfTrue="1">
      <formula>AND(Zonen&gt;3,Kategorie4&lt;&gt;13)</formula>
    </cfRule>
  </conditionalFormatting>
  <conditionalFormatting sqref="E59">
    <cfRule type="expression" dxfId="139" priority="50" stopIfTrue="1">
      <formula>minergiep=TRUE</formula>
    </cfRule>
    <cfRule type="expression" dxfId="138" priority="51" stopIfTrue="1">
      <formula>Kategorie1=13</formula>
    </cfRule>
  </conditionalFormatting>
  <conditionalFormatting sqref="F59">
    <cfRule type="expression" dxfId="137" priority="52" stopIfTrue="1">
      <formula>AND(Zonen&gt;1,minergiep=FALSE,Kategorie2&lt;&gt;13)</formula>
    </cfRule>
    <cfRule type="expression" dxfId="136" priority="53" stopIfTrue="1">
      <formula>AND(Zonen&gt;1,minergiep=TRUE)</formula>
    </cfRule>
  </conditionalFormatting>
  <conditionalFormatting sqref="G59">
    <cfRule type="expression" dxfId="135" priority="54" stopIfTrue="1">
      <formula>AND(Zonen&gt;2,minergiep=FALSE,Kategorie3&lt;&gt;13)</formula>
    </cfRule>
    <cfRule type="expression" dxfId="134" priority="55" stopIfTrue="1">
      <formula>AND(Zonen&gt;2,minergiep=TRUE)</formula>
    </cfRule>
  </conditionalFormatting>
  <conditionalFormatting sqref="H59">
    <cfRule type="expression" dxfId="133" priority="56" stopIfTrue="1">
      <formula>AND(Zonen&gt;3,minergiep=FALSE,Kategorie4&lt;&gt;13)</formula>
    </cfRule>
    <cfRule type="expression" dxfId="132" priority="57" stopIfTrue="1">
      <formula>AND(Zonen&gt;3,minergiep=TRUE)</formula>
    </cfRule>
  </conditionalFormatting>
  <conditionalFormatting sqref="E36">
    <cfRule type="expression" dxfId="131" priority="58" stopIfTrue="1">
      <formula>Kategorie1=13</formula>
    </cfRule>
    <cfRule type="expression" dxfId="130" priority="59" stopIfTrue="1">
      <formula>$E$58</formula>
    </cfRule>
  </conditionalFormatting>
  <conditionalFormatting sqref="E37">
    <cfRule type="expression" dxfId="129" priority="60" stopIfTrue="1">
      <formula>Kategorie1=13</formula>
    </cfRule>
    <cfRule type="expression" dxfId="128" priority="61" stopIfTrue="1">
      <formula>$E$58</formula>
    </cfRule>
  </conditionalFormatting>
  <conditionalFormatting sqref="G36:G37">
    <cfRule type="expression" dxfId="127" priority="62" stopIfTrue="1">
      <formula>$G$58</formula>
    </cfRule>
    <cfRule type="expression" dxfId="126" priority="63" stopIfTrue="1">
      <formula>AND(Zonen&gt;2,Kategorie3&lt;&gt;13)</formula>
    </cfRule>
  </conditionalFormatting>
  <conditionalFormatting sqref="H36:H37">
    <cfRule type="expression" dxfId="125" priority="64" stopIfTrue="1">
      <formula>$H$58</formula>
    </cfRule>
    <cfRule type="expression" dxfId="124" priority="65" stopIfTrue="1">
      <formula>AND(Zonen&gt;3,Kategorie4&lt;&gt;13)</formula>
    </cfRule>
  </conditionalFormatting>
  <conditionalFormatting sqref="F36:F37">
    <cfRule type="expression" dxfId="123" priority="66" stopIfTrue="1">
      <formula>$F$58</formula>
    </cfRule>
    <cfRule type="expression" dxfId="122" priority="67" stopIfTrue="1">
      <formula>AND(Zonen&gt;1,Kategorie2&lt;&gt;13)</formula>
    </cfRule>
  </conditionalFormatting>
  <conditionalFormatting sqref="J20">
    <cfRule type="cellIs" dxfId="121" priority="68" stopIfTrue="1" operator="lessThan">
      <formula>10000000</formula>
    </cfRule>
  </conditionalFormatting>
  <conditionalFormatting sqref="E38">
    <cfRule type="expression" dxfId="120" priority="69" stopIfTrue="1">
      <formula>Kategorie1=13</formula>
    </cfRule>
    <cfRule type="expression" dxfId="119" priority="70" stopIfTrue="1">
      <formula>$E$57</formula>
    </cfRule>
  </conditionalFormatting>
  <conditionalFormatting sqref="F38">
    <cfRule type="expression" dxfId="118" priority="71" stopIfTrue="1">
      <formula>$F$57</formula>
    </cfRule>
    <cfRule type="expression" dxfId="117" priority="72" stopIfTrue="1">
      <formula>AND(Zonen&gt;1,Kategorie2&lt;&gt;13)</formula>
    </cfRule>
  </conditionalFormatting>
  <conditionalFormatting sqref="G38">
    <cfRule type="expression" dxfId="116" priority="73" stopIfTrue="1">
      <formula>$G$57</formula>
    </cfRule>
    <cfRule type="expression" dxfId="115" priority="74" stopIfTrue="1">
      <formula>AND(Zonen&gt;2,Kategorie3&lt;&gt;13)</formula>
    </cfRule>
  </conditionalFormatting>
  <conditionalFormatting sqref="H38">
    <cfRule type="expression" dxfId="114" priority="75" stopIfTrue="1">
      <formula>$H$57</formula>
    </cfRule>
    <cfRule type="expression" dxfId="113" priority="76" stopIfTrue="1">
      <formula>AND(Zonen&gt;3,Kategorie4&lt;&gt;13)</formula>
    </cfRule>
  </conditionalFormatting>
  <conditionalFormatting sqref="E26">
    <cfRule type="expression" dxfId="112" priority="89" stopIfTrue="1">
      <formula>AND(Kategorie1&gt;3,minergiep=FALSE)</formula>
    </cfRule>
  </conditionalFormatting>
  <conditionalFormatting sqref="F26">
    <cfRule type="expression" dxfId="111" priority="90" stopIfTrue="1">
      <formula>AND(Zonen&gt;1,Kategorie2&lt;4)</formula>
    </cfRule>
    <cfRule type="expression" dxfId="110" priority="91" stopIfTrue="1">
      <formula>AND(Zonen&gt;1,minergiep)</formula>
    </cfRule>
  </conditionalFormatting>
  <conditionalFormatting sqref="G26">
    <cfRule type="expression" dxfId="109" priority="92" stopIfTrue="1">
      <formula>AND(Zonen&gt;2,Kategorie3&lt;4)</formula>
    </cfRule>
    <cfRule type="expression" dxfId="108" priority="93" stopIfTrue="1">
      <formula>AND(Zonen&gt;2,minergiep)</formula>
    </cfRule>
  </conditionalFormatting>
  <conditionalFormatting sqref="H26">
    <cfRule type="expression" dxfId="107" priority="94" stopIfTrue="1">
      <formula>AND(Zonen&gt;3,Kategorie4&lt;4)</formula>
    </cfRule>
    <cfRule type="expression" dxfId="106" priority="95" stopIfTrue="1">
      <formula>AND(Zonen&gt;3,minergiep)</formula>
    </cfRule>
  </conditionalFormatting>
  <conditionalFormatting sqref="E21">
    <cfRule type="expression" dxfId="105" priority="96" stopIfTrue="1">
      <formula>AND(Hoehe&lt;800,minergiep=FALSE,minergiea=FALSE)</formula>
    </cfRule>
    <cfRule type="expression" dxfId="104" priority="97" stopIfTrue="1">
      <formula>OR(AND(minergiep=TRUE,Luftheizung),minergiea=TRUE)</formula>
    </cfRule>
    <cfRule type="expression" dxfId="103" priority="98" stopIfTrue="1">
      <formula>AND(minergiep,Luftheizung=FALSE)</formula>
    </cfRule>
  </conditionalFormatting>
  <conditionalFormatting sqref="F21">
    <cfRule type="expression" dxfId="102" priority="99" stopIfTrue="1">
      <formula>AND(Zonen&gt;1,Hoehe&gt;=800,minergiep=FALSE,minergiea=FALSE)</formula>
    </cfRule>
    <cfRule type="expression" dxfId="101" priority="100" stopIfTrue="1">
      <formula>OR(AND(Zonen&gt;1,AND(minergiep=TRUE,Luftheizung)),AND(Zonen&gt;1,minergiea=TRUE))</formula>
    </cfRule>
    <cfRule type="expression" dxfId="100" priority="101" stopIfTrue="1">
      <formula>AND(Zonen&gt;1,AND(minergiep=TRUE,Luftheizung=FALSE))</formula>
    </cfRule>
  </conditionalFormatting>
  <conditionalFormatting sqref="G21">
    <cfRule type="expression" dxfId="99" priority="102" stopIfTrue="1">
      <formula>AND(Zonen&gt;2,Hoehe&gt;=800,minergiep=FALSE,minergiea=FALSE)</formula>
    </cfRule>
    <cfRule type="expression" dxfId="98" priority="103" stopIfTrue="1">
      <formula>OR(AND(Zonen&gt;2,AND(minergiep=TRUE,Luftheizung)),AND(Zonen&gt;2,minergiea=TRUE))</formula>
    </cfRule>
    <cfRule type="expression" dxfId="97" priority="104" stopIfTrue="1">
      <formula>AND(Zonen&gt;2,AND(minergiep=TRUE,Luftheizung=FALSE))</formula>
    </cfRule>
  </conditionalFormatting>
  <conditionalFormatting sqref="H21">
    <cfRule type="expression" dxfId="96" priority="105" stopIfTrue="1">
      <formula>AND(Zonen&gt;3,Hoehe&gt;=800,minergiep=FALSE,minergiea=FALSE)</formula>
    </cfRule>
    <cfRule type="expression" dxfId="95" priority="106" stopIfTrue="1">
      <formula>OR(AND(Zonen&gt;3,AND(minergiep=TRUE,Luftheizung)),AND(Zonen&gt;3,minergiea=TRUE))</formula>
    </cfRule>
    <cfRule type="expression" dxfId="94" priority="107" stopIfTrue="1">
      <formula>AND(Zonen&gt;3,AND(minergiep=TRUE,Luftheizung=FALSE))</formula>
    </cfRule>
  </conditionalFormatting>
  <conditionalFormatting sqref="E27">
    <cfRule type="expression" dxfId="93" priority="108" stopIfTrue="1">
      <formula>AND(Standardlüftung1=3,AND(minergiea=FALSE,minergiep=FALSE))</formula>
    </cfRule>
  </conditionalFormatting>
  <conditionalFormatting sqref="F27">
    <cfRule type="expression" dxfId="92" priority="109" stopIfTrue="1">
      <formula>AND(Zonen&gt;1,Standardlüftung2=3,AND(minergiea=FALSE,minergiep=FALSE))</formula>
    </cfRule>
  </conditionalFormatting>
  <conditionalFormatting sqref="G27">
    <cfRule type="expression" dxfId="91" priority="110" stopIfTrue="1">
      <formula>AND(Standardlüftung3=3,Zonen&gt;2,AND(minergiea=FALSE,minergiep=FALSE))</formula>
    </cfRule>
  </conditionalFormatting>
  <conditionalFormatting sqref="H27">
    <cfRule type="expression" dxfId="90" priority="111" stopIfTrue="1">
      <formula>AND(Standardlüftung4=3,Zonen&gt;3,AND(minergiea=FALSE,minergiep=FALSE))</formula>
    </cfRule>
  </conditionalFormatting>
  <conditionalFormatting sqref="E30:E31">
    <cfRule type="expression" dxfId="89" priority="112" stopIfTrue="1">
      <formula>AND(Standardlüftung1&gt;2,AND(minergiea=FALSE,minergiep=FALSE))</formula>
    </cfRule>
  </conditionalFormatting>
  <conditionalFormatting sqref="F30:F31">
    <cfRule type="expression" dxfId="88" priority="113" stopIfTrue="1">
      <formula>AND(Zonen&gt;1,Standardlüftung2&gt;2,AND(minergiea=FALSE,minergiep=FALSE))</formula>
    </cfRule>
  </conditionalFormatting>
  <conditionalFormatting sqref="G30:G31">
    <cfRule type="expression" dxfId="87" priority="114" stopIfTrue="1">
      <formula>AND(Zonen&gt;2,Standardlüftung3&gt;2,AND(minergiea=FALSE,minergiep=FALSE))</formula>
    </cfRule>
  </conditionalFormatting>
  <conditionalFormatting sqref="H30:H31">
    <cfRule type="expression" dxfId="86" priority="115" stopIfTrue="1">
      <formula>AND(Zonen&gt;3,Standardlüftung4&gt;2,AND(minergiea=FALSE,minergiep=FALSE))</formula>
    </cfRule>
  </conditionalFormatting>
  <conditionalFormatting sqref="E39">
    <cfRule type="expression" dxfId="85" priority="219" stopIfTrue="1">
      <formula>OR(minergiea=TRUE,minergiep=TRUE)</formula>
    </cfRule>
    <cfRule type="expression" dxfId="84" priority="220" stopIfTrue="1">
      <formula>Kategorie1=13</formula>
    </cfRule>
    <cfRule type="expression" dxfId="83" priority="221" stopIfTrue="1">
      <formula>$E$56</formula>
    </cfRule>
  </conditionalFormatting>
  <conditionalFormatting sqref="F39">
    <cfRule type="expression" dxfId="82" priority="222" stopIfTrue="1">
      <formula>AND(Zonen&gt;1,OR(minergiea=TRUE,minergiep=TRUE))</formula>
    </cfRule>
    <cfRule type="expression" dxfId="81" priority="223" stopIfTrue="1">
      <formula>$F$56</formula>
    </cfRule>
    <cfRule type="expression" dxfId="80" priority="224" stopIfTrue="1">
      <formula>AND(Zonen&gt;1,minergiep=FALSE,Kategorie2&lt;&gt;13)</formula>
    </cfRule>
  </conditionalFormatting>
  <conditionalFormatting sqref="G39">
    <cfRule type="expression" dxfId="79" priority="225" stopIfTrue="1">
      <formula>AND(Zonen&gt;2,OR(minergiea=TRUE,minergiep=TRUE))</formula>
    </cfRule>
    <cfRule type="expression" dxfId="78" priority="226" stopIfTrue="1">
      <formula>$G$56</formula>
    </cfRule>
    <cfRule type="expression" dxfId="77" priority="227" stopIfTrue="1">
      <formula>AND(Zonen&gt;2,minergiep=FALSE,Kategorie3&lt;&gt;13)</formula>
    </cfRule>
  </conditionalFormatting>
  <conditionalFormatting sqref="H39">
    <cfRule type="expression" dxfId="76" priority="228" stopIfTrue="1">
      <formula>AND(Zonen&gt;3,OR(minergiea=TRUE,minergiep=TRUE))</formula>
    </cfRule>
    <cfRule type="expression" dxfId="75" priority="229" stopIfTrue="1">
      <formula>$H$56</formula>
    </cfRule>
    <cfRule type="expression" dxfId="74" priority="230" stopIfTrue="1">
      <formula>AND(Zonen&gt;3,minergiep=FALSE,Kategorie4&lt;&gt;13)</formula>
    </cfRule>
  </conditionalFormatting>
  <pageMargins left="0.57999999999999996" right="0.35433070866141736" top="0.32" bottom="0.42" header="0.19685039370078741" footer="0.27"/>
  <pageSetup paperSize="9" scale="99" orientation="portrait" horizontalDpi="300" verticalDpi="300"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6" r:id="rId4" name="Drop Down 56">
              <controlPr defaultSize="0" print="0" autoLine="0" autoPict="0">
                <anchor moveWithCells="1" sizeWithCells="1">
                  <from>
                    <xdr:col>4</xdr:col>
                    <xdr:colOff>0</xdr:colOff>
                    <xdr:row>11</xdr:row>
                    <xdr:rowOff>38100</xdr:rowOff>
                  </from>
                  <to>
                    <xdr:col>5</xdr:col>
                    <xdr:colOff>0</xdr:colOff>
                    <xdr:row>11</xdr:row>
                    <xdr:rowOff>266700</xdr:rowOff>
                  </to>
                </anchor>
              </controlPr>
            </control>
          </mc:Choice>
        </mc:AlternateContent>
        <mc:AlternateContent xmlns:mc="http://schemas.openxmlformats.org/markup-compatibility/2006">
          <mc:Choice Requires="x14">
            <control shapeId="10297" r:id="rId5" name="Drop Down 57">
              <controlPr defaultSize="0" print="0" autoLine="0" autoPict="0">
                <anchor moveWithCells="1" sizeWithCells="1">
                  <from>
                    <xdr:col>5</xdr:col>
                    <xdr:colOff>0</xdr:colOff>
                    <xdr:row>11</xdr:row>
                    <xdr:rowOff>38100</xdr:rowOff>
                  </from>
                  <to>
                    <xdr:col>6</xdr:col>
                    <xdr:colOff>0</xdr:colOff>
                    <xdr:row>11</xdr:row>
                    <xdr:rowOff>266700</xdr:rowOff>
                  </to>
                </anchor>
              </controlPr>
            </control>
          </mc:Choice>
        </mc:AlternateContent>
        <mc:AlternateContent xmlns:mc="http://schemas.openxmlformats.org/markup-compatibility/2006">
          <mc:Choice Requires="x14">
            <control shapeId="10298" r:id="rId6" name="Drop Down 58">
              <controlPr defaultSize="0" print="0" autoLine="0" autoPict="0">
                <anchor moveWithCells="1" sizeWithCells="1">
                  <from>
                    <xdr:col>6</xdr:col>
                    <xdr:colOff>0</xdr:colOff>
                    <xdr:row>11</xdr:row>
                    <xdr:rowOff>38100</xdr:rowOff>
                  </from>
                  <to>
                    <xdr:col>7</xdr:col>
                    <xdr:colOff>0</xdr:colOff>
                    <xdr:row>11</xdr:row>
                    <xdr:rowOff>266700</xdr:rowOff>
                  </to>
                </anchor>
              </controlPr>
            </control>
          </mc:Choice>
        </mc:AlternateContent>
        <mc:AlternateContent xmlns:mc="http://schemas.openxmlformats.org/markup-compatibility/2006">
          <mc:Choice Requires="x14">
            <control shapeId="10299" r:id="rId7" name="Drop Down 59">
              <controlPr defaultSize="0" print="0" autoLine="0" autoPict="0">
                <anchor moveWithCells="1" sizeWithCells="1">
                  <from>
                    <xdr:col>7</xdr:col>
                    <xdr:colOff>0</xdr:colOff>
                    <xdr:row>11</xdr:row>
                    <xdr:rowOff>38100</xdr:rowOff>
                  </from>
                  <to>
                    <xdr:col>8</xdr:col>
                    <xdr:colOff>0</xdr:colOff>
                    <xdr:row>11</xdr:row>
                    <xdr:rowOff>266700</xdr:rowOff>
                  </to>
                </anchor>
              </controlPr>
            </control>
          </mc:Choice>
        </mc:AlternateContent>
        <mc:AlternateContent xmlns:mc="http://schemas.openxmlformats.org/markup-compatibility/2006">
          <mc:Choice Requires="x14">
            <control shapeId="10300" r:id="rId8" name="Drop Down 60">
              <controlPr defaultSize="0" autoLine="0" autoPict="0">
                <anchor moveWithCells="1" sizeWithCells="1">
                  <from>
                    <xdr:col>7</xdr:col>
                    <xdr:colOff>38100</xdr:colOff>
                    <xdr:row>8</xdr:row>
                    <xdr:rowOff>7620</xdr:rowOff>
                  </from>
                  <to>
                    <xdr:col>9</xdr:col>
                    <xdr:colOff>601980</xdr:colOff>
                    <xdr:row>8</xdr:row>
                    <xdr:rowOff>236220</xdr:rowOff>
                  </to>
                </anchor>
              </controlPr>
            </control>
          </mc:Choice>
        </mc:AlternateContent>
        <mc:AlternateContent xmlns:mc="http://schemas.openxmlformats.org/markup-compatibility/2006">
          <mc:Choice Requires="x14">
            <control shapeId="10301" r:id="rId9" name="Drop Down 61">
              <controlPr defaultSize="0" print="0" autoLine="0" autoPict="0">
                <anchor moveWithCells="1" sizeWithCells="1">
                  <from>
                    <xdr:col>4</xdr:col>
                    <xdr:colOff>0</xdr:colOff>
                    <xdr:row>26</xdr:row>
                    <xdr:rowOff>45720</xdr:rowOff>
                  </from>
                  <to>
                    <xdr:col>5</xdr:col>
                    <xdr:colOff>0</xdr:colOff>
                    <xdr:row>26</xdr:row>
                    <xdr:rowOff>266700</xdr:rowOff>
                  </to>
                </anchor>
              </controlPr>
            </control>
          </mc:Choice>
        </mc:AlternateContent>
        <mc:AlternateContent xmlns:mc="http://schemas.openxmlformats.org/markup-compatibility/2006">
          <mc:Choice Requires="x14">
            <control shapeId="10302" r:id="rId10" name="Drop Down 62">
              <controlPr defaultSize="0" print="0" autoLine="0" autoPict="0">
                <anchor moveWithCells="1" sizeWithCells="1">
                  <from>
                    <xdr:col>5</xdr:col>
                    <xdr:colOff>0</xdr:colOff>
                    <xdr:row>26</xdr:row>
                    <xdr:rowOff>45720</xdr:rowOff>
                  </from>
                  <to>
                    <xdr:col>6</xdr:col>
                    <xdr:colOff>0</xdr:colOff>
                    <xdr:row>26</xdr:row>
                    <xdr:rowOff>266700</xdr:rowOff>
                  </to>
                </anchor>
              </controlPr>
            </control>
          </mc:Choice>
        </mc:AlternateContent>
        <mc:AlternateContent xmlns:mc="http://schemas.openxmlformats.org/markup-compatibility/2006">
          <mc:Choice Requires="x14">
            <control shapeId="10303" r:id="rId11" name="Drop Down 63">
              <controlPr defaultSize="0" print="0" autoLine="0" autoPict="0">
                <anchor moveWithCells="1" sizeWithCells="1">
                  <from>
                    <xdr:col>6</xdr:col>
                    <xdr:colOff>0</xdr:colOff>
                    <xdr:row>26</xdr:row>
                    <xdr:rowOff>45720</xdr:rowOff>
                  </from>
                  <to>
                    <xdr:col>7</xdr:col>
                    <xdr:colOff>0</xdr:colOff>
                    <xdr:row>26</xdr:row>
                    <xdr:rowOff>266700</xdr:rowOff>
                  </to>
                </anchor>
              </controlPr>
            </control>
          </mc:Choice>
        </mc:AlternateContent>
        <mc:AlternateContent xmlns:mc="http://schemas.openxmlformats.org/markup-compatibility/2006">
          <mc:Choice Requires="x14">
            <control shapeId="10304" r:id="rId12" name="Drop Down 64">
              <controlPr defaultSize="0" print="0" autoLine="0" autoPict="0">
                <anchor moveWithCells="1" sizeWithCells="1">
                  <from>
                    <xdr:col>7</xdr:col>
                    <xdr:colOff>0</xdr:colOff>
                    <xdr:row>26</xdr:row>
                    <xdr:rowOff>45720</xdr:rowOff>
                  </from>
                  <to>
                    <xdr:col>8</xdr:col>
                    <xdr:colOff>0</xdr:colOff>
                    <xdr:row>26</xdr:row>
                    <xdr:rowOff>266700</xdr:rowOff>
                  </to>
                </anchor>
              </controlPr>
            </control>
          </mc:Choice>
        </mc:AlternateContent>
        <mc:AlternateContent xmlns:mc="http://schemas.openxmlformats.org/markup-compatibility/2006">
          <mc:Choice Requires="x14">
            <control shapeId="10305" r:id="rId13" name="Drop Down 65">
              <controlPr defaultSize="0" print="0" autoLine="0" autoPict="0">
                <anchor moveWithCells="1" sizeWithCells="1">
                  <from>
                    <xdr:col>4</xdr:col>
                    <xdr:colOff>0</xdr:colOff>
                    <xdr:row>16</xdr:row>
                    <xdr:rowOff>38100</xdr:rowOff>
                  </from>
                  <to>
                    <xdr:col>5</xdr:col>
                    <xdr:colOff>0</xdr:colOff>
                    <xdr:row>16</xdr:row>
                    <xdr:rowOff>266700</xdr:rowOff>
                  </to>
                </anchor>
              </controlPr>
            </control>
          </mc:Choice>
        </mc:AlternateContent>
        <mc:AlternateContent xmlns:mc="http://schemas.openxmlformats.org/markup-compatibility/2006">
          <mc:Choice Requires="x14">
            <control shapeId="10306" r:id="rId14" name="Drop Down 66">
              <controlPr defaultSize="0" print="0" autoLine="0" autoPict="0">
                <anchor moveWithCells="1" sizeWithCells="1">
                  <from>
                    <xdr:col>5</xdr:col>
                    <xdr:colOff>0</xdr:colOff>
                    <xdr:row>16</xdr:row>
                    <xdr:rowOff>38100</xdr:rowOff>
                  </from>
                  <to>
                    <xdr:col>6</xdr:col>
                    <xdr:colOff>0</xdr:colOff>
                    <xdr:row>16</xdr:row>
                    <xdr:rowOff>266700</xdr:rowOff>
                  </to>
                </anchor>
              </controlPr>
            </control>
          </mc:Choice>
        </mc:AlternateContent>
        <mc:AlternateContent xmlns:mc="http://schemas.openxmlformats.org/markup-compatibility/2006">
          <mc:Choice Requires="x14">
            <control shapeId="10307" r:id="rId15" name="Drop Down 67">
              <controlPr defaultSize="0" print="0" autoLine="0" autoPict="0">
                <anchor moveWithCells="1" sizeWithCells="1">
                  <from>
                    <xdr:col>6</xdr:col>
                    <xdr:colOff>0</xdr:colOff>
                    <xdr:row>16</xdr:row>
                    <xdr:rowOff>38100</xdr:rowOff>
                  </from>
                  <to>
                    <xdr:col>7</xdr:col>
                    <xdr:colOff>0</xdr:colOff>
                    <xdr:row>16</xdr:row>
                    <xdr:rowOff>266700</xdr:rowOff>
                  </to>
                </anchor>
              </controlPr>
            </control>
          </mc:Choice>
        </mc:AlternateContent>
        <mc:AlternateContent xmlns:mc="http://schemas.openxmlformats.org/markup-compatibility/2006">
          <mc:Choice Requires="x14">
            <control shapeId="10308" r:id="rId16" name="Drop Down 68">
              <controlPr defaultSize="0" print="0" autoLine="0" autoPict="0">
                <anchor moveWithCells="1" sizeWithCells="1">
                  <from>
                    <xdr:col>7</xdr:col>
                    <xdr:colOff>0</xdr:colOff>
                    <xdr:row>16</xdr:row>
                    <xdr:rowOff>38100</xdr:rowOff>
                  </from>
                  <to>
                    <xdr:col>8</xdr:col>
                    <xdr:colOff>0</xdr:colOff>
                    <xdr:row>16</xdr:row>
                    <xdr:rowOff>266700</xdr:rowOff>
                  </to>
                </anchor>
              </controlPr>
            </control>
          </mc:Choice>
        </mc:AlternateContent>
        <mc:AlternateContent xmlns:mc="http://schemas.openxmlformats.org/markup-compatibility/2006">
          <mc:Choice Requires="x14">
            <control shapeId="10309" r:id="rId17" name="Drop Down 69">
              <controlPr defaultSize="0" print="0" autoLine="0" autoPict="0">
                <anchor moveWithCells="1" sizeWithCells="1">
                  <from>
                    <xdr:col>4</xdr:col>
                    <xdr:colOff>0</xdr:colOff>
                    <xdr:row>25</xdr:row>
                    <xdr:rowOff>45720</xdr:rowOff>
                  </from>
                  <to>
                    <xdr:col>5</xdr:col>
                    <xdr:colOff>0</xdr:colOff>
                    <xdr:row>25</xdr:row>
                    <xdr:rowOff>266700</xdr:rowOff>
                  </to>
                </anchor>
              </controlPr>
            </control>
          </mc:Choice>
        </mc:AlternateContent>
        <mc:AlternateContent xmlns:mc="http://schemas.openxmlformats.org/markup-compatibility/2006">
          <mc:Choice Requires="x14">
            <control shapeId="10310" r:id="rId18" name="Drop Down 70">
              <controlPr defaultSize="0" print="0" autoLine="0" autoPict="0">
                <anchor moveWithCells="1" sizeWithCells="1">
                  <from>
                    <xdr:col>5</xdr:col>
                    <xdr:colOff>0</xdr:colOff>
                    <xdr:row>25</xdr:row>
                    <xdr:rowOff>45720</xdr:rowOff>
                  </from>
                  <to>
                    <xdr:col>6</xdr:col>
                    <xdr:colOff>0</xdr:colOff>
                    <xdr:row>25</xdr:row>
                    <xdr:rowOff>266700</xdr:rowOff>
                  </to>
                </anchor>
              </controlPr>
            </control>
          </mc:Choice>
        </mc:AlternateContent>
        <mc:AlternateContent xmlns:mc="http://schemas.openxmlformats.org/markup-compatibility/2006">
          <mc:Choice Requires="x14">
            <control shapeId="10311" r:id="rId19" name="Drop Down 71">
              <controlPr defaultSize="0" print="0" autoLine="0" autoPict="0">
                <anchor moveWithCells="1" sizeWithCells="1">
                  <from>
                    <xdr:col>6</xdr:col>
                    <xdr:colOff>0</xdr:colOff>
                    <xdr:row>25</xdr:row>
                    <xdr:rowOff>45720</xdr:rowOff>
                  </from>
                  <to>
                    <xdr:col>7</xdr:col>
                    <xdr:colOff>0</xdr:colOff>
                    <xdr:row>25</xdr:row>
                    <xdr:rowOff>266700</xdr:rowOff>
                  </to>
                </anchor>
              </controlPr>
            </control>
          </mc:Choice>
        </mc:AlternateContent>
        <mc:AlternateContent xmlns:mc="http://schemas.openxmlformats.org/markup-compatibility/2006">
          <mc:Choice Requires="x14">
            <control shapeId="10312" r:id="rId20" name="Drop Down 72">
              <controlPr defaultSize="0" print="0" autoLine="0" autoPict="0">
                <anchor moveWithCells="1" sizeWithCells="1">
                  <from>
                    <xdr:col>7</xdr:col>
                    <xdr:colOff>0</xdr:colOff>
                    <xdr:row>25</xdr:row>
                    <xdr:rowOff>45720</xdr:rowOff>
                  </from>
                  <to>
                    <xdr:col>8</xdr:col>
                    <xdr:colOff>0</xdr:colOff>
                    <xdr:row>25</xdr:row>
                    <xdr:rowOff>266700</xdr:rowOff>
                  </to>
                </anchor>
              </controlPr>
            </control>
          </mc:Choice>
        </mc:AlternateContent>
        <mc:AlternateContent xmlns:mc="http://schemas.openxmlformats.org/markup-compatibility/2006">
          <mc:Choice Requires="x14">
            <control shapeId="10313" r:id="rId21" name="Check Box 73">
              <controlPr defaultSize="0" autoFill="0" autoLine="0" autoPict="0">
                <anchor moveWithCells="1" sizeWithCells="1">
                  <from>
                    <xdr:col>5</xdr:col>
                    <xdr:colOff>342900</xdr:colOff>
                    <xdr:row>46</xdr:row>
                    <xdr:rowOff>7620</xdr:rowOff>
                  </from>
                  <to>
                    <xdr:col>5</xdr:col>
                    <xdr:colOff>601980</xdr:colOff>
                    <xdr:row>47</xdr:row>
                    <xdr:rowOff>7620</xdr:rowOff>
                  </to>
                </anchor>
              </controlPr>
            </control>
          </mc:Choice>
        </mc:AlternateContent>
        <mc:AlternateContent xmlns:mc="http://schemas.openxmlformats.org/markup-compatibility/2006">
          <mc:Choice Requires="x14">
            <control shapeId="10314" r:id="rId22" name="Check Box 74">
              <controlPr defaultSize="0" autoFill="0" autoLine="0" autoPict="0">
                <anchor moveWithCells="1" sizeWithCells="1">
                  <from>
                    <xdr:col>5</xdr:col>
                    <xdr:colOff>342900</xdr:colOff>
                    <xdr:row>47</xdr:row>
                    <xdr:rowOff>7620</xdr:rowOff>
                  </from>
                  <to>
                    <xdr:col>5</xdr:col>
                    <xdr:colOff>601980</xdr:colOff>
                    <xdr:row>48</xdr:row>
                    <xdr:rowOff>0</xdr:rowOff>
                  </to>
                </anchor>
              </controlPr>
            </control>
          </mc:Choice>
        </mc:AlternateContent>
        <mc:AlternateContent xmlns:mc="http://schemas.openxmlformats.org/markup-compatibility/2006">
          <mc:Choice Requires="x14">
            <control shapeId="10315" r:id="rId23" name="Check Box 75">
              <controlPr defaultSize="0" autoFill="0" autoLine="0" autoPict="0">
                <anchor moveWithCells="1" sizeWithCells="1">
                  <from>
                    <xdr:col>6</xdr:col>
                    <xdr:colOff>213360</xdr:colOff>
                    <xdr:row>47</xdr:row>
                    <xdr:rowOff>7620</xdr:rowOff>
                  </from>
                  <to>
                    <xdr:col>6</xdr:col>
                    <xdr:colOff>457200</xdr:colOff>
                    <xdr:row>48</xdr:row>
                    <xdr:rowOff>0</xdr:rowOff>
                  </to>
                </anchor>
              </controlPr>
            </control>
          </mc:Choice>
        </mc:AlternateContent>
        <mc:AlternateContent xmlns:mc="http://schemas.openxmlformats.org/markup-compatibility/2006">
          <mc:Choice Requires="x14">
            <control shapeId="10316" r:id="rId24" name="Check Box 76">
              <controlPr defaultSize="0" autoFill="0" autoLine="0" autoPict="0">
                <anchor moveWithCells="1" sizeWithCells="1">
                  <from>
                    <xdr:col>5</xdr:col>
                    <xdr:colOff>342900</xdr:colOff>
                    <xdr:row>48</xdr:row>
                    <xdr:rowOff>7620</xdr:rowOff>
                  </from>
                  <to>
                    <xdr:col>5</xdr:col>
                    <xdr:colOff>601980</xdr:colOff>
                    <xdr:row>49</xdr:row>
                    <xdr:rowOff>0</xdr:rowOff>
                  </to>
                </anchor>
              </controlPr>
            </control>
          </mc:Choice>
        </mc:AlternateContent>
        <mc:AlternateContent xmlns:mc="http://schemas.openxmlformats.org/markup-compatibility/2006">
          <mc:Choice Requires="x14">
            <control shapeId="10317" r:id="rId25" name="Check Box 77">
              <controlPr defaultSize="0" autoFill="0" autoLine="0" autoPict="0">
                <anchor moveWithCells="1" sizeWithCells="1">
                  <from>
                    <xdr:col>5</xdr:col>
                    <xdr:colOff>342900</xdr:colOff>
                    <xdr:row>49</xdr:row>
                    <xdr:rowOff>7620</xdr:rowOff>
                  </from>
                  <to>
                    <xdr:col>5</xdr:col>
                    <xdr:colOff>601980</xdr:colOff>
                    <xdr:row>50</xdr:row>
                    <xdr:rowOff>0</xdr:rowOff>
                  </to>
                </anchor>
              </controlPr>
            </control>
          </mc:Choice>
        </mc:AlternateContent>
        <mc:AlternateContent xmlns:mc="http://schemas.openxmlformats.org/markup-compatibility/2006">
          <mc:Choice Requires="x14">
            <control shapeId="10318" r:id="rId26" name="Check Box 78">
              <controlPr defaultSize="0" autoFill="0" autoLine="0" autoPict="0">
                <anchor moveWithCells="1" sizeWithCells="1">
                  <from>
                    <xdr:col>5</xdr:col>
                    <xdr:colOff>342900</xdr:colOff>
                    <xdr:row>50</xdr:row>
                    <xdr:rowOff>7620</xdr:rowOff>
                  </from>
                  <to>
                    <xdr:col>5</xdr:col>
                    <xdr:colOff>601980</xdr:colOff>
                    <xdr:row>51</xdr:row>
                    <xdr:rowOff>0</xdr:rowOff>
                  </to>
                </anchor>
              </controlPr>
            </control>
          </mc:Choice>
        </mc:AlternateContent>
        <mc:AlternateContent xmlns:mc="http://schemas.openxmlformats.org/markup-compatibility/2006">
          <mc:Choice Requires="x14">
            <control shapeId="10319" r:id="rId27" name="Check Box 79">
              <controlPr defaultSize="0" autoFill="0" autoLine="0" autoPict="0">
                <anchor moveWithCells="1" sizeWithCells="1">
                  <from>
                    <xdr:col>5</xdr:col>
                    <xdr:colOff>342900</xdr:colOff>
                    <xdr:row>51</xdr:row>
                    <xdr:rowOff>7620</xdr:rowOff>
                  </from>
                  <to>
                    <xdr:col>5</xdr:col>
                    <xdr:colOff>601980</xdr:colOff>
                    <xdr:row>52</xdr:row>
                    <xdr:rowOff>0</xdr:rowOff>
                  </to>
                </anchor>
              </controlPr>
            </control>
          </mc:Choice>
        </mc:AlternateContent>
        <mc:AlternateContent xmlns:mc="http://schemas.openxmlformats.org/markup-compatibility/2006">
          <mc:Choice Requires="x14">
            <control shapeId="10320" r:id="rId28" name="Check Box 80">
              <controlPr defaultSize="0" autoFill="0" autoLine="0" autoPict="0">
                <anchor moveWithCells="1" sizeWithCells="1">
                  <from>
                    <xdr:col>6</xdr:col>
                    <xdr:colOff>213360</xdr:colOff>
                    <xdr:row>48</xdr:row>
                    <xdr:rowOff>7620</xdr:rowOff>
                  </from>
                  <to>
                    <xdr:col>6</xdr:col>
                    <xdr:colOff>457200</xdr:colOff>
                    <xdr:row>49</xdr:row>
                    <xdr:rowOff>0</xdr:rowOff>
                  </to>
                </anchor>
              </controlPr>
            </control>
          </mc:Choice>
        </mc:AlternateContent>
        <mc:AlternateContent xmlns:mc="http://schemas.openxmlformats.org/markup-compatibility/2006">
          <mc:Choice Requires="x14">
            <control shapeId="10321" r:id="rId29" name="Check Box 81">
              <controlPr defaultSize="0" autoFill="0" autoLine="0" autoPict="0">
                <anchor moveWithCells="1" sizeWithCells="1">
                  <from>
                    <xdr:col>6</xdr:col>
                    <xdr:colOff>213360</xdr:colOff>
                    <xdr:row>49</xdr:row>
                    <xdr:rowOff>7620</xdr:rowOff>
                  </from>
                  <to>
                    <xdr:col>6</xdr:col>
                    <xdr:colOff>457200</xdr:colOff>
                    <xdr:row>50</xdr:row>
                    <xdr:rowOff>0</xdr:rowOff>
                  </to>
                </anchor>
              </controlPr>
            </control>
          </mc:Choice>
        </mc:AlternateContent>
        <mc:AlternateContent xmlns:mc="http://schemas.openxmlformats.org/markup-compatibility/2006">
          <mc:Choice Requires="x14">
            <control shapeId="10322" r:id="rId30" name="Check Box 82">
              <controlPr defaultSize="0" autoFill="0" autoLine="0" autoPict="0">
                <anchor moveWithCells="1" sizeWithCells="1">
                  <from>
                    <xdr:col>5</xdr:col>
                    <xdr:colOff>342900</xdr:colOff>
                    <xdr:row>52</xdr:row>
                    <xdr:rowOff>7620</xdr:rowOff>
                  </from>
                  <to>
                    <xdr:col>5</xdr:col>
                    <xdr:colOff>601980</xdr:colOff>
                    <xdr:row>53</xdr:row>
                    <xdr:rowOff>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sizeWithCells="1">
                  <from>
                    <xdr:col>6</xdr:col>
                    <xdr:colOff>213360</xdr:colOff>
                    <xdr:row>46</xdr:row>
                    <xdr:rowOff>7620</xdr:rowOff>
                  </from>
                  <to>
                    <xdr:col>6</xdr:col>
                    <xdr:colOff>457200</xdr:colOff>
                    <xdr:row>47</xdr:row>
                    <xdr:rowOff>7620</xdr:rowOff>
                  </to>
                </anchor>
              </controlPr>
            </control>
          </mc:Choice>
        </mc:AlternateContent>
        <mc:AlternateContent xmlns:mc="http://schemas.openxmlformats.org/markup-compatibility/2006">
          <mc:Choice Requires="x14">
            <control shapeId="10324" r:id="rId32" name="Check Box 84">
              <controlPr defaultSize="0" autoFill="0" autoLine="0" autoPict="0">
                <anchor moveWithCells="1" sizeWithCells="1">
                  <from>
                    <xdr:col>6</xdr:col>
                    <xdr:colOff>213360</xdr:colOff>
                    <xdr:row>50</xdr:row>
                    <xdr:rowOff>7620</xdr:rowOff>
                  </from>
                  <to>
                    <xdr:col>6</xdr:col>
                    <xdr:colOff>457200</xdr:colOff>
                    <xdr:row>51</xdr:row>
                    <xdr:rowOff>0</xdr:rowOff>
                  </to>
                </anchor>
              </controlPr>
            </control>
          </mc:Choice>
        </mc:AlternateContent>
        <mc:AlternateContent xmlns:mc="http://schemas.openxmlformats.org/markup-compatibility/2006">
          <mc:Choice Requires="x14">
            <control shapeId="10325" r:id="rId33" name="Check Box 85">
              <controlPr defaultSize="0" autoFill="0" autoLine="0" autoPict="0">
                <anchor moveWithCells="1" sizeWithCells="1">
                  <from>
                    <xdr:col>6</xdr:col>
                    <xdr:colOff>213360</xdr:colOff>
                    <xdr:row>51</xdr:row>
                    <xdr:rowOff>7620</xdr:rowOff>
                  </from>
                  <to>
                    <xdr:col>6</xdr:col>
                    <xdr:colOff>457200</xdr:colOff>
                    <xdr:row>52</xdr:row>
                    <xdr:rowOff>0</xdr:rowOff>
                  </to>
                </anchor>
              </controlPr>
            </control>
          </mc:Choice>
        </mc:AlternateContent>
        <mc:AlternateContent xmlns:mc="http://schemas.openxmlformats.org/markup-compatibility/2006">
          <mc:Choice Requires="x14">
            <control shapeId="10326" r:id="rId34" name="Check Box 86">
              <controlPr defaultSize="0" autoFill="0" autoLine="0" autoPict="0">
                <anchor moveWithCells="1" sizeWithCells="1">
                  <from>
                    <xdr:col>6</xdr:col>
                    <xdr:colOff>213360</xdr:colOff>
                    <xdr:row>52</xdr:row>
                    <xdr:rowOff>7620</xdr:rowOff>
                  </from>
                  <to>
                    <xdr:col>6</xdr:col>
                    <xdr:colOff>457200</xdr:colOff>
                    <xdr:row>53</xdr:row>
                    <xdr:rowOff>0</xdr:rowOff>
                  </to>
                </anchor>
              </controlPr>
            </control>
          </mc:Choice>
        </mc:AlternateContent>
        <mc:AlternateContent xmlns:mc="http://schemas.openxmlformats.org/markup-compatibility/2006">
          <mc:Choice Requires="x14">
            <control shapeId="10327" r:id="rId35" name="Drop Down 87">
              <controlPr defaultSize="0" print="0" autoLine="0" autoPict="0">
                <anchor moveWithCells="1" sizeWithCells="1">
                  <from>
                    <xdr:col>4</xdr:col>
                    <xdr:colOff>0</xdr:colOff>
                    <xdr:row>29</xdr:row>
                    <xdr:rowOff>45720</xdr:rowOff>
                  </from>
                  <to>
                    <xdr:col>5</xdr:col>
                    <xdr:colOff>0</xdr:colOff>
                    <xdr:row>29</xdr:row>
                    <xdr:rowOff>266700</xdr:rowOff>
                  </to>
                </anchor>
              </controlPr>
            </control>
          </mc:Choice>
        </mc:AlternateContent>
        <mc:AlternateContent xmlns:mc="http://schemas.openxmlformats.org/markup-compatibility/2006">
          <mc:Choice Requires="x14">
            <control shapeId="10328" r:id="rId36" name="Drop Down 88">
              <controlPr defaultSize="0" print="0" autoLine="0" autoPict="0">
                <anchor moveWithCells="1" sizeWithCells="1">
                  <from>
                    <xdr:col>5</xdr:col>
                    <xdr:colOff>0</xdr:colOff>
                    <xdr:row>29</xdr:row>
                    <xdr:rowOff>45720</xdr:rowOff>
                  </from>
                  <to>
                    <xdr:col>6</xdr:col>
                    <xdr:colOff>0</xdr:colOff>
                    <xdr:row>29</xdr:row>
                    <xdr:rowOff>266700</xdr:rowOff>
                  </to>
                </anchor>
              </controlPr>
            </control>
          </mc:Choice>
        </mc:AlternateContent>
        <mc:AlternateContent xmlns:mc="http://schemas.openxmlformats.org/markup-compatibility/2006">
          <mc:Choice Requires="x14">
            <control shapeId="10329" r:id="rId37" name="Drop Down 89">
              <controlPr defaultSize="0" print="0" autoLine="0" autoPict="0">
                <anchor moveWithCells="1" sizeWithCells="1">
                  <from>
                    <xdr:col>6</xdr:col>
                    <xdr:colOff>0</xdr:colOff>
                    <xdr:row>29</xdr:row>
                    <xdr:rowOff>45720</xdr:rowOff>
                  </from>
                  <to>
                    <xdr:col>7</xdr:col>
                    <xdr:colOff>0</xdr:colOff>
                    <xdr:row>29</xdr:row>
                    <xdr:rowOff>266700</xdr:rowOff>
                  </to>
                </anchor>
              </controlPr>
            </control>
          </mc:Choice>
        </mc:AlternateContent>
        <mc:AlternateContent xmlns:mc="http://schemas.openxmlformats.org/markup-compatibility/2006">
          <mc:Choice Requires="x14">
            <control shapeId="10330" r:id="rId38" name="Drop Down 90">
              <controlPr defaultSize="0" print="0" autoLine="0" autoPict="0">
                <anchor moveWithCells="1" sizeWithCells="1">
                  <from>
                    <xdr:col>7</xdr:col>
                    <xdr:colOff>0</xdr:colOff>
                    <xdr:row>29</xdr:row>
                    <xdr:rowOff>45720</xdr:rowOff>
                  </from>
                  <to>
                    <xdr:col>8</xdr:col>
                    <xdr:colOff>0</xdr:colOff>
                    <xdr:row>29</xdr:row>
                    <xdr:rowOff>266700</xdr:rowOff>
                  </to>
                </anchor>
              </controlPr>
            </control>
          </mc:Choice>
        </mc:AlternateContent>
        <mc:AlternateContent xmlns:mc="http://schemas.openxmlformats.org/markup-compatibility/2006">
          <mc:Choice Requires="x14">
            <control shapeId="10331" r:id="rId39" name="Drop Down 91">
              <controlPr defaultSize="0" print="0" autoLine="0" autoPict="0">
                <anchor moveWithCells="1" sizeWithCells="1">
                  <from>
                    <xdr:col>4</xdr:col>
                    <xdr:colOff>0</xdr:colOff>
                    <xdr:row>30</xdr:row>
                    <xdr:rowOff>45720</xdr:rowOff>
                  </from>
                  <to>
                    <xdr:col>5</xdr:col>
                    <xdr:colOff>0</xdr:colOff>
                    <xdr:row>30</xdr:row>
                    <xdr:rowOff>266700</xdr:rowOff>
                  </to>
                </anchor>
              </controlPr>
            </control>
          </mc:Choice>
        </mc:AlternateContent>
        <mc:AlternateContent xmlns:mc="http://schemas.openxmlformats.org/markup-compatibility/2006">
          <mc:Choice Requires="x14">
            <control shapeId="10332" r:id="rId40" name="Drop Down 92">
              <controlPr defaultSize="0" print="0" autoLine="0" autoPict="0">
                <anchor moveWithCells="1" sizeWithCells="1">
                  <from>
                    <xdr:col>5</xdr:col>
                    <xdr:colOff>0</xdr:colOff>
                    <xdr:row>30</xdr:row>
                    <xdr:rowOff>45720</xdr:rowOff>
                  </from>
                  <to>
                    <xdr:col>6</xdr:col>
                    <xdr:colOff>0</xdr:colOff>
                    <xdr:row>30</xdr:row>
                    <xdr:rowOff>266700</xdr:rowOff>
                  </to>
                </anchor>
              </controlPr>
            </control>
          </mc:Choice>
        </mc:AlternateContent>
        <mc:AlternateContent xmlns:mc="http://schemas.openxmlformats.org/markup-compatibility/2006">
          <mc:Choice Requires="x14">
            <control shapeId="10333" r:id="rId41" name="Drop Down 93">
              <controlPr defaultSize="0" print="0" autoLine="0" autoPict="0">
                <anchor moveWithCells="1" sizeWithCells="1">
                  <from>
                    <xdr:col>6</xdr:col>
                    <xdr:colOff>0</xdr:colOff>
                    <xdr:row>30</xdr:row>
                    <xdr:rowOff>45720</xdr:rowOff>
                  </from>
                  <to>
                    <xdr:col>7</xdr:col>
                    <xdr:colOff>0</xdr:colOff>
                    <xdr:row>30</xdr:row>
                    <xdr:rowOff>266700</xdr:rowOff>
                  </to>
                </anchor>
              </controlPr>
            </control>
          </mc:Choice>
        </mc:AlternateContent>
        <mc:AlternateContent xmlns:mc="http://schemas.openxmlformats.org/markup-compatibility/2006">
          <mc:Choice Requires="x14">
            <control shapeId="10334" r:id="rId42" name="Drop Down 94">
              <controlPr defaultSize="0" print="0" autoLine="0" autoPict="0">
                <anchor moveWithCells="1" sizeWithCells="1">
                  <from>
                    <xdr:col>7</xdr:col>
                    <xdr:colOff>0</xdr:colOff>
                    <xdr:row>30</xdr:row>
                    <xdr:rowOff>45720</xdr:rowOff>
                  </from>
                  <to>
                    <xdr:col>8</xdr:col>
                    <xdr:colOff>0</xdr:colOff>
                    <xdr:row>30</xdr:row>
                    <xdr:rowOff>266700</xdr:rowOff>
                  </to>
                </anchor>
              </controlPr>
            </control>
          </mc:Choice>
        </mc:AlternateContent>
        <mc:AlternateContent xmlns:mc="http://schemas.openxmlformats.org/markup-compatibility/2006">
          <mc:Choice Requires="x14">
            <control shapeId="10376" r:id="rId43" name="Drop Down 136">
              <controlPr defaultSize="0" print="0" autoLine="0" autoPict="0">
                <anchor moveWithCells="1" sizeWithCells="1">
                  <from>
                    <xdr:col>4</xdr:col>
                    <xdr:colOff>0</xdr:colOff>
                    <xdr:row>17</xdr:row>
                    <xdr:rowOff>38100</xdr:rowOff>
                  </from>
                  <to>
                    <xdr:col>5</xdr:col>
                    <xdr:colOff>0</xdr:colOff>
                    <xdr:row>17</xdr:row>
                    <xdr:rowOff>266700</xdr:rowOff>
                  </to>
                </anchor>
              </controlPr>
            </control>
          </mc:Choice>
        </mc:AlternateContent>
        <mc:AlternateContent xmlns:mc="http://schemas.openxmlformats.org/markup-compatibility/2006">
          <mc:Choice Requires="x14">
            <control shapeId="10377" r:id="rId44" name="Drop Down 137">
              <controlPr defaultSize="0" print="0" autoLine="0" autoPict="0">
                <anchor moveWithCells="1" sizeWithCells="1">
                  <from>
                    <xdr:col>7</xdr:col>
                    <xdr:colOff>0</xdr:colOff>
                    <xdr:row>17</xdr:row>
                    <xdr:rowOff>38100</xdr:rowOff>
                  </from>
                  <to>
                    <xdr:col>8</xdr:col>
                    <xdr:colOff>0</xdr:colOff>
                    <xdr:row>17</xdr:row>
                    <xdr:rowOff>266700</xdr:rowOff>
                  </to>
                </anchor>
              </controlPr>
            </control>
          </mc:Choice>
        </mc:AlternateContent>
        <mc:AlternateContent xmlns:mc="http://schemas.openxmlformats.org/markup-compatibility/2006">
          <mc:Choice Requires="x14">
            <control shapeId="10378" r:id="rId45" name="Drop Down 138">
              <controlPr defaultSize="0" print="0" autoLine="0" autoPict="0">
                <anchor moveWithCells="1" sizeWithCells="1">
                  <from>
                    <xdr:col>6</xdr:col>
                    <xdr:colOff>0</xdr:colOff>
                    <xdr:row>17</xdr:row>
                    <xdr:rowOff>38100</xdr:rowOff>
                  </from>
                  <to>
                    <xdr:col>7</xdr:col>
                    <xdr:colOff>0</xdr:colOff>
                    <xdr:row>17</xdr:row>
                    <xdr:rowOff>266700</xdr:rowOff>
                  </to>
                </anchor>
              </controlPr>
            </control>
          </mc:Choice>
        </mc:AlternateContent>
        <mc:AlternateContent xmlns:mc="http://schemas.openxmlformats.org/markup-compatibility/2006">
          <mc:Choice Requires="x14">
            <control shapeId="10379" r:id="rId46" name="Drop Down 139">
              <controlPr defaultSize="0" print="0" autoLine="0" autoPict="0">
                <anchor moveWithCells="1" sizeWithCells="1">
                  <from>
                    <xdr:col>5</xdr:col>
                    <xdr:colOff>0</xdr:colOff>
                    <xdr:row>17</xdr:row>
                    <xdr:rowOff>38100</xdr:rowOff>
                  </from>
                  <to>
                    <xdr:col>6</xdr:col>
                    <xdr:colOff>0</xdr:colOff>
                    <xdr:row>17</xdr:row>
                    <xdr:rowOff>266700</xdr:rowOff>
                  </to>
                </anchor>
              </controlPr>
            </control>
          </mc:Choice>
        </mc:AlternateContent>
        <mc:AlternateContent xmlns:mc="http://schemas.openxmlformats.org/markup-compatibility/2006">
          <mc:Choice Requires="x14">
            <control shapeId="10383" r:id="rId47" name="Check Box 143">
              <controlPr defaultSize="0" autoFill="0" autoLine="0" autoPict="0">
                <anchor moveWithCells="1" sizeWithCells="1">
                  <from>
                    <xdr:col>5</xdr:col>
                    <xdr:colOff>342900</xdr:colOff>
                    <xdr:row>45</xdr:row>
                    <xdr:rowOff>7620</xdr:rowOff>
                  </from>
                  <to>
                    <xdr:col>5</xdr:col>
                    <xdr:colOff>601980</xdr:colOff>
                    <xdr:row>46</xdr:row>
                    <xdr:rowOff>7620</xdr:rowOff>
                  </to>
                </anchor>
              </controlPr>
            </control>
          </mc:Choice>
        </mc:AlternateContent>
        <mc:AlternateContent xmlns:mc="http://schemas.openxmlformats.org/markup-compatibility/2006">
          <mc:Choice Requires="x14">
            <control shapeId="10384" r:id="rId48" name="Check Box 144">
              <controlPr defaultSize="0" autoFill="0" autoLine="0" autoPict="0">
                <anchor moveWithCells="1" sizeWithCells="1">
                  <from>
                    <xdr:col>6</xdr:col>
                    <xdr:colOff>213360</xdr:colOff>
                    <xdr:row>45</xdr:row>
                    <xdr:rowOff>7620</xdr:rowOff>
                  </from>
                  <to>
                    <xdr:col>6</xdr:col>
                    <xdr:colOff>457200</xdr:colOff>
                    <xdr:row>46</xdr:row>
                    <xdr:rowOff>7620</xdr:rowOff>
                  </to>
                </anchor>
              </controlPr>
            </control>
          </mc:Choice>
        </mc:AlternateContent>
        <mc:AlternateContent xmlns:mc="http://schemas.openxmlformats.org/markup-compatibility/2006">
          <mc:Choice Requires="x14">
            <control shapeId="10396" r:id="rId49" name="Drop Down 156">
              <controlPr defaultSize="0" print="0" autoLine="0" autoPict="0">
                <anchor moveWithCells="1" sizeWithCells="1">
                  <from>
                    <xdr:col>4</xdr:col>
                    <xdr:colOff>0</xdr:colOff>
                    <xdr:row>12</xdr:row>
                    <xdr:rowOff>38100</xdr:rowOff>
                  </from>
                  <to>
                    <xdr:col>5</xdr:col>
                    <xdr:colOff>0</xdr:colOff>
                    <xdr:row>12</xdr:row>
                    <xdr:rowOff>266700</xdr:rowOff>
                  </to>
                </anchor>
              </controlPr>
            </control>
          </mc:Choice>
        </mc:AlternateContent>
        <mc:AlternateContent xmlns:mc="http://schemas.openxmlformats.org/markup-compatibility/2006">
          <mc:Choice Requires="x14">
            <control shapeId="10397" r:id="rId50" name="Drop Down 157">
              <controlPr defaultSize="0" print="0" autoLine="0" autoPict="0">
                <anchor moveWithCells="1" sizeWithCells="1">
                  <from>
                    <xdr:col>5</xdr:col>
                    <xdr:colOff>0</xdr:colOff>
                    <xdr:row>12</xdr:row>
                    <xdr:rowOff>38100</xdr:rowOff>
                  </from>
                  <to>
                    <xdr:col>6</xdr:col>
                    <xdr:colOff>0</xdr:colOff>
                    <xdr:row>12</xdr:row>
                    <xdr:rowOff>266700</xdr:rowOff>
                  </to>
                </anchor>
              </controlPr>
            </control>
          </mc:Choice>
        </mc:AlternateContent>
        <mc:AlternateContent xmlns:mc="http://schemas.openxmlformats.org/markup-compatibility/2006">
          <mc:Choice Requires="x14">
            <control shapeId="10398" r:id="rId51" name="Drop Down 158">
              <controlPr defaultSize="0" print="0" autoLine="0" autoPict="0">
                <anchor moveWithCells="1" sizeWithCells="1">
                  <from>
                    <xdr:col>6</xdr:col>
                    <xdr:colOff>0</xdr:colOff>
                    <xdr:row>12</xdr:row>
                    <xdr:rowOff>38100</xdr:rowOff>
                  </from>
                  <to>
                    <xdr:col>7</xdr:col>
                    <xdr:colOff>0</xdr:colOff>
                    <xdr:row>12</xdr:row>
                    <xdr:rowOff>266700</xdr:rowOff>
                  </to>
                </anchor>
              </controlPr>
            </control>
          </mc:Choice>
        </mc:AlternateContent>
        <mc:AlternateContent xmlns:mc="http://schemas.openxmlformats.org/markup-compatibility/2006">
          <mc:Choice Requires="x14">
            <control shapeId="10399" r:id="rId52" name="Drop Down 159">
              <controlPr defaultSize="0" print="0" autoLine="0" autoPict="0">
                <anchor moveWithCells="1" sizeWithCells="1">
                  <from>
                    <xdr:col>7</xdr:col>
                    <xdr:colOff>0</xdr:colOff>
                    <xdr:row>12</xdr:row>
                    <xdr:rowOff>38100</xdr:rowOff>
                  </from>
                  <to>
                    <xdr:col>8</xdr:col>
                    <xdr:colOff>0</xdr:colOff>
                    <xdr:row>12</xdr:row>
                    <xdr:rowOff>266700</xdr:rowOff>
                  </to>
                </anchor>
              </controlPr>
            </control>
          </mc:Choice>
        </mc:AlternateContent>
        <mc:AlternateContent xmlns:mc="http://schemas.openxmlformats.org/markup-compatibility/2006">
          <mc:Choice Requires="x14">
            <control shapeId="10408" r:id="rId53" name="Drop Down 168">
              <controlPr defaultSize="0" print="0" autoLine="0" autoPict="0">
                <anchor moveWithCells="1" sizeWithCells="1">
                  <from>
                    <xdr:col>4</xdr:col>
                    <xdr:colOff>0</xdr:colOff>
                    <xdr:row>34</xdr:row>
                    <xdr:rowOff>38100</xdr:rowOff>
                  </from>
                  <to>
                    <xdr:col>5</xdr:col>
                    <xdr:colOff>0</xdr:colOff>
                    <xdr:row>34</xdr:row>
                    <xdr:rowOff>259080</xdr:rowOff>
                  </to>
                </anchor>
              </controlPr>
            </control>
          </mc:Choice>
        </mc:AlternateContent>
        <mc:AlternateContent xmlns:mc="http://schemas.openxmlformats.org/markup-compatibility/2006">
          <mc:Choice Requires="x14">
            <control shapeId="10409" r:id="rId54" name="Drop Down 169">
              <controlPr defaultSize="0" print="0" autoLine="0" autoPict="0">
                <anchor moveWithCells="1" sizeWithCells="1">
                  <from>
                    <xdr:col>5</xdr:col>
                    <xdr:colOff>0</xdr:colOff>
                    <xdr:row>34</xdr:row>
                    <xdr:rowOff>38100</xdr:rowOff>
                  </from>
                  <to>
                    <xdr:col>6</xdr:col>
                    <xdr:colOff>0</xdr:colOff>
                    <xdr:row>34</xdr:row>
                    <xdr:rowOff>259080</xdr:rowOff>
                  </to>
                </anchor>
              </controlPr>
            </control>
          </mc:Choice>
        </mc:AlternateContent>
        <mc:AlternateContent xmlns:mc="http://schemas.openxmlformats.org/markup-compatibility/2006">
          <mc:Choice Requires="x14">
            <control shapeId="10410" r:id="rId55" name="Drop Down 170">
              <controlPr defaultSize="0" print="0" autoLine="0" autoPict="0">
                <anchor moveWithCells="1" sizeWithCells="1">
                  <from>
                    <xdr:col>6</xdr:col>
                    <xdr:colOff>0</xdr:colOff>
                    <xdr:row>34</xdr:row>
                    <xdr:rowOff>38100</xdr:rowOff>
                  </from>
                  <to>
                    <xdr:col>7</xdr:col>
                    <xdr:colOff>0</xdr:colOff>
                    <xdr:row>34</xdr:row>
                    <xdr:rowOff>259080</xdr:rowOff>
                  </to>
                </anchor>
              </controlPr>
            </control>
          </mc:Choice>
        </mc:AlternateContent>
        <mc:AlternateContent xmlns:mc="http://schemas.openxmlformats.org/markup-compatibility/2006">
          <mc:Choice Requires="x14">
            <control shapeId="10411" r:id="rId56" name="Drop Down 171">
              <controlPr defaultSize="0" print="0" autoLine="0" autoPict="0">
                <anchor moveWithCells="1" sizeWithCells="1">
                  <from>
                    <xdr:col>7</xdr:col>
                    <xdr:colOff>0</xdr:colOff>
                    <xdr:row>34</xdr:row>
                    <xdr:rowOff>38100</xdr:rowOff>
                  </from>
                  <to>
                    <xdr:col>8</xdr:col>
                    <xdr:colOff>0</xdr:colOff>
                    <xdr:row>34</xdr:row>
                    <xdr:rowOff>259080</xdr:rowOff>
                  </to>
                </anchor>
              </controlPr>
            </control>
          </mc:Choice>
        </mc:AlternateContent>
        <mc:AlternateContent xmlns:mc="http://schemas.openxmlformats.org/markup-compatibility/2006">
          <mc:Choice Requires="x14">
            <control shapeId="10432" r:id="rId57" name="Check Box 192">
              <controlPr defaultSize="0" autoFill="0" autoLine="0" autoPict="0">
                <anchor moveWithCells="1" sizeWithCells="1">
                  <from>
                    <xdr:col>5</xdr:col>
                    <xdr:colOff>342900</xdr:colOff>
                    <xdr:row>52</xdr:row>
                    <xdr:rowOff>7620</xdr:rowOff>
                  </from>
                  <to>
                    <xdr:col>5</xdr:col>
                    <xdr:colOff>601980</xdr:colOff>
                    <xdr:row>53</xdr:row>
                    <xdr:rowOff>0</xdr:rowOff>
                  </to>
                </anchor>
              </controlPr>
            </control>
          </mc:Choice>
        </mc:AlternateContent>
        <mc:AlternateContent xmlns:mc="http://schemas.openxmlformats.org/markup-compatibility/2006">
          <mc:Choice Requires="x14">
            <control shapeId="10433" r:id="rId58" name="Check Box 193">
              <controlPr defaultSize="0" autoFill="0" autoLine="0" autoPict="0">
                <anchor moveWithCells="1" sizeWithCells="1">
                  <from>
                    <xdr:col>6</xdr:col>
                    <xdr:colOff>213360</xdr:colOff>
                    <xdr:row>52</xdr:row>
                    <xdr:rowOff>7620</xdr:rowOff>
                  </from>
                  <to>
                    <xdr:col>6</xdr:col>
                    <xdr:colOff>457200</xdr:colOff>
                    <xdr:row>53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V56"/>
  <sheetViews>
    <sheetView showZeros="0" topLeftCell="A16" zoomScaleNormal="100" workbookViewId="0">
      <selection activeCell="X21" sqref="X21"/>
    </sheetView>
  </sheetViews>
  <sheetFormatPr baseColWidth="10" defaultColWidth="8.88671875" defaultRowHeight="13.2"/>
  <cols>
    <col min="1" max="1" width="3.6640625" style="1552" customWidth="1"/>
    <col min="2" max="2" width="14.6640625" style="59" customWidth="1"/>
    <col min="3" max="6" width="7.44140625" style="59" customWidth="1"/>
    <col min="7" max="7" width="9.109375" style="59" customWidth="1"/>
    <col min="8" max="8" width="11.33203125" style="59" hidden="1" customWidth="1"/>
    <col min="9" max="12" width="8.5546875" style="59" customWidth="1"/>
    <col min="13" max="13" width="4.6640625" style="59" customWidth="1"/>
    <col min="14" max="22" width="11.5546875" style="59" hidden="1" customWidth="1"/>
    <col min="23" max="16384" width="8.88671875" style="59"/>
  </cols>
  <sheetData>
    <row r="1" spans="1:22" ht="9" customHeight="1">
      <c r="A1" s="1550"/>
      <c r="B1" s="1439"/>
      <c r="C1" s="1440"/>
      <c r="D1" s="1440"/>
      <c r="E1" s="1440"/>
      <c r="F1" s="1440"/>
      <c r="G1" s="1440"/>
      <c r="H1" s="1440"/>
      <c r="I1" s="1440"/>
      <c r="J1" s="1440"/>
      <c r="K1" s="1440"/>
      <c r="L1" s="1441"/>
      <c r="M1" s="1442" t="str">
        <f>Dati!J2</f>
        <v>MINERGIE, versione 2016, da utilizzare fino al 31.12.2016 al più tardi</v>
      </c>
      <c r="N1" s="1440"/>
      <c r="O1" s="1440"/>
      <c r="P1" s="1440"/>
      <c r="Q1" s="1440"/>
      <c r="R1" s="1440"/>
    </row>
    <row r="2" spans="1:22" ht="21.6" customHeight="1">
      <c r="A2" s="1550"/>
      <c r="B2" s="1443" t="s">
        <v>701</v>
      </c>
      <c r="C2" s="1440"/>
      <c r="D2" s="1440"/>
      <c r="E2" s="1440"/>
      <c r="F2" s="1440"/>
      <c r="G2" s="1440"/>
      <c r="H2" s="1440"/>
      <c r="I2" s="1440"/>
      <c r="J2" s="1440"/>
      <c r="K2" s="1440"/>
      <c r="L2" s="1441"/>
      <c r="N2" s="1004"/>
      <c r="O2" s="1004"/>
      <c r="P2" s="1004"/>
      <c r="Q2" s="1004"/>
      <c r="R2" s="1004"/>
    </row>
    <row r="3" spans="1:22" ht="13.95" hidden="1" customHeight="1">
      <c r="A3" s="1550"/>
      <c r="B3" s="1443"/>
      <c r="C3" s="1440"/>
      <c r="D3" s="1440"/>
      <c r="E3" s="1440"/>
      <c r="F3" s="1440"/>
      <c r="G3" s="1440"/>
      <c r="H3" s="1440"/>
      <c r="I3" s="1440"/>
      <c r="J3" s="1440"/>
      <c r="K3" s="1440"/>
      <c r="L3" s="1441"/>
      <c r="N3" s="1004"/>
      <c r="O3" s="1004"/>
      <c r="P3" s="1004"/>
      <c r="Q3" s="1004"/>
      <c r="R3" s="1004"/>
    </row>
    <row r="4" spans="1:22" ht="15" customHeight="1">
      <c r="A4" s="1550"/>
      <c r="B4" s="1802">
        <f>IF(Projekt1="","",Projekt1)</f>
        <v>0</v>
      </c>
      <c r="C4" s="1803"/>
      <c r="D4" s="1803"/>
      <c r="E4" s="1803"/>
      <c r="F4" s="1803"/>
      <c r="G4" s="1803"/>
      <c r="H4" s="1803"/>
      <c r="I4" s="1803"/>
      <c r="J4" s="1803"/>
      <c r="K4" s="1803"/>
      <c r="L4" s="1803"/>
      <c r="M4" s="1804"/>
      <c r="N4" s="1004"/>
      <c r="O4" s="1004"/>
      <c r="P4" s="1004"/>
      <c r="Q4" s="1004"/>
      <c r="R4" s="1004"/>
    </row>
    <row r="5" spans="1:22" ht="15" customHeight="1">
      <c r="A5" s="1550"/>
      <c r="B5" s="1805">
        <f>IF(Projekt2="","",Projekt2)</f>
        <v>0</v>
      </c>
      <c r="C5" s="1806"/>
      <c r="D5" s="1806"/>
      <c r="E5" s="1806"/>
      <c r="F5" s="1806"/>
      <c r="G5" s="1806"/>
      <c r="H5" s="1806"/>
      <c r="I5" s="1806"/>
      <c r="J5" s="1806"/>
      <c r="K5" s="1806"/>
      <c r="L5" s="1806"/>
      <c r="M5" s="1807"/>
      <c r="N5" s="1004"/>
      <c r="O5" s="1004"/>
      <c r="P5" s="1004"/>
      <c r="Q5" s="1004"/>
      <c r="R5" s="1004"/>
    </row>
    <row r="6" spans="1:22" ht="15" customHeight="1">
      <c r="A6" s="1550"/>
      <c r="B6" s="1808">
        <f>IF(Projekt3="","",Projekt3)</f>
        <v>0</v>
      </c>
      <c r="C6" s="1809"/>
      <c r="D6" s="1809"/>
      <c r="E6" s="1809"/>
      <c r="F6" s="1809"/>
      <c r="G6" s="1809"/>
      <c r="H6" s="1809"/>
      <c r="I6" s="1809"/>
      <c r="J6" s="1809"/>
      <c r="K6" s="1809"/>
      <c r="L6" s="1809"/>
      <c r="M6" s="1810"/>
      <c r="N6" s="1440"/>
      <c r="O6" s="1004"/>
      <c r="P6" s="1440"/>
      <c r="Q6" s="1440"/>
      <c r="R6" s="1440"/>
    </row>
    <row r="7" spans="1:22" ht="6" customHeight="1">
      <c r="A7" s="1550"/>
      <c r="B7" s="1425"/>
      <c r="C7" s="1425"/>
      <c r="D7" s="1425"/>
      <c r="E7" s="1425"/>
      <c r="F7" s="1425"/>
      <c r="G7" s="1425"/>
      <c r="H7" s="1425"/>
      <c r="I7" s="1425"/>
      <c r="J7" s="1425"/>
      <c r="K7" s="1425"/>
      <c r="L7" s="1425"/>
      <c r="M7" s="1425"/>
      <c r="N7" s="1440"/>
      <c r="O7" s="1004"/>
      <c r="P7" s="1440"/>
      <c r="Q7" s="1440"/>
      <c r="R7" s="1440"/>
    </row>
    <row r="8" spans="1:22" ht="42" customHeight="1">
      <c r="A8" s="1551"/>
      <c r="B8" s="1785" t="s">
        <v>1798</v>
      </c>
      <c r="C8" s="1785"/>
      <c r="D8" s="1785"/>
      <c r="E8" s="1785"/>
      <c r="F8" s="1785"/>
      <c r="G8" s="1785"/>
      <c r="H8" s="1785"/>
      <c r="I8" s="1785"/>
      <c r="J8" s="1785"/>
      <c r="K8" s="1785"/>
      <c r="L8" s="1785"/>
      <c r="M8" s="1785"/>
      <c r="N8" s="1444"/>
      <c r="O8" s="1444"/>
      <c r="P8" s="1444"/>
      <c r="Q8" s="1444"/>
      <c r="R8" s="1440"/>
    </row>
    <row r="9" spans="1:22" ht="7.95" customHeight="1">
      <c r="A9" s="1551"/>
      <c r="B9" s="1445"/>
      <c r="C9" s="1445"/>
      <c r="D9" s="1445"/>
      <c r="E9" s="1445"/>
      <c r="F9" s="1445"/>
      <c r="G9" s="1445"/>
      <c r="H9" s="1445"/>
      <c r="I9" s="1445"/>
      <c r="J9" s="1445"/>
      <c r="K9" s="1445"/>
      <c r="L9" s="1445"/>
      <c r="M9" s="1445"/>
      <c r="N9" s="1444"/>
      <c r="O9" s="1444"/>
      <c r="P9" s="1444"/>
      <c r="Q9" s="1444"/>
      <c r="R9" s="1440"/>
    </row>
    <row r="10" spans="1:22" ht="27" customHeight="1">
      <c r="A10" s="1551"/>
      <c r="B10" s="1811" t="str">
        <f>IF(minergiea,"Variante 1: valutazione globale di casi standard per le categorie d'edificio abitazioni (senza raffreddamento).","Variante 1: valutazione globale di casi standard per le categorie d'edificio abitazioni, amministrazioni (uffici singoli e non), sale riunioni e depositi (senza raffreddamento).")</f>
        <v>Variante 1: valutazione globale di casi standard per le categorie d'edificio abitazioni (senza raffreddamento).</v>
      </c>
      <c r="C10" s="1811"/>
      <c r="D10" s="1811"/>
      <c r="E10" s="1811"/>
      <c r="F10" s="1811"/>
      <c r="G10" s="1811"/>
      <c r="H10" s="1811"/>
      <c r="I10" s="1811"/>
      <c r="J10" s="1811"/>
      <c r="K10" s="1811"/>
      <c r="L10" s="1811"/>
      <c r="M10" s="1445"/>
      <c r="N10" s="1444"/>
      <c r="O10" s="1444"/>
      <c r="P10" s="1444"/>
      <c r="Q10" s="1444"/>
      <c r="R10" s="1440"/>
    </row>
    <row r="11" spans="1:22" ht="15" customHeight="1">
      <c r="A11" s="1547"/>
      <c r="B11" s="1812" t="s">
        <v>702</v>
      </c>
      <c r="C11" s="1813"/>
      <c r="D11" s="1813"/>
      <c r="E11" s="1813"/>
      <c r="F11" s="1813"/>
      <c r="G11" s="1813"/>
      <c r="H11" s="1813"/>
      <c r="I11" s="1813"/>
      <c r="J11" s="1813"/>
      <c r="K11" s="1813"/>
      <c r="L11" s="1814"/>
      <c r="M11" s="1446"/>
      <c r="N11" s="1447" t="s">
        <v>112</v>
      </c>
      <c r="O11" s="1704" t="str">
        <f>N11</f>
        <v>n.a.</v>
      </c>
      <c r="P11" s="1725" t="s">
        <v>1801</v>
      </c>
      <c r="Q11" s="1448"/>
      <c r="R11" s="1449"/>
    </row>
    <row r="12" spans="1:22" ht="15" customHeight="1">
      <c r="A12" s="1551" t="s">
        <v>113</v>
      </c>
      <c r="B12" s="1783" t="s">
        <v>606</v>
      </c>
      <c r="C12" s="1784"/>
      <c r="D12" s="1784"/>
      <c r="E12" s="1784"/>
      <c r="F12" s="1784"/>
      <c r="G12" s="1784"/>
      <c r="H12" s="1784"/>
      <c r="I12" s="1645"/>
      <c r="J12" s="1645"/>
      <c r="K12" s="1645"/>
      <c r="L12" s="1646"/>
      <c r="M12" s="1450"/>
      <c r="N12" s="1451" t="s">
        <v>1685</v>
      </c>
      <c r="O12" s="1478" t="str">
        <f>IF(minergiea,N11,N12)</f>
        <v>n.a.</v>
      </c>
      <c r="P12" s="1726" t="s">
        <v>1800</v>
      </c>
      <c r="Q12" s="1444"/>
      <c r="R12" s="1440"/>
    </row>
    <row r="13" spans="1:22" ht="15" customHeight="1">
      <c r="A13" s="1551" t="s">
        <v>114</v>
      </c>
      <c r="B13" s="1783" t="s">
        <v>556</v>
      </c>
      <c r="C13" s="1785"/>
      <c r="D13" s="1785"/>
      <c r="E13" s="1785"/>
      <c r="F13" s="1785"/>
      <c r="G13" s="1785"/>
      <c r="H13" s="1785"/>
      <c r="I13" s="1785"/>
      <c r="J13" s="1785"/>
      <c r="K13" s="1785"/>
      <c r="L13" s="1786"/>
      <c r="M13" s="1450"/>
      <c r="N13" s="1451" t="s">
        <v>1684</v>
      </c>
      <c r="O13" s="1478" t="str">
        <f>IF(minergiea,N11,N13)</f>
        <v>n.a.</v>
      </c>
      <c r="P13" s="1726" t="s">
        <v>1802</v>
      </c>
      <c r="Q13" s="1444"/>
      <c r="R13" s="1440"/>
    </row>
    <row r="14" spans="1:22" ht="15" customHeight="1">
      <c r="A14" s="1551" t="s">
        <v>115</v>
      </c>
      <c r="B14" s="1787" t="s">
        <v>703</v>
      </c>
      <c r="C14" s="1788"/>
      <c r="D14" s="1788"/>
      <c r="E14" s="1788"/>
      <c r="F14" s="1788"/>
      <c r="G14" s="1788"/>
      <c r="H14" s="1788"/>
      <c r="I14" s="1788"/>
      <c r="J14" s="1788"/>
      <c r="K14" s="1788"/>
      <c r="L14" s="1789"/>
      <c r="M14" s="1450"/>
      <c r="N14" s="1452"/>
      <c r="O14" s="1470"/>
      <c r="P14" s="1727" t="s">
        <v>1803</v>
      </c>
      <c r="Q14" s="1444"/>
      <c r="R14" s="1440"/>
    </row>
    <row r="15" spans="1:22" ht="15" customHeight="1">
      <c r="A15" s="1551" t="s">
        <v>116</v>
      </c>
      <c r="B15" s="1793" t="s">
        <v>704</v>
      </c>
      <c r="C15" s="1794"/>
      <c r="D15" s="1794"/>
      <c r="E15" s="1794"/>
      <c r="F15" s="1794"/>
      <c r="G15" s="1794"/>
      <c r="H15" s="1794"/>
      <c r="I15" s="1794"/>
      <c r="J15" s="1794"/>
      <c r="K15" s="1794"/>
      <c r="L15" s="1795"/>
      <c r="M15" s="1453"/>
      <c r="N15" s="1444"/>
      <c r="O15" s="1444"/>
      <c r="P15" s="1444"/>
      <c r="Q15" s="1444"/>
      <c r="R15" s="1440"/>
      <c r="S15" s="1575" t="s">
        <v>528</v>
      </c>
      <c r="T15" s="1576"/>
      <c r="U15" s="1576"/>
      <c r="V15" s="1577"/>
    </row>
    <row r="16" spans="1:22" ht="19.95" customHeight="1">
      <c r="A16" s="1551"/>
      <c r="B16" s="38"/>
      <c r="C16" s="1454"/>
      <c r="D16" s="1454"/>
      <c r="E16" s="1454"/>
      <c r="F16" s="1454"/>
      <c r="G16" s="1454"/>
      <c r="H16" s="1455" t="s">
        <v>127</v>
      </c>
      <c r="I16" s="1456">
        <v>1</v>
      </c>
      <c r="J16" s="1456">
        <v>2</v>
      </c>
      <c r="K16" s="1456">
        <v>3</v>
      </c>
      <c r="L16" s="1457">
        <v>4</v>
      </c>
      <c r="M16" s="1458"/>
      <c r="N16" s="1471">
        <v>1</v>
      </c>
      <c r="O16" s="1472">
        <v>2</v>
      </c>
      <c r="P16" s="1472">
        <v>3</v>
      </c>
      <c r="Q16" s="1473">
        <v>4</v>
      </c>
      <c r="R16" s="1440"/>
      <c r="S16" s="1578">
        <v>1</v>
      </c>
      <c r="T16" s="1579">
        <v>2</v>
      </c>
      <c r="U16" s="1579">
        <v>3</v>
      </c>
      <c r="V16" s="1580">
        <v>4</v>
      </c>
    </row>
    <row r="17" spans="1:22" ht="15" customHeight="1">
      <c r="A17" s="1551"/>
      <c r="B17" s="1647" t="s">
        <v>48</v>
      </c>
      <c r="C17" s="1459"/>
      <c r="D17" s="1459"/>
      <c r="E17" s="1459"/>
      <c r="F17" s="1459"/>
      <c r="G17" s="1459"/>
      <c r="H17" s="1459"/>
      <c r="I17" s="1460"/>
      <c r="J17" s="1460"/>
      <c r="K17" s="1460"/>
      <c r="L17" s="1461"/>
      <c r="M17" s="1458"/>
      <c r="N17" s="1633"/>
      <c r="O17" s="1634"/>
      <c r="P17" s="1634"/>
      <c r="Q17" s="1635"/>
      <c r="R17" s="1440"/>
      <c r="S17" s="1637"/>
      <c r="T17" s="1638"/>
      <c r="U17" s="1638"/>
      <c r="V17" s="1639"/>
    </row>
    <row r="18" spans="1:22" ht="15" customHeight="1">
      <c r="A18" s="1716" t="s">
        <v>1799</v>
      </c>
      <c r="B18" s="1790" t="s">
        <v>1805</v>
      </c>
      <c r="C18" s="1791"/>
      <c r="D18" s="1791"/>
      <c r="E18" s="1791"/>
      <c r="F18" s="1791"/>
      <c r="G18" s="1791"/>
      <c r="H18" s="1792"/>
      <c r="I18" s="1796"/>
      <c r="J18" s="1796"/>
      <c r="K18" s="1796"/>
      <c r="L18" s="1798"/>
      <c r="M18" s="1717"/>
      <c r="N18" s="1718" t="b">
        <f>OR(I18=$P$11,I18=$P$12,I18=$P$13,I18=$P$14)</f>
        <v>0</v>
      </c>
      <c r="O18" s="1719" t="b">
        <f>OR(J18=$P$11,J18=$P$12,J18=$P$13,J18=$P$14)</f>
        <v>0</v>
      </c>
      <c r="P18" s="1719" t="b">
        <f>OR(K18=$P$11,K18=$P$12,K18=$P$13,K18=$P$14)</f>
        <v>0</v>
      </c>
      <c r="Q18" s="1720" t="b">
        <f>OR(L18=$P$11,L18=$P$12,L18=$P$13,L18=$P$14)</f>
        <v>0</v>
      </c>
      <c r="R18" s="1440"/>
      <c r="S18" s="1721"/>
      <c r="T18" s="1722"/>
      <c r="U18" s="1722"/>
      <c r="V18" s="1723"/>
    </row>
    <row r="19" spans="1:22" ht="16.95" customHeight="1">
      <c r="A19" s="1716"/>
      <c r="B19" s="1800"/>
      <c r="C19" s="1801"/>
      <c r="D19" s="1801"/>
      <c r="E19" s="1801"/>
      <c r="F19" s="1801"/>
      <c r="G19" s="1801"/>
      <c r="H19" s="1715"/>
      <c r="I19" s="1797"/>
      <c r="J19" s="1797"/>
      <c r="K19" s="1797"/>
      <c r="L19" s="1799"/>
      <c r="M19" s="1724"/>
      <c r="N19" s="1718"/>
      <c r="O19" s="1719"/>
      <c r="P19" s="1719"/>
      <c r="Q19" s="1720"/>
      <c r="R19" s="1440"/>
      <c r="S19" s="1721"/>
      <c r="T19" s="1722"/>
      <c r="U19" s="1722"/>
      <c r="V19" s="1723"/>
    </row>
    <row r="20" spans="1:22" ht="31.95" customHeight="1">
      <c r="A20" s="1551" t="s">
        <v>117</v>
      </c>
      <c r="B20" s="1825" t="s">
        <v>1828</v>
      </c>
      <c r="C20" s="1821"/>
      <c r="D20" s="1821"/>
      <c r="E20" s="1821"/>
      <c r="F20" s="1821"/>
      <c r="G20" s="1821"/>
      <c r="H20" s="1826"/>
      <c r="I20" s="1555"/>
      <c r="J20" s="1555"/>
      <c r="K20" s="1555"/>
      <c r="L20" s="1556"/>
      <c r="M20" s="1458"/>
      <c r="N20" s="1718" t="b">
        <f t="shared" ref="N20:Q23" si="0">OR(I20=$N$11,I20=$N$12)</f>
        <v>0</v>
      </c>
      <c r="O20" s="1719" t="b">
        <f t="shared" si="0"/>
        <v>0</v>
      </c>
      <c r="P20" s="1719" t="b">
        <f t="shared" si="0"/>
        <v>0</v>
      </c>
      <c r="Q20" s="1720" t="b">
        <f t="shared" si="0"/>
        <v>0</v>
      </c>
      <c r="R20" s="1440"/>
      <c r="S20" s="1630" t="b">
        <f t="shared" ref="S20:V23" si="1">I20&lt;&gt;$N$11</f>
        <v>1</v>
      </c>
      <c r="T20" s="1631" t="b">
        <f t="shared" si="1"/>
        <v>1</v>
      </c>
      <c r="U20" s="1631" t="b">
        <f t="shared" si="1"/>
        <v>1</v>
      </c>
      <c r="V20" s="1632" t="b">
        <f t="shared" si="1"/>
        <v>1</v>
      </c>
    </row>
    <row r="21" spans="1:22" ht="31.95" customHeight="1">
      <c r="A21" s="1551" t="s">
        <v>119</v>
      </c>
      <c r="B21" s="1817" t="s">
        <v>1829</v>
      </c>
      <c r="C21" s="1818"/>
      <c r="D21" s="1818"/>
      <c r="E21" s="1818"/>
      <c r="F21" s="1818"/>
      <c r="G21" s="1818"/>
      <c r="H21" s="1819"/>
      <c r="I21" s="1559"/>
      <c r="J21" s="1559"/>
      <c r="K21" s="1559"/>
      <c r="L21" s="1560"/>
      <c r="M21" s="1458"/>
      <c r="N21" s="1718" t="b">
        <f t="shared" si="0"/>
        <v>0</v>
      </c>
      <c r="O21" s="1719" t="b">
        <f t="shared" si="0"/>
        <v>0</v>
      </c>
      <c r="P21" s="1719" t="b">
        <f t="shared" si="0"/>
        <v>0</v>
      </c>
      <c r="Q21" s="1720" t="b">
        <f t="shared" si="0"/>
        <v>0</v>
      </c>
      <c r="R21" s="1440"/>
      <c r="S21" s="1630" t="b">
        <f t="shared" si="1"/>
        <v>1</v>
      </c>
      <c r="T21" s="1631" t="b">
        <f t="shared" si="1"/>
        <v>1</v>
      </c>
      <c r="U21" s="1631" t="b">
        <f t="shared" si="1"/>
        <v>1</v>
      </c>
      <c r="V21" s="1632" t="b">
        <f t="shared" si="1"/>
        <v>1</v>
      </c>
    </row>
    <row r="22" spans="1:22" ht="42" customHeight="1">
      <c r="A22" s="1551" t="s">
        <v>121</v>
      </c>
      <c r="B22" s="1817" t="s">
        <v>1830</v>
      </c>
      <c r="C22" s="1818"/>
      <c r="D22" s="1818"/>
      <c r="E22" s="1818"/>
      <c r="F22" s="1818"/>
      <c r="G22" s="1818"/>
      <c r="H22" s="1819"/>
      <c r="I22" s="1559"/>
      <c r="J22" s="1559"/>
      <c r="K22" s="1559"/>
      <c r="L22" s="1560"/>
      <c r="M22" s="1458"/>
      <c r="N22" s="1718" t="b">
        <f t="shared" si="0"/>
        <v>0</v>
      </c>
      <c r="O22" s="1719" t="b">
        <f t="shared" si="0"/>
        <v>0</v>
      </c>
      <c r="P22" s="1719" t="b">
        <f t="shared" si="0"/>
        <v>0</v>
      </c>
      <c r="Q22" s="1720" t="b">
        <f t="shared" si="0"/>
        <v>0</v>
      </c>
      <c r="R22" s="1440"/>
      <c r="S22" s="1630" t="b">
        <f t="shared" si="1"/>
        <v>1</v>
      </c>
      <c r="T22" s="1631" t="b">
        <f t="shared" si="1"/>
        <v>1</v>
      </c>
      <c r="U22" s="1631" t="b">
        <f t="shared" si="1"/>
        <v>1</v>
      </c>
      <c r="V22" s="1632" t="b">
        <f t="shared" si="1"/>
        <v>1</v>
      </c>
    </row>
    <row r="23" spans="1:22" ht="55.5" customHeight="1">
      <c r="A23" s="1551" t="s">
        <v>123</v>
      </c>
      <c r="B23" s="1817" t="s">
        <v>1804</v>
      </c>
      <c r="C23" s="1818"/>
      <c r="D23" s="1818"/>
      <c r="E23" s="1818"/>
      <c r="F23" s="1818"/>
      <c r="G23" s="1818"/>
      <c r="H23" s="1819"/>
      <c r="I23" s="1559"/>
      <c r="J23" s="1559"/>
      <c r="K23" s="1559"/>
      <c r="L23" s="1560"/>
      <c r="M23" s="1458"/>
      <c r="N23" s="1718" t="b">
        <f t="shared" si="0"/>
        <v>0</v>
      </c>
      <c r="O23" s="1719" t="b">
        <f t="shared" si="0"/>
        <v>0</v>
      </c>
      <c r="P23" s="1719" t="b">
        <f t="shared" si="0"/>
        <v>0</v>
      </c>
      <c r="Q23" s="1720" t="b">
        <f t="shared" si="0"/>
        <v>0</v>
      </c>
      <c r="R23" s="1440"/>
      <c r="S23" s="1630" t="b">
        <f t="shared" si="1"/>
        <v>1</v>
      </c>
      <c r="T23" s="1631" t="b">
        <f t="shared" si="1"/>
        <v>1</v>
      </c>
      <c r="U23" s="1631" t="b">
        <f t="shared" si="1"/>
        <v>1</v>
      </c>
      <c r="V23" s="1632" t="b">
        <f t="shared" si="1"/>
        <v>1</v>
      </c>
    </row>
    <row r="24" spans="1:22" ht="42" customHeight="1">
      <c r="A24" s="1551" t="s">
        <v>124</v>
      </c>
      <c r="B24" s="1817" t="str">
        <f>IF(minergiea,"","Locale Uffici singoli e non e sale riunioni con 1 facciata: 
- soletta in calcestruzzo con almeno l'80% di superficie libera;  
- percentuale di vetro &lt; 50% e regolazione automatica della schermatura solare ")</f>
        <v/>
      </c>
      <c r="C24" s="1818"/>
      <c r="D24" s="1818"/>
      <c r="E24" s="1818"/>
      <c r="F24" s="1818"/>
      <c r="G24" s="1818"/>
      <c r="H24" s="1818"/>
      <c r="I24" s="1559"/>
      <c r="J24" s="1559"/>
      <c r="K24" s="1559"/>
      <c r="L24" s="1560"/>
      <c r="M24" s="1458"/>
      <c r="N24" s="1718" t="b">
        <f t="shared" ref="N24:Q26" si="2">OR(I24=$N$11,I24=$N$12,minergiea)</f>
        <v>1</v>
      </c>
      <c r="O24" s="1719" t="b">
        <f t="shared" si="2"/>
        <v>1</v>
      </c>
      <c r="P24" s="1719" t="b">
        <f t="shared" si="2"/>
        <v>1</v>
      </c>
      <c r="Q24" s="1720" t="b">
        <f t="shared" si="2"/>
        <v>1</v>
      </c>
      <c r="R24" s="1440"/>
      <c r="S24" s="1721" t="b">
        <f t="shared" ref="S24:V26" si="3">IF(minergiea,FALSE,I24&lt;&gt;$N$11)</f>
        <v>0</v>
      </c>
      <c r="T24" s="1722" t="b">
        <f t="shared" si="3"/>
        <v>0</v>
      </c>
      <c r="U24" s="1722" t="b">
        <f t="shared" si="3"/>
        <v>0</v>
      </c>
      <c r="V24" s="1723" t="b">
        <f t="shared" si="3"/>
        <v>0</v>
      </c>
    </row>
    <row r="25" spans="1:22" ht="42" customHeight="1">
      <c r="A25" s="1551" t="s">
        <v>125</v>
      </c>
      <c r="B25" s="1817" t="str">
        <f>IF(minergiea,"","Locale Uffici singoli e non e sale riunioni quale locale ad angolo: 
- soletta in calcestruzzo con almeno l'80% di superficie libera;  
- percentuale di vetro &lt; 35% e regolazione automatica della schermatura solare ")</f>
        <v/>
      </c>
      <c r="C25" s="1818"/>
      <c r="D25" s="1818"/>
      <c r="E25" s="1818"/>
      <c r="F25" s="1818"/>
      <c r="G25" s="1818"/>
      <c r="H25" s="1818"/>
      <c r="I25" s="1559"/>
      <c r="J25" s="1559"/>
      <c r="K25" s="1559"/>
      <c r="L25" s="1560"/>
      <c r="M25" s="1458"/>
      <c r="N25" s="1718" t="b">
        <f t="shared" si="2"/>
        <v>1</v>
      </c>
      <c r="O25" s="1719" t="b">
        <f t="shared" si="2"/>
        <v>1</v>
      </c>
      <c r="P25" s="1719" t="b">
        <f t="shared" si="2"/>
        <v>1</v>
      </c>
      <c r="Q25" s="1720" t="b">
        <f t="shared" si="2"/>
        <v>1</v>
      </c>
      <c r="R25" s="1440"/>
      <c r="S25" s="1721" t="b">
        <f t="shared" si="3"/>
        <v>0</v>
      </c>
      <c r="T25" s="1722" t="b">
        <f t="shared" si="3"/>
        <v>0</v>
      </c>
      <c r="U25" s="1722" t="b">
        <f t="shared" si="3"/>
        <v>0</v>
      </c>
      <c r="V25" s="1723" t="b">
        <f t="shared" si="3"/>
        <v>0</v>
      </c>
    </row>
    <row r="26" spans="1:22" ht="16.2" customHeight="1">
      <c r="A26" s="1551" t="s">
        <v>820</v>
      </c>
      <c r="B26" s="1817" t="str">
        <f>IF(minergiea,"","Magazzino con bassi carichi di calore interni")</f>
        <v/>
      </c>
      <c r="C26" s="1818"/>
      <c r="D26" s="1818"/>
      <c r="E26" s="1818"/>
      <c r="F26" s="1818"/>
      <c r="G26" s="1818"/>
      <c r="H26" s="1818"/>
      <c r="I26" s="1559"/>
      <c r="J26" s="1559"/>
      <c r="K26" s="1559"/>
      <c r="L26" s="1560"/>
      <c r="M26" s="1458"/>
      <c r="N26" s="1718" t="b">
        <f t="shared" si="2"/>
        <v>1</v>
      </c>
      <c r="O26" s="1719" t="b">
        <f t="shared" si="2"/>
        <v>1</v>
      </c>
      <c r="P26" s="1719" t="b">
        <f t="shared" si="2"/>
        <v>1</v>
      </c>
      <c r="Q26" s="1720" t="b">
        <f t="shared" si="2"/>
        <v>1</v>
      </c>
      <c r="R26" s="1440"/>
      <c r="S26" s="1721" t="b">
        <f t="shared" si="3"/>
        <v>0</v>
      </c>
      <c r="T26" s="1722" t="b">
        <f t="shared" si="3"/>
        <v>0</v>
      </c>
      <c r="U26" s="1722" t="b">
        <f t="shared" si="3"/>
        <v>0</v>
      </c>
      <c r="V26" s="1723" t="b">
        <f t="shared" si="3"/>
        <v>0</v>
      </c>
    </row>
    <row r="27" spans="1:22" ht="16.2" hidden="1" customHeight="1">
      <c r="A27" s="1551" t="s">
        <v>821</v>
      </c>
      <c r="B27" s="1827"/>
      <c r="C27" s="1824"/>
      <c r="D27" s="1824"/>
      <c r="E27" s="1824"/>
      <c r="F27" s="1824"/>
      <c r="G27" s="1824"/>
      <c r="H27" s="1824"/>
      <c r="I27" s="1559" t="s">
        <v>112</v>
      </c>
      <c r="J27" s="1559" t="s">
        <v>112</v>
      </c>
      <c r="K27" s="1559" t="s">
        <v>112</v>
      </c>
      <c r="L27" s="1560" t="s">
        <v>112</v>
      </c>
      <c r="M27" s="1458"/>
      <c r="N27" s="1718" t="b">
        <f t="shared" ref="N27:Q29" si="4">OR(I27=$N$11,I27=$N$12)</f>
        <v>1</v>
      </c>
      <c r="O27" s="1719" t="b">
        <f t="shared" si="4"/>
        <v>1</v>
      </c>
      <c r="P27" s="1719" t="b">
        <f t="shared" si="4"/>
        <v>1</v>
      </c>
      <c r="Q27" s="1720" t="b">
        <f t="shared" si="4"/>
        <v>1</v>
      </c>
      <c r="R27" s="1440"/>
      <c r="S27" s="1630" t="b">
        <f t="shared" ref="S27:V29" si="5">I27&lt;&gt;$N$11</f>
        <v>0</v>
      </c>
      <c r="T27" s="1631" t="b">
        <f t="shared" si="5"/>
        <v>0</v>
      </c>
      <c r="U27" s="1631" t="b">
        <f t="shared" si="5"/>
        <v>0</v>
      </c>
      <c r="V27" s="1632" t="b">
        <f t="shared" si="5"/>
        <v>0</v>
      </c>
    </row>
    <row r="28" spans="1:22" ht="16.2" hidden="1" customHeight="1">
      <c r="A28" s="1551" t="s">
        <v>822</v>
      </c>
      <c r="B28" s="1827"/>
      <c r="C28" s="1824"/>
      <c r="D28" s="1824"/>
      <c r="E28" s="1824"/>
      <c r="F28" s="1824"/>
      <c r="G28" s="1824"/>
      <c r="H28" s="1824"/>
      <c r="I28" s="1559" t="s">
        <v>112</v>
      </c>
      <c r="J28" s="1559" t="s">
        <v>112</v>
      </c>
      <c r="K28" s="1559" t="s">
        <v>112</v>
      </c>
      <c r="L28" s="1560" t="s">
        <v>112</v>
      </c>
      <c r="M28" s="1458"/>
      <c r="N28" s="1718" t="b">
        <f t="shared" si="4"/>
        <v>1</v>
      </c>
      <c r="O28" s="1719" t="b">
        <f t="shared" si="4"/>
        <v>1</v>
      </c>
      <c r="P28" s="1719" t="b">
        <f t="shared" si="4"/>
        <v>1</v>
      </c>
      <c r="Q28" s="1720" t="b">
        <f t="shared" si="4"/>
        <v>1</v>
      </c>
      <c r="R28" s="1440"/>
      <c r="S28" s="1630" t="b">
        <f t="shared" si="5"/>
        <v>0</v>
      </c>
      <c r="T28" s="1631" t="b">
        <f t="shared" si="5"/>
        <v>0</v>
      </c>
      <c r="U28" s="1631" t="b">
        <f t="shared" si="5"/>
        <v>0</v>
      </c>
      <c r="V28" s="1632" t="b">
        <f t="shared" si="5"/>
        <v>0</v>
      </c>
    </row>
    <row r="29" spans="1:22" ht="16.2" hidden="1" customHeight="1">
      <c r="A29" s="1551" t="s">
        <v>823</v>
      </c>
      <c r="B29" s="1828"/>
      <c r="C29" s="1829"/>
      <c r="D29" s="1829"/>
      <c r="E29" s="1829"/>
      <c r="F29" s="1829"/>
      <c r="G29" s="1829"/>
      <c r="H29" s="1829"/>
      <c r="I29" s="1559" t="s">
        <v>112</v>
      </c>
      <c r="J29" s="1559" t="s">
        <v>112</v>
      </c>
      <c r="K29" s="1559" t="s">
        <v>112</v>
      </c>
      <c r="L29" s="1560" t="s">
        <v>112</v>
      </c>
      <c r="M29" s="1458"/>
      <c r="N29" s="1718" t="b">
        <f t="shared" si="4"/>
        <v>1</v>
      </c>
      <c r="O29" s="1719" t="b">
        <f t="shared" si="4"/>
        <v>1</v>
      </c>
      <c r="P29" s="1719" t="b">
        <f t="shared" si="4"/>
        <v>1</v>
      </c>
      <c r="Q29" s="1720" t="b">
        <f t="shared" si="4"/>
        <v>1</v>
      </c>
      <c r="R29" s="1440"/>
      <c r="S29" s="1630" t="b">
        <f t="shared" si="5"/>
        <v>0</v>
      </c>
      <c r="T29" s="1631" t="b">
        <f t="shared" si="5"/>
        <v>0</v>
      </c>
      <c r="U29" s="1631" t="b">
        <f t="shared" si="5"/>
        <v>0</v>
      </c>
      <c r="V29" s="1632" t="b">
        <f t="shared" si="5"/>
        <v>0</v>
      </c>
    </row>
    <row r="30" spans="1:22" ht="36.75" customHeight="1">
      <c r="A30" s="1551"/>
      <c r="B30" s="1830" t="s">
        <v>46</v>
      </c>
      <c r="C30" s="1831"/>
      <c r="D30" s="1831"/>
      <c r="E30" s="1831"/>
      <c r="F30" s="1831"/>
      <c r="G30" s="1831"/>
      <c r="H30" s="1831"/>
      <c r="I30" s="1831"/>
      <c r="J30" s="1831"/>
      <c r="K30" s="1831"/>
      <c r="L30" s="1832"/>
      <c r="M30" s="1464"/>
      <c r="N30" s="1728" t="b">
        <f>AND(N18:N29,S30)</f>
        <v>0</v>
      </c>
      <c r="O30" s="1729" t="b">
        <f>AND(O18:O29,T30)</f>
        <v>0</v>
      </c>
      <c r="P30" s="1729" t="b">
        <f>AND(P18:P29,U30)</f>
        <v>0</v>
      </c>
      <c r="Q30" s="1730" t="b">
        <f>AND(Q18:Q29,V30)</f>
        <v>0</v>
      </c>
      <c r="R30" s="1440"/>
      <c r="S30" s="1581" t="b">
        <f>OR(S20:S29)</f>
        <v>1</v>
      </c>
      <c r="T30" s="1582" t="b">
        <f>OR(T20:T29)</f>
        <v>1</v>
      </c>
      <c r="U30" s="1582" t="b">
        <f>OR(U20:U29)</f>
        <v>1</v>
      </c>
      <c r="V30" s="1583" t="b">
        <f>OR(V20:V29)</f>
        <v>1</v>
      </c>
    </row>
    <row r="31" spans="1:22" ht="9.6" customHeight="1">
      <c r="A31" s="1551"/>
      <c r="B31" s="1467"/>
      <c r="C31" s="1467"/>
      <c r="D31" s="1467"/>
      <c r="E31" s="1467"/>
      <c r="F31" s="1467"/>
      <c r="G31" s="1467"/>
      <c r="H31" s="1467"/>
      <c r="I31" s="1445"/>
      <c r="J31" s="1445"/>
      <c r="K31" s="1445"/>
      <c r="L31" s="1445"/>
      <c r="M31" s="1445"/>
      <c r="N31" s="1444"/>
      <c r="O31" s="1444"/>
      <c r="P31" s="1444"/>
      <c r="Q31" s="1444"/>
      <c r="R31" s="1440"/>
    </row>
    <row r="32" spans="1:22" ht="13.95" customHeight="1">
      <c r="A32" s="1551"/>
      <c r="B32" s="1737" t="s">
        <v>1831</v>
      </c>
      <c r="C32" s="1444"/>
      <c r="D32" s="1444"/>
      <c r="E32" s="1444"/>
      <c r="F32" s="1444"/>
      <c r="G32" s="1444"/>
      <c r="H32" s="1444"/>
      <c r="I32" s="1444"/>
      <c r="J32" s="1444"/>
      <c r="K32" s="1444"/>
      <c r="L32" s="1444"/>
      <c r="M32" s="1444"/>
      <c r="N32" s="1469" t="s">
        <v>1685</v>
      </c>
      <c r="O32" s="1444"/>
      <c r="P32" s="1444"/>
      <c r="Q32" s="1444"/>
      <c r="R32" s="1440"/>
    </row>
    <row r="33" spans="1:18" ht="12" customHeight="1">
      <c r="A33" s="1551"/>
      <c r="B33" s="1444" t="s">
        <v>1736</v>
      </c>
      <c r="C33" s="1444"/>
      <c r="D33" s="1444"/>
      <c r="E33" s="1444"/>
      <c r="F33" s="1444"/>
      <c r="G33" s="1444"/>
      <c r="H33" s="1444"/>
      <c r="I33" s="1444"/>
      <c r="J33" s="1444"/>
      <c r="K33" s="1444"/>
      <c r="L33" s="1444"/>
      <c r="M33" s="1444"/>
      <c r="N33" s="1470" t="s">
        <v>1684</v>
      </c>
      <c r="O33" s="1444"/>
      <c r="P33" s="1444"/>
      <c r="Q33" s="1444"/>
      <c r="R33" s="1440"/>
    </row>
    <row r="34" spans="1:18" ht="20.399999999999999" customHeight="1">
      <c r="A34" s="1551"/>
      <c r="B34" s="1648" t="s">
        <v>1737</v>
      </c>
      <c r="C34" s="1833" t="s">
        <v>128</v>
      </c>
      <c r="D34" s="1834"/>
      <c r="E34" s="1834"/>
      <c r="F34" s="1834"/>
      <c r="G34" s="1834"/>
      <c r="H34" s="1835"/>
      <c r="I34" s="1456">
        <v>1</v>
      </c>
      <c r="J34" s="1456">
        <v>2</v>
      </c>
      <c r="K34" s="1456">
        <v>3</v>
      </c>
      <c r="L34" s="1457">
        <v>4</v>
      </c>
      <c r="M34" s="1469"/>
      <c r="N34" s="1471">
        <v>1</v>
      </c>
      <c r="O34" s="1472">
        <v>2</v>
      </c>
      <c r="P34" s="1472">
        <v>3</v>
      </c>
      <c r="Q34" s="1473">
        <v>4</v>
      </c>
      <c r="R34" s="1440"/>
    </row>
    <row r="35" spans="1:18" ht="25.95" customHeight="1">
      <c r="A35" s="1551" t="s">
        <v>824</v>
      </c>
      <c r="B35" s="1663" t="s">
        <v>118</v>
      </c>
      <c r="C35" s="1820" t="s">
        <v>1738</v>
      </c>
      <c r="D35" s="1821"/>
      <c r="E35" s="1821"/>
      <c r="F35" s="1821"/>
      <c r="G35" s="1821"/>
      <c r="H35" s="1821"/>
      <c r="I35" s="1555"/>
      <c r="J35" s="1555"/>
      <c r="K35" s="1555"/>
      <c r="L35" s="1556"/>
      <c r="M35" s="1474"/>
      <c r="N35" s="1481" t="b">
        <f t="shared" ref="N35:Q37" si="6">I35=$N$32</f>
        <v>0</v>
      </c>
      <c r="O35" s="1475" t="b">
        <f t="shared" si="6"/>
        <v>0</v>
      </c>
      <c r="P35" s="1475" t="b">
        <f t="shared" si="6"/>
        <v>0</v>
      </c>
      <c r="Q35" s="1447" t="b">
        <f t="shared" si="6"/>
        <v>0</v>
      </c>
      <c r="R35" s="1440"/>
    </row>
    <row r="36" spans="1:18" ht="42" hidden="1" customHeight="1">
      <c r="A36" s="1551" t="s">
        <v>825</v>
      </c>
      <c r="B36" s="1664" t="s">
        <v>120</v>
      </c>
      <c r="C36" s="1822" t="s">
        <v>1739</v>
      </c>
      <c r="D36" s="1818"/>
      <c r="E36" s="1818"/>
      <c r="F36" s="1818"/>
      <c r="G36" s="1818"/>
      <c r="H36" s="1818"/>
      <c r="I36" s="1559" t="s">
        <v>1685</v>
      </c>
      <c r="J36" s="1559" t="s">
        <v>1685</v>
      </c>
      <c r="K36" s="1559" t="s">
        <v>1685</v>
      </c>
      <c r="L36" s="1560" t="s">
        <v>1685</v>
      </c>
      <c r="M36" s="1474"/>
      <c r="N36" s="1636" t="b">
        <f t="shared" si="6"/>
        <v>1</v>
      </c>
      <c r="O36" s="1462" t="b">
        <f t="shared" si="6"/>
        <v>1</v>
      </c>
      <c r="P36" s="1462" t="b">
        <f t="shared" si="6"/>
        <v>1</v>
      </c>
      <c r="Q36" s="1451" t="b">
        <f t="shared" si="6"/>
        <v>1</v>
      </c>
      <c r="R36" s="1440"/>
    </row>
    <row r="37" spans="1:18" ht="31.95" hidden="1" customHeight="1">
      <c r="A37" s="1551" t="s">
        <v>826</v>
      </c>
      <c r="B37" s="1664" t="s">
        <v>122</v>
      </c>
      <c r="C37" s="1822" t="s">
        <v>1740</v>
      </c>
      <c r="D37" s="1818"/>
      <c r="E37" s="1818"/>
      <c r="F37" s="1818"/>
      <c r="G37" s="1818"/>
      <c r="H37" s="1818"/>
      <c r="I37" s="1559" t="s">
        <v>1685</v>
      </c>
      <c r="J37" s="1559" t="s">
        <v>1685</v>
      </c>
      <c r="K37" s="1559" t="s">
        <v>1685</v>
      </c>
      <c r="L37" s="1560" t="s">
        <v>1685</v>
      </c>
      <c r="M37" s="1474"/>
      <c r="N37" s="1482" t="b">
        <f t="shared" si="6"/>
        <v>1</v>
      </c>
      <c r="O37" s="1463" t="b">
        <f t="shared" si="6"/>
        <v>1</v>
      </c>
      <c r="P37" s="1463" t="b">
        <f t="shared" si="6"/>
        <v>1</v>
      </c>
      <c r="Q37" s="1451" t="b">
        <f t="shared" si="6"/>
        <v>1</v>
      </c>
      <c r="R37" s="1440"/>
    </row>
    <row r="38" spans="1:18" ht="31.95" hidden="1" customHeight="1">
      <c r="A38" s="1551" t="s">
        <v>827</v>
      </c>
      <c r="B38" s="1476"/>
      <c r="C38" s="1823"/>
      <c r="D38" s="1824"/>
      <c r="E38" s="1824"/>
      <c r="F38" s="1824"/>
      <c r="G38" s="1824"/>
      <c r="H38" s="1824"/>
      <c r="I38" s="1559"/>
      <c r="J38" s="1559"/>
      <c r="K38" s="1559"/>
      <c r="L38" s="1560"/>
      <c r="M38" s="1474"/>
      <c r="N38" s="1636"/>
      <c r="O38" s="1462"/>
      <c r="P38" s="1462"/>
      <c r="Q38" s="1451"/>
      <c r="R38" s="1440"/>
    </row>
    <row r="39" spans="1:18" ht="31.95" hidden="1" customHeight="1">
      <c r="A39" s="1551" t="s">
        <v>828</v>
      </c>
      <c r="B39" s="1476"/>
      <c r="C39" s="1823"/>
      <c r="D39" s="1824"/>
      <c r="E39" s="1824"/>
      <c r="F39" s="1824"/>
      <c r="G39" s="1824"/>
      <c r="H39" s="1824"/>
      <c r="I39" s="1559"/>
      <c r="J39" s="1559"/>
      <c r="K39" s="1559"/>
      <c r="L39" s="1560"/>
      <c r="M39" s="1474"/>
      <c r="N39" s="1636"/>
      <c r="O39" s="1462"/>
      <c r="P39" s="1462"/>
      <c r="Q39" s="1451"/>
      <c r="R39" s="1440"/>
    </row>
    <row r="40" spans="1:18" ht="31.95" hidden="1" customHeight="1">
      <c r="A40" s="1551" t="s">
        <v>829</v>
      </c>
      <c r="B40" s="1476"/>
      <c r="C40" s="1823"/>
      <c r="D40" s="1824"/>
      <c r="E40" s="1824"/>
      <c r="F40" s="1824"/>
      <c r="G40" s="1824"/>
      <c r="H40" s="1824"/>
      <c r="I40" s="1559"/>
      <c r="J40" s="1559"/>
      <c r="K40" s="1559"/>
      <c r="L40" s="1560"/>
      <c r="M40" s="1474"/>
      <c r="N40" s="1636"/>
      <c r="O40" s="1462"/>
      <c r="P40" s="1462"/>
      <c r="Q40" s="1451"/>
      <c r="R40" s="1440"/>
    </row>
    <row r="41" spans="1:18" ht="31.95" hidden="1" customHeight="1">
      <c r="A41" s="1551" t="s">
        <v>830</v>
      </c>
      <c r="B41" s="1476"/>
      <c r="C41" s="1823"/>
      <c r="D41" s="1824"/>
      <c r="E41" s="1824"/>
      <c r="F41" s="1824"/>
      <c r="G41" s="1824"/>
      <c r="H41" s="1824"/>
      <c r="I41" s="1559"/>
      <c r="J41" s="1559"/>
      <c r="K41" s="1559"/>
      <c r="L41" s="1560"/>
      <c r="M41" s="1474"/>
      <c r="N41" s="1482"/>
      <c r="O41" s="1463"/>
      <c r="P41" s="1463"/>
      <c r="Q41" s="1452"/>
      <c r="R41" s="1440"/>
    </row>
    <row r="42" spans="1:18" ht="15" customHeight="1">
      <c r="A42" s="1551" t="s">
        <v>831</v>
      </c>
      <c r="B42" s="1644" t="s">
        <v>1711</v>
      </c>
      <c r="C42" s="1477"/>
      <c r="D42" s="1477"/>
      <c r="E42" s="1477"/>
      <c r="F42" s="1477"/>
      <c r="G42" s="1477"/>
      <c r="H42" s="1477"/>
      <c r="I42" s="1462"/>
      <c r="J42" s="1462"/>
      <c r="K42" s="1462"/>
      <c r="L42" s="1451"/>
      <c r="M42" s="1478"/>
      <c r="N42" s="1463" t="b">
        <f>AND(N35:N41)</f>
        <v>0</v>
      </c>
      <c r="O42" s="1463" t="b">
        <f>AND(O35:O41)</f>
        <v>0</v>
      </c>
      <c r="P42" s="1463" t="b">
        <f>AND(P35:P41)</f>
        <v>0</v>
      </c>
      <c r="Q42" s="1466" t="b">
        <f>AND(Q35:Q41)</f>
        <v>0</v>
      </c>
      <c r="R42" s="1444"/>
    </row>
    <row r="43" spans="1:18" ht="18" customHeight="1">
      <c r="A43" s="1551"/>
      <c r="B43" s="1800"/>
      <c r="C43" s="1801"/>
      <c r="D43" s="1801"/>
      <c r="E43" s="1801"/>
      <c r="F43" s="1801"/>
      <c r="G43" s="1801"/>
      <c r="H43" s="1801"/>
      <c r="I43" s="1801"/>
      <c r="J43" s="1801"/>
      <c r="K43" s="1801"/>
      <c r="L43" s="1839"/>
      <c r="M43" s="1470"/>
      <c r="N43" s="1444"/>
      <c r="O43" s="1444"/>
      <c r="P43" s="1444"/>
      <c r="Q43" s="1444"/>
      <c r="R43" s="1444"/>
    </row>
    <row r="44" spans="1:18" ht="8.4" customHeight="1">
      <c r="A44" s="1551"/>
      <c r="B44" s="1444"/>
      <c r="C44" s="1444"/>
      <c r="D44" s="1444"/>
      <c r="E44" s="1444"/>
      <c r="F44" s="1444"/>
      <c r="G44" s="1444"/>
      <c r="H44" s="1444"/>
      <c r="I44" s="1444"/>
      <c r="J44" s="1444"/>
      <c r="K44" s="1444"/>
      <c r="L44" s="1444"/>
      <c r="M44" s="1444"/>
      <c r="N44" s="1444"/>
      <c r="O44" s="1444"/>
      <c r="P44" s="1444"/>
      <c r="Q44" s="1444"/>
      <c r="R44" s="1440"/>
    </row>
    <row r="45" spans="1:18" ht="15" customHeight="1">
      <c r="A45" s="1551"/>
      <c r="B45" s="1468" t="s">
        <v>1206</v>
      </c>
      <c r="C45" s="1444"/>
      <c r="D45" s="1444"/>
      <c r="E45" s="1444"/>
      <c r="F45" s="1444"/>
      <c r="G45" s="1444"/>
      <c r="H45" s="1444"/>
      <c r="I45" s="1444"/>
      <c r="J45" s="1444"/>
      <c r="K45" s="1444"/>
      <c r="L45" s="1444"/>
      <c r="M45" s="1444"/>
      <c r="N45" s="1444"/>
      <c r="O45" s="1444"/>
      <c r="P45" s="1444"/>
      <c r="Q45" s="1444"/>
      <c r="R45" s="1440"/>
    </row>
    <row r="46" spans="1:18" ht="19.95" customHeight="1">
      <c r="A46" s="1551"/>
      <c r="B46" s="38"/>
      <c r="C46" s="1834" t="s">
        <v>127</v>
      </c>
      <c r="D46" s="1834"/>
      <c r="E46" s="1834"/>
      <c r="F46" s="1834"/>
      <c r="G46" s="1834"/>
      <c r="H46" s="1835"/>
      <c r="I46" s="1456">
        <v>1</v>
      </c>
      <c r="J46" s="1456">
        <v>2</v>
      </c>
      <c r="K46" s="1456">
        <v>3</v>
      </c>
      <c r="L46" s="1457">
        <v>4</v>
      </c>
      <c r="M46" s="1479"/>
      <c r="N46" s="1480">
        <v>1</v>
      </c>
      <c r="O46" s="1472">
        <v>2</v>
      </c>
      <c r="P46" s="1472">
        <v>3</v>
      </c>
      <c r="Q46" s="1473">
        <v>4</v>
      </c>
      <c r="R46" s="1440"/>
    </row>
    <row r="47" spans="1:18" ht="42" customHeight="1">
      <c r="A47" s="1551" t="s">
        <v>832</v>
      </c>
      <c r="B47" s="1825" t="s">
        <v>1741</v>
      </c>
      <c r="C47" s="1821"/>
      <c r="D47" s="1821"/>
      <c r="E47" s="1821"/>
      <c r="F47" s="1821"/>
      <c r="G47" s="1821"/>
      <c r="H47" s="1826"/>
      <c r="I47" s="1555"/>
      <c r="J47" s="1555"/>
      <c r="K47" s="1555"/>
      <c r="L47" s="1556"/>
      <c r="M47" s="1474"/>
      <c r="N47" s="1481" t="b">
        <f t="shared" ref="N47:Q48" si="7">I47=$N$32</f>
        <v>0</v>
      </c>
      <c r="O47" s="1475" t="b">
        <f t="shared" si="7"/>
        <v>0</v>
      </c>
      <c r="P47" s="1475" t="b">
        <f t="shared" si="7"/>
        <v>0</v>
      </c>
      <c r="Q47" s="1447" t="b">
        <f t="shared" si="7"/>
        <v>0</v>
      </c>
      <c r="R47" s="1440"/>
    </row>
    <row r="48" spans="1:18" ht="31.95" customHeight="1">
      <c r="A48" s="1551" t="s">
        <v>833</v>
      </c>
      <c r="B48" s="1817" t="s">
        <v>47</v>
      </c>
      <c r="C48" s="1818"/>
      <c r="D48" s="1818"/>
      <c r="E48" s="1818"/>
      <c r="F48" s="1818"/>
      <c r="G48" s="1818"/>
      <c r="H48" s="1818"/>
      <c r="I48" s="1559"/>
      <c r="J48" s="1559"/>
      <c r="K48" s="1559"/>
      <c r="L48" s="1560"/>
      <c r="M48" s="1474"/>
      <c r="N48" s="1636" t="b">
        <f t="shared" si="7"/>
        <v>0</v>
      </c>
      <c r="O48" s="1462" t="b">
        <f t="shared" si="7"/>
        <v>0</v>
      </c>
      <c r="P48" s="1462" t="b">
        <f t="shared" si="7"/>
        <v>0</v>
      </c>
      <c r="Q48" s="1451" t="b">
        <f t="shared" si="7"/>
        <v>0</v>
      </c>
      <c r="R48" s="1440"/>
    </row>
    <row r="49" spans="1:18" ht="31.95" hidden="1" customHeight="1">
      <c r="A49" s="1551" t="s">
        <v>834</v>
      </c>
      <c r="B49" s="1827"/>
      <c r="C49" s="1824"/>
      <c r="D49" s="1824"/>
      <c r="E49" s="1824"/>
      <c r="F49" s="1824"/>
      <c r="G49" s="1824"/>
      <c r="H49" s="1824"/>
      <c r="I49" s="1559"/>
      <c r="J49" s="1559"/>
      <c r="K49" s="1559"/>
      <c r="L49" s="1560"/>
      <c r="M49" s="1640"/>
      <c r="N49" s="1636" t="b">
        <f t="shared" ref="N49:Q50" si="8">I49=$N$32</f>
        <v>0</v>
      </c>
      <c r="O49" s="1462" t="b">
        <f t="shared" si="8"/>
        <v>0</v>
      </c>
      <c r="P49" s="1462" t="b">
        <f t="shared" si="8"/>
        <v>0</v>
      </c>
      <c r="Q49" s="1451" t="b">
        <f t="shared" si="8"/>
        <v>0</v>
      </c>
      <c r="R49" s="1440"/>
    </row>
    <row r="50" spans="1:18" ht="31.95" hidden="1" customHeight="1">
      <c r="A50" s="1551" t="s">
        <v>835</v>
      </c>
      <c r="B50" s="1815"/>
      <c r="C50" s="1816"/>
      <c r="D50" s="1816"/>
      <c r="E50" s="1816"/>
      <c r="F50" s="1816"/>
      <c r="G50" s="1816"/>
      <c r="H50" s="1816"/>
      <c r="I50" s="1557"/>
      <c r="J50" s="1557"/>
      <c r="K50" s="1557"/>
      <c r="L50" s="1558"/>
      <c r="M50" s="1641"/>
      <c r="N50" s="1636" t="b">
        <f t="shared" si="8"/>
        <v>0</v>
      </c>
      <c r="O50" s="1462" t="b">
        <f t="shared" si="8"/>
        <v>0</v>
      </c>
      <c r="P50" s="1462" t="b">
        <f t="shared" si="8"/>
        <v>0</v>
      </c>
      <c r="Q50" s="1451" t="b">
        <f t="shared" si="8"/>
        <v>0</v>
      </c>
      <c r="R50" s="1440"/>
    </row>
    <row r="51" spans="1:18" ht="9" customHeight="1">
      <c r="A51" s="1551"/>
      <c r="B51" s="1454"/>
      <c r="C51" s="1454"/>
      <c r="D51" s="1454"/>
      <c r="E51" s="1454"/>
      <c r="F51" s="1454"/>
      <c r="G51" s="1454"/>
      <c r="H51" s="1454"/>
      <c r="I51" s="1465"/>
      <c r="J51" s="1465"/>
      <c r="K51" s="1465"/>
      <c r="L51" s="1465"/>
      <c r="M51" s="1465"/>
      <c r="N51" s="1465" t="b">
        <f>OR(N47:N50)</f>
        <v>0</v>
      </c>
      <c r="O51" s="1465" t="b">
        <f>OR(O47:O50)</f>
        <v>0</v>
      </c>
      <c r="P51" s="1465" t="b">
        <f>OR(P47:P50)</f>
        <v>0</v>
      </c>
      <c r="Q51" s="1466" t="b">
        <f>OR(Q47:Q50)</f>
        <v>0</v>
      </c>
      <c r="R51" s="1642" t="s">
        <v>246</v>
      </c>
    </row>
    <row r="52" spans="1:18" ht="28.2" customHeight="1">
      <c r="A52" s="1551"/>
      <c r="B52" s="1836" t="s">
        <v>1742</v>
      </c>
      <c r="C52" s="1837"/>
      <c r="D52" s="1837"/>
      <c r="E52" s="1837"/>
      <c r="F52" s="1837"/>
      <c r="G52" s="1837"/>
      <c r="H52" s="1838"/>
      <c r="I52" s="1483" t="str">
        <f>IF(N52,$N32,$N33)</f>
        <v>No</v>
      </c>
      <c r="J52" s="1483" t="str">
        <f>IF(O52,$N32,$N33)</f>
        <v>No</v>
      </c>
      <c r="K52" s="1483" t="str">
        <f>IF(P52,$N32,$N33)</f>
        <v>No</v>
      </c>
      <c r="L52" s="1484" t="str">
        <f>IF(Q52,$N32,$N33)</f>
        <v>No</v>
      </c>
      <c r="M52" s="1485"/>
      <c r="N52" s="1482" t="b">
        <f>OR(N30,N42,N51)</f>
        <v>0</v>
      </c>
      <c r="O52" s="1463" t="b">
        <f>OR(O30,O42,O51)</f>
        <v>0</v>
      </c>
      <c r="P52" s="1463" t="b">
        <f>OR(P30,P42,P51)</f>
        <v>0</v>
      </c>
      <c r="Q52" s="1452" t="b">
        <f>OR(Q30,Q42,Q51)</f>
        <v>0</v>
      </c>
      <c r="R52" s="1509" t="b">
        <f>IF(Zonen&gt;3,AND(N52,O52,P52,Q52),IF(Zonen&gt;2,AND(N52,O52,P52),IF(Zonen&gt;1,AND(N52,O52),N52)))</f>
        <v>0</v>
      </c>
    </row>
    <row r="56" spans="1:18">
      <c r="B56" s="1022"/>
    </row>
  </sheetData>
  <sheetProtection algorithmName="SHA-512" hashValue="IUrsQqhSvMt1baj+4A/K04jG0z3KBP1RYaXzO90gl2lm4Gl6NqOYBf54F5ta3mQ//mgHjaB4jIspgneQSZLRQA==" saltValue="Fm0hEaCWZ3uBAsy5LF0z0A==" spinCount="100000" sheet="1" objects="1" scenarios="1"/>
  <mergeCells count="42">
    <mergeCell ref="B29:H29"/>
    <mergeCell ref="B30:L30"/>
    <mergeCell ref="C34:H34"/>
    <mergeCell ref="B52:H52"/>
    <mergeCell ref="C37:H37"/>
    <mergeCell ref="B43:L43"/>
    <mergeCell ref="C46:H46"/>
    <mergeCell ref="B47:H47"/>
    <mergeCell ref="B49:H49"/>
    <mergeCell ref="C41:H41"/>
    <mergeCell ref="C40:H40"/>
    <mergeCell ref="B11:L11"/>
    <mergeCell ref="B50:H50"/>
    <mergeCell ref="B22:H22"/>
    <mergeCell ref="B23:H23"/>
    <mergeCell ref="B24:H24"/>
    <mergeCell ref="B25:H25"/>
    <mergeCell ref="B26:H26"/>
    <mergeCell ref="C35:H35"/>
    <mergeCell ref="C36:H36"/>
    <mergeCell ref="C38:H38"/>
    <mergeCell ref="C39:H39"/>
    <mergeCell ref="B20:H20"/>
    <mergeCell ref="B21:H21"/>
    <mergeCell ref="B48:H48"/>
    <mergeCell ref="B27:H27"/>
    <mergeCell ref="B28:H28"/>
    <mergeCell ref="B4:M4"/>
    <mergeCell ref="B5:M5"/>
    <mergeCell ref="B6:M6"/>
    <mergeCell ref="B8:M8"/>
    <mergeCell ref="B10:L10"/>
    <mergeCell ref="B12:H12"/>
    <mergeCell ref="B13:L13"/>
    <mergeCell ref="B14:L14"/>
    <mergeCell ref="B18:H18"/>
    <mergeCell ref="B15:L15"/>
    <mergeCell ref="I18:I19"/>
    <mergeCell ref="J18:J19"/>
    <mergeCell ref="K18:K19"/>
    <mergeCell ref="L18:L19"/>
    <mergeCell ref="B19:G19"/>
  </mergeCells>
  <phoneticPr fontId="5" type="noConversion"/>
  <conditionalFormatting sqref="I52">
    <cfRule type="expression" dxfId="73" priority="5" stopIfTrue="1">
      <formula>$N$52</formula>
    </cfRule>
  </conditionalFormatting>
  <conditionalFormatting sqref="J52">
    <cfRule type="expression" dxfId="72" priority="6" stopIfTrue="1">
      <formula>$O$52</formula>
    </cfRule>
  </conditionalFormatting>
  <conditionalFormatting sqref="K52">
    <cfRule type="expression" dxfId="71" priority="7" stopIfTrue="1">
      <formula>$P$52</formula>
    </cfRule>
  </conditionalFormatting>
  <conditionalFormatting sqref="L52">
    <cfRule type="expression" dxfId="70" priority="8" stopIfTrue="1">
      <formula>$Q$52</formula>
    </cfRule>
  </conditionalFormatting>
  <conditionalFormatting sqref="I35:I41 I47:I50 I20:I29">
    <cfRule type="expression" dxfId="69" priority="9" stopIfTrue="1">
      <formula>Zonen&gt;0</formula>
    </cfRule>
  </conditionalFormatting>
  <conditionalFormatting sqref="J35:J41 J47:J50 J20:J29">
    <cfRule type="expression" dxfId="68" priority="10" stopIfTrue="1">
      <formula>Zonen&gt;1</formula>
    </cfRule>
  </conditionalFormatting>
  <conditionalFormatting sqref="K35:K41 K47:K50 K20:K29">
    <cfRule type="expression" dxfId="67" priority="11" stopIfTrue="1">
      <formula>Zonen&gt;2</formula>
    </cfRule>
  </conditionalFormatting>
  <conditionalFormatting sqref="L35:L41 L47:L50 L20:L29">
    <cfRule type="expression" dxfId="66" priority="12" stopIfTrue="1">
      <formula>Zonen&gt;3</formula>
    </cfRule>
  </conditionalFormatting>
  <conditionalFormatting sqref="I18">
    <cfRule type="expression" dxfId="65" priority="4" stopIfTrue="1">
      <formula>Zonen&gt;0</formula>
    </cfRule>
  </conditionalFormatting>
  <conditionalFormatting sqref="J18">
    <cfRule type="expression" dxfId="64" priority="3" stopIfTrue="1">
      <formula>Zonen&gt;0</formula>
    </cfRule>
  </conditionalFormatting>
  <conditionalFormatting sqref="K18">
    <cfRule type="expression" dxfId="63" priority="2" stopIfTrue="1">
      <formula>Zonen&gt;0</formula>
    </cfRule>
  </conditionalFormatting>
  <conditionalFormatting sqref="L18">
    <cfRule type="expression" dxfId="62" priority="1" stopIfTrue="1">
      <formula>Zonen&gt;0</formula>
    </cfRule>
  </conditionalFormatting>
  <dataValidations count="6">
    <dataValidation type="list" allowBlank="1" showInputMessage="1" showErrorMessage="1" sqref="I35:L41">
      <formula1>$N$32:$N$33</formula1>
    </dataValidation>
    <dataValidation type="list" allowBlank="1" showInputMessage="1" showErrorMessage="1" sqref="I20:L22 I27:L29">
      <formula1>$N$11:$N$13</formula1>
    </dataValidation>
    <dataValidation type="list" allowBlank="1" showInputMessage="1" showErrorMessage="1" sqref="I47:L50">
      <formula1>$N$31:$N$33</formula1>
    </dataValidation>
    <dataValidation type="list" allowBlank="1" showInputMessage="1" showErrorMessage="1" sqref="I23:L23">
      <formula1>$N$11:$N$12</formula1>
    </dataValidation>
    <dataValidation type="list" allowBlank="1" showInputMessage="1" showErrorMessage="1" sqref="I24:L26">
      <formula1>$O$11:$O$13</formula1>
    </dataValidation>
    <dataValidation type="list" allowBlank="1" showInputMessage="1" showErrorMessage="1" sqref="I18:L18">
      <formula1>$P$11:$P$14</formula1>
    </dataValidation>
  </dataValidations>
  <pageMargins left="0.62" right="0.37" top="0.34" bottom="0.43" header="0.33" footer="0.23"/>
  <pageSetup paperSize="9" scale="96" orientation="portrait" r:id="rId1"/>
  <headerFooter alignWithMargins="0">
    <oddFooter>&amp;L&amp;8&amp;F / &amp;A / &amp;D, &amp;T&amp;R&amp;8MINERGIE - Nachweis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pageSetUpPr fitToPage="1"/>
  </sheetPr>
  <dimension ref="A2:DJ166"/>
  <sheetViews>
    <sheetView showGridLines="0" showZeros="0" topLeftCell="D8" zoomScaleNormal="100" zoomScaleSheetLayoutView="100" workbookViewId="0">
      <selection activeCell="J132" sqref="J132"/>
    </sheetView>
  </sheetViews>
  <sheetFormatPr baseColWidth="10" defaultColWidth="9.6640625" defaultRowHeight="13.2"/>
  <cols>
    <col min="1" max="1" width="3.44140625" style="144" customWidth="1"/>
    <col min="2" max="6" width="9.6640625" style="59" customWidth="1"/>
    <col min="7" max="7" width="11.44140625" style="59" customWidth="1"/>
    <col min="8" max="10" width="10" style="59" customWidth="1"/>
    <col min="11" max="11" width="14.6640625" style="27" customWidth="1"/>
    <col min="12" max="12" width="10.44140625" style="386" hidden="1" customWidth="1"/>
    <col min="13" max="13" width="3" style="386" hidden="1" customWidth="1"/>
    <col min="14" max="14" width="21.6640625" style="386" hidden="1" customWidth="1"/>
    <col min="15" max="15" width="10.6640625" style="386" hidden="1" customWidth="1"/>
    <col min="16" max="16" width="7.44140625" style="386" hidden="1" customWidth="1"/>
    <col min="17" max="21" width="0.6640625" style="386" hidden="1" customWidth="1"/>
    <col min="22" max="22" width="1" style="386" hidden="1" customWidth="1"/>
    <col min="23" max="25" width="3.44140625" style="13" hidden="1" customWidth="1"/>
    <col min="26" max="26" width="3.6640625" style="13" hidden="1" customWidth="1"/>
    <col min="27" max="27" width="19.33203125" style="13" hidden="1" customWidth="1"/>
    <col min="28" max="28" width="0.6640625" style="13" hidden="1" customWidth="1"/>
    <col min="29" max="31" width="11.44140625" style="13" hidden="1" customWidth="1"/>
    <col min="32" max="32" width="16.6640625" style="13" hidden="1" customWidth="1"/>
    <col min="33" max="33" width="5.6640625" style="13" hidden="1" customWidth="1"/>
    <col min="34" max="34" width="4.44140625" style="13" hidden="1" customWidth="1"/>
    <col min="35" max="39" width="0.6640625" style="13" hidden="1" customWidth="1"/>
    <col min="40" max="40" width="1.33203125" style="13" hidden="1" customWidth="1"/>
    <col min="41" max="59" width="11.44140625" style="13" hidden="1" customWidth="1"/>
    <col min="60" max="112" width="8.109375" style="389" hidden="1" customWidth="1"/>
    <col min="113" max="113" width="0.109375" style="389" hidden="1" customWidth="1"/>
    <col min="114" max="114" width="9.6640625" style="59" hidden="1" customWidth="1"/>
    <col min="115" max="115" width="9.6640625" style="59" customWidth="1"/>
    <col min="116" max="16384" width="9.6640625" style="59"/>
  </cols>
  <sheetData>
    <row r="2" spans="1:113" ht="15" customHeight="1">
      <c r="A2" s="624"/>
      <c r="B2" s="1209" t="s">
        <v>11</v>
      </c>
      <c r="C2" s="13"/>
      <c r="D2" s="13"/>
      <c r="E2" s="13"/>
      <c r="F2" s="13"/>
      <c r="G2" s="13"/>
      <c r="H2" s="13"/>
      <c r="I2" s="13"/>
      <c r="J2" s="935" t="str">
        <f>Dati!J2</f>
        <v>MINERGIE, versione 2016, da utilizzare fino al 31.12.2016 al più tardi</v>
      </c>
      <c r="P2" s="386" t="s">
        <v>1201</v>
      </c>
    </row>
    <row r="3" spans="1:113">
      <c r="A3" s="624"/>
      <c r="B3" s="13"/>
      <c r="C3" s="13"/>
      <c r="D3" s="13"/>
      <c r="E3" s="13"/>
      <c r="F3" s="13"/>
      <c r="G3" s="13"/>
      <c r="H3" s="13"/>
      <c r="I3" s="13"/>
      <c r="J3" s="13"/>
    </row>
    <row r="4" spans="1:113" ht="15" customHeight="1">
      <c r="A4" s="624"/>
      <c r="B4" s="138" t="s">
        <v>629</v>
      </c>
      <c r="C4" s="34"/>
      <c r="D4" s="34"/>
      <c r="E4" s="34"/>
      <c r="F4" s="34"/>
      <c r="G4" s="34"/>
      <c r="H4" s="34"/>
      <c r="I4" s="34"/>
      <c r="J4" s="342"/>
      <c r="K4" s="392"/>
      <c r="M4" s="387"/>
      <c r="N4" s="388" t="s">
        <v>399</v>
      </c>
      <c r="O4" s="388" t="s">
        <v>1393</v>
      </c>
      <c r="P4" s="10" t="s">
        <v>471</v>
      </c>
      <c r="Q4" s="10"/>
      <c r="R4" s="10"/>
      <c r="S4" s="10"/>
      <c r="X4" s="1840" t="s">
        <v>764</v>
      </c>
      <c r="Y4" s="1840" t="s">
        <v>765</v>
      </c>
      <c r="Z4" s="1840" t="s">
        <v>766</v>
      </c>
    </row>
    <row r="5" spans="1:113">
      <c r="A5" s="625"/>
      <c r="B5" s="1846">
        <f>Projekt1</f>
        <v>0</v>
      </c>
      <c r="C5" s="1847"/>
      <c r="D5" s="1847"/>
      <c r="E5" s="1847"/>
      <c r="F5" s="1847"/>
      <c r="G5" s="1847"/>
      <c r="H5" s="1847"/>
      <c r="I5" s="1847"/>
      <c r="J5" s="1848"/>
      <c r="K5" s="395"/>
      <c r="M5" s="501">
        <v>1</v>
      </c>
      <c r="N5" s="391" t="str">
        <f>IF($P$9,Standardwerte!$L35,"")</f>
        <v/>
      </c>
      <c r="O5" s="391" t="str">
        <f>IF($P$5,Standardwerte!$O35,"")</f>
        <v/>
      </c>
      <c r="P5" s="10" t="b">
        <f>AND(X9&lt;=5,X9&gt;1)</f>
        <v>0</v>
      </c>
      <c r="Q5" s="10"/>
      <c r="R5" s="10"/>
      <c r="S5" s="10"/>
      <c r="X5" s="1841"/>
      <c r="Y5" s="1841"/>
      <c r="Z5" s="1841"/>
    </row>
    <row r="6" spans="1:113">
      <c r="A6" s="625"/>
      <c r="B6" s="1849">
        <f>Projekt2</f>
        <v>0</v>
      </c>
      <c r="C6" s="1850"/>
      <c r="D6" s="1850"/>
      <c r="E6" s="1850"/>
      <c r="F6" s="1850"/>
      <c r="G6" s="1850"/>
      <c r="H6" s="1850"/>
      <c r="I6" s="1850"/>
      <c r="J6" s="1851"/>
      <c r="K6" s="395"/>
      <c r="M6" s="501">
        <v>2</v>
      </c>
      <c r="N6" s="393" t="str">
        <f>IF($P$9,Standardwerte!$L36,"")</f>
        <v/>
      </c>
      <c r="O6" s="393" t="str">
        <f>IF($P$5,Standardwerte!$O36,"")</f>
        <v/>
      </c>
      <c r="P6" s="10" t="s">
        <v>472</v>
      </c>
      <c r="Q6" s="10"/>
      <c r="R6" s="10"/>
      <c r="S6" s="10"/>
      <c r="X6" s="1841"/>
      <c r="Y6" s="1841"/>
      <c r="Z6" s="1841"/>
    </row>
    <row r="7" spans="1:113">
      <c r="A7" s="625"/>
      <c r="B7" s="1852">
        <f>Projekt3</f>
        <v>0</v>
      </c>
      <c r="C7" s="1853"/>
      <c r="D7" s="1853"/>
      <c r="E7" s="1853"/>
      <c r="F7" s="1853"/>
      <c r="G7" s="1853"/>
      <c r="H7" s="1853"/>
      <c r="I7" s="1853"/>
      <c r="J7" s="1854"/>
      <c r="K7" s="395"/>
      <c r="M7" s="501">
        <v>3</v>
      </c>
      <c r="N7" s="393" t="str">
        <f>IF($P$9,Standardwerte!$L37,"")</f>
        <v/>
      </c>
      <c r="O7" s="393" t="str">
        <f>IF($P$5,Standardwerte!$O37,"")</f>
        <v/>
      </c>
      <c r="P7" s="10" t="b">
        <f>IF(minergiep,FALSE,AND(Standardlüftung1=3, X9&lt;=3))</f>
        <v>0</v>
      </c>
      <c r="Q7" s="10"/>
      <c r="R7" s="10"/>
      <c r="S7" s="10"/>
      <c r="X7" s="1841"/>
      <c r="Y7" s="1841"/>
      <c r="Z7" s="1841"/>
      <c r="AA7" s="396" t="s">
        <v>767</v>
      </c>
      <c r="AB7" s="386"/>
      <c r="AC7" s="386" t="s">
        <v>768</v>
      </c>
      <c r="AD7" s="386"/>
      <c r="AE7" s="386"/>
      <c r="AF7" s="386"/>
      <c r="AG7" s="386"/>
      <c r="AH7" s="386"/>
      <c r="AI7" s="386"/>
      <c r="AJ7" s="386"/>
      <c r="AK7" s="386"/>
      <c r="AL7" s="386"/>
      <c r="AM7" s="386"/>
      <c r="AO7" s="397" t="s">
        <v>400</v>
      </c>
      <c r="AY7" s="397" t="s">
        <v>470</v>
      </c>
      <c r="BH7" s="397" t="s">
        <v>769</v>
      </c>
    </row>
    <row r="8" spans="1:113" ht="13.8" thickBot="1">
      <c r="A8" s="139"/>
      <c r="B8" s="340"/>
      <c r="C8" s="340"/>
      <c r="D8" s="340"/>
      <c r="E8" s="340"/>
      <c r="F8" s="340"/>
      <c r="G8" s="340"/>
      <c r="H8" s="340"/>
      <c r="I8" s="340"/>
      <c r="J8" s="340"/>
      <c r="K8" s="395"/>
      <c r="L8" s="387" t="s">
        <v>1472</v>
      </c>
      <c r="M8" s="501">
        <v>4</v>
      </c>
      <c r="N8" s="393" t="str">
        <f>IF($P$9,Standardwerte!$L38,"")</f>
        <v/>
      </c>
      <c r="O8" s="393" t="str">
        <f>IF($P$5,Standardwerte!$O38,"")</f>
        <v/>
      </c>
      <c r="P8" s="10"/>
      <c r="Q8" s="10"/>
      <c r="R8" s="10"/>
      <c r="S8" s="10"/>
      <c r="X8" s="1842"/>
      <c r="Y8" s="1842"/>
      <c r="Z8" s="1842"/>
      <c r="AA8" s="398"/>
      <c r="AB8" s="386"/>
      <c r="AC8" s="386"/>
      <c r="AD8" s="386"/>
      <c r="AE8" s="386"/>
      <c r="AF8" s="386"/>
      <c r="AG8" s="386"/>
      <c r="AH8" s="386"/>
      <c r="AI8" s="386"/>
      <c r="AJ8" s="386"/>
      <c r="AK8" s="386"/>
      <c r="AL8" s="386"/>
      <c r="AM8" s="386"/>
    </row>
    <row r="9" spans="1:113" ht="14.4" thickBot="1">
      <c r="A9" s="624" t="s">
        <v>658</v>
      </c>
      <c r="B9" s="1239" t="s">
        <v>1607</v>
      </c>
      <c r="C9" s="1700"/>
      <c r="D9" s="1700"/>
      <c r="E9" s="344" t="s">
        <v>1223</v>
      </c>
      <c r="F9" s="344"/>
      <c r="G9" s="1700"/>
      <c r="H9" s="345">
        <f ca="1">AO10</f>
        <v>0</v>
      </c>
      <c r="I9" s="346"/>
      <c r="J9" s="347"/>
      <c r="K9" s="8"/>
      <c r="L9" s="493" t="b">
        <f>OR(X10=2,X10=3,X10=6)</f>
        <v>0</v>
      </c>
      <c r="M9" s="501">
        <v>5</v>
      </c>
      <c r="N9" s="393" t="str">
        <f>IF($P$9,Standardwerte!$L39,"")</f>
        <v/>
      </c>
      <c r="O9" s="393" t="str">
        <f>IF($P$5,Standardwerte!$O39,"")</f>
        <v/>
      </c>
      <c r="P9" s="10" t="b">
        <f>IF(minergiep,TRUE,AND(X9&lt;=5,X9&gt;1,OR(Kategorie1&gt;3,AND(Kategorie1&lt;4,Standardlüftung1&lt;3))))</f>
        <v>0</v>
      </c>
      <c r="Q9" s="10"/>
      <c r="R9" s="10"/>
      <c r="S9" s="10"/>
      <c r="W9" s="341" t="s">
        <v>658</v>
      </c>
      <c r="X9" s="12">
        <f>Kategorie1</f>
        <v>1</v>
      </c>
      <c r="Y9" s="12">
        <f>(X9-2)*9</f>
        <v>-9</v>
      </c>
      <c r="Z9" s="12">
        <f>(X9-2)*3</f>
        <v>-3</v>
      </c>
      <c r="AA9" s="387" t="s">
        <v>770</v>
      </c>
      <c r="AB9" s="386"/>
      <c r="AC9" s="386"/>
      <c r="AD9" s="386"/>
      <c r="AE9" s="386"/>
      <c r="AF9" s="386"/>
      <c r="AG9" s="386"/>
      <c r="AH9" s="386"/>
      <c r="AI9" s="386"/>
      <c r="AJ9" s="386"/>
      <c r="AK9" s="386"/>
      <c r="AL9" s="386"/>
      <c r="AM9" s="386"/>
      <c r="AO9" s="399" t="s">
        <v>1610</v>
      </c>
      <c r="AP9" s="400" t="s">
        <v>1611</v>
      </c>
      <c r="AQ9" s="400" t="s">
        <v>1612</v>
      </c>
      <c r="AR9" s="400" t="s">
        <v>1613</v>
      </c>
      <c r="AS9" s="400" t="s">
        <v>1307</v>
      </c>
      <c r="AT9" s="400" t="s">
        <v>1308</v>
      </c>
      <c r="AU9" s="400" t="s">
        <v>1309</v>
      </c>
      <c r="AV9" s="401" t="s">
        <v>774</v>
      </c>
      <c r="AW9" s="402" t="s">
        <v>1310</v>
      </c>
      <c r="AY9" s="399" t="s">
        <v>1610</v>
      </c>
      <c r="AZ9" s="400" t="s">
        <v>1611</v>
      </c>
      <c r="BA9" s="400" t="s">
        <v>1612</v>
      </c>
      <c r="BB9" s="400" t="s">
        <v>1613</v>
      </c>
      <c r="BC9" s="400" t="s">
        <v>1307</v>
      </c>
      <c r="BD9" s="400" t="s">
        <v>1308</v>
      </c>
      <c r="BE9" s="400" t="s">
        <v>1309</v>
      </c>
      <c r="BF9" s="401" t="s">
        <v>774</v>
      </c>
      <c r="BG9" s="402" t="s">
        <v>1310</v>
      </c>
      <c r="BH9" s="399" t="s">
        <v>1610</v>
      </c>
      <c r="BI9" s="400" t="s">
        <v>1611</v>
      </c>
      <c r="BJ9" s="400" t="s">
        <v>1612</v>
      </c>
      <c r="BK9" s="400" t="s">
        <v>1613</v>
      </c>
      <c r="BL9" s="400" t="s">
        <v>1307</v>
      </c>
      <c r="BM9" s="400" t="s">
        <v>1308</v>
      </c>
      <c r="BN9" s="400" t="s">
        <v>1309</v>
      </c>
      <c r="BO9" s="401" t="s">
        <v>774</v>
      </c>
      <c r="BP9" s="402" t="s">
        <v>1310</v>
      </c>
      <c r="BQ9" s="399" t="s">
        <v>1610</v>
      </c>
      <c r="BR9" s="400" t="s">
        <v>1611</v>
      </c>
      <c r="BS9" s="400" t="s">
        <v>1612</v>
      </c>
      <c r="BT9" s="400" t="s">
        <v>1613</v>
      </c>
      <c r="BU9" s="400" t="s">
        <v>1307</v>
      </c>
      <c r="BV9" s="400" t="s">
        <v>1308</v>
      </c>
      <c r="BW9" s="400" t="s">
        <v>1309</v>
      </c>
      <c r="BX9" s="401" t="s">
        <v>774</v>
      </c>
      <c r="BY9" s="402" t="s">
        <v>1310</v>
      </c>
      <c r="BZ9" s="399" t="s">
        <v>1610</v>
      </c>
      <c r="CA9" s="400" t="s">
        <v>1611</v>
      </c>
      <c r="CB9" s="400" t="s">
        <v>1612</v>
      </c>
      <c r="CC9" s="400" t="s">
        <v>1613</v>
      </c>
      <c r="CD9" s="400" t="s">
        <v>1307</v>
      </c>
      <c r="CE9" s="400" t="s">
        <v>1308</v>
      </c>
      <c r="CF9" s="400" t="s">
        <v>1309</v>
      </c>
      <c r="CG9" s="401" t="s">
        <v>774</v>
      </c>
      <c r="CH9" s="402" t="s">
        <v>1310</v>
      </c>
      <c r="CI9" s="399" t="s">
        <v>1610</v>
      </c>
      <c r="CJ9" s="400" t="s">
        <v>1611</v>
      </c>
      <c r="CK9" s="400" t="s">
        <v>1612</v>
      </c>
      <c r="CL9" s="400" t="s">
        <v>1613</v>
      </c>
      <c r="CM9" s="400" t="s">
        <v>1307</v>
      </c>
      <c r="CN9" s="400" t="s">
        <v>1308</v>
      </c>
      <c r="CO9" s="400" t="s">
        <v>1309</v>
      </c>
      <c r="CP9" s="401" t="s">
        <v>774</v>
      </c>
      <c r="CQ9" s="402" t="s">
        <v>1310</v>
      </c>
      <c r="CR9" s="403" t="s">
        <v>1610</v>
      </c>
      <c r="CS9" s="404" t="s">
        <v>1611</v>
      </c>
      <c r="CT9" s="404" t="s">
        <v>1612</v>
      </c>
      <c r="CU9" s="404" t="s">
        <v>1613</v>
      </c>
      <c r="CV9" s="404" t="s">
        <v>1307</v>
      </c>
      <c r="CW9" s="404" t="s">
        <v>1308</v>
      </c>
      <c r="CX9" s="404" t="s">
        <v>1309</v>
      </c>
      <c r="CY9" s="405" t="s">
        <v>774</v>
      </c>
      <c r="CZ9" s="406" t="s">
        <v>1310</v>
      </c>
      <c r="DA9" s="403" t="s">
        <v>1610</v>
      </c>
      <c r="DB9" s="404" t="s">
        <v>1611</v>
      </c>
      <c r="DC9" s="404" t="s">
        <v>1612</v>
      </c>
      <c r="DD9" s="404" t="s">
        <v>1613</v>
      </c>
      <c r="DE9" s="404" t="s">
        <v>1307</v>
      </c>
      <c r="DF9" s="404" t="s">
        <v>1308</v>
      </c>
      <c r="DG9" s="404" t="s">
        <v>1309</v>
      </c>
      <c r="DH9" s="405" t="s">
        <v>774</v>
      </c>
      <c r="DI9" s="406" t="s">
        <v>1310</v>
      </c>
    </row>
    <row r="10" spans="1:113" ht="15.75" customHeight="1">
      <c r="A10" s="139" t="s">
        <v>659</v>
      </c>
      <c r="B10" s="1240" t="s">
        <v>1224</v>
      </c>
      <c r="C10" s="1241"/>
      <c r="D10" s="1241"/>
      <c r="E10" s="1241"/>
      <c r="F10" s="1242"/>
      <c r="G10" s="1286" t="str">
        <f>IF(AND(Lüftung1=7,OR(P7=FALSE,minergiep)),"Bedingungen prüfen, siehe Anwendungshilfe",IF(OR(X9=1,P5),IF(AND(X9=5,X10=7),"Bedingungen prüfen, siehe Anwendungshilfe",IF(AND(P7,minergiep=FALSE),"1)","")),"Errore! Calcolo semplice per tipo di edificio non permesso"))</f>
        <v/>
      </c>
      <c r="H10" s="348">
        <f ca="1">AO14</f>
        <v>0</v>
      </c>
      <c r="I10" s="349"/>
      <c r="J10" s="350"/>
      <c r="K10" s="407"/>
      <c r="L10" s="387" t="s">
        <v>402</v>
      </c>
      <c r="M10" s="501">
        <v>6</v>
      </c>
      <c r="N10" s="393" t="str">
        <f>IF($P$9,Standardwerte!$L40,"")</f>
        <v/>
      </c>
      <c r="O10" s="393" t="str">
        <f>IF($P$5,Standardwerte!$O40,"")</f>
        <v/>
      </c>
      <c r="P10" s="10"/>
      <c r="Q10" s="10"/>
      <c r="R10" s="10"/>
      <c r="S10" s="10"/>
      <c r="W10" s="343" t="s">
        <v>659</v>
      </c>
      <c r="X10" s="12">
        <f>IF(P5,Lüftung1,1)</f>
        <v>1</v>
      </c>
      <c r="Y10" s="12">
        <f>(X10-2)*9</f>
        <v>-9</v>
      </c>
      <c r="Z10" s="12">
        <f>X10-2</f>
        <v>-1</v>
      </c>
      <c r="AA10" s="12" t="s">
        <v>770</v>
      </c>
      <c r="AB10" s="408"/>
      <c r="AC10" s="12" t="s">
        <v>585</v>
      </c>
      <c r="AD10" s="12" t="s">
        <v>586</v>
      </c>
      <c r="AE10" s="12" t="s">
        <v>760</v>
      </c>
      <c r="AF10" s="10"/>
      <c r="AG10" s="12" t="s">
        <v>1311</v>
      </c>
      <c r="AH10" s="12" t="s">
        <v>1312</v>
      </c>
      <c r="AI10" s="386"/>
      <c r="AJ10" s="386"/>
      <c r="AK10" s="386"/>
      <c r="AL10" s="386"/>
      <c r="AM10" s="386"/>
      <c r="AN10" s="10"/>
      <c r="AO10" s="409">
        <f t="array" aca="1" ref="AO10:AW13" ca="1">OFFSET($BH$10,0,Y9,4,9)</f>
        <v>0</v>
      </c>
      <c r="AP10" s="410">
        <f ca="1"/>
        <v>0</v>
      </c>
      <c r="AQ10" s="410">
        <f ca="1"/>
        <v>0</v>
      </c>
      <c r="AR10" s="410">
        <f ca="1"/>
        <v>0</v>
      </c>
      <c r="AS10" s="410">
        <f ca="1"/>
        <v>0</v>
      </c>
      <c r="AT10" s="410">
        <f ca="1"/>
        <v>0</v>
      </c>
      <c r="AU10" s="410">
        <f ca="1"/>
        <v>0</v>
      </c>
      <c r="AV10" s="410">
        <f ca="1"/>
        <v>0</v>
      </c>
      <c r="AW10" s="411">
        <f ca="1"/>
        <v>0</v>
      </c>
      <c r="AX10" s="10"/>
      <c r="AY10" s="409"/>
      <c r="AZ10" s="410"/>
      <c r="BA10" s="410"/>
      <c r="BB10" s="410"/>
      <c r="BC10" s="410"/>
      <c r="BD10" s="410"/>
      <c r="BE10" s="410"/>
      <c r="BF10" s="410"/>
      <c r="BG10" s="411"/>
      <c r="BH10" s="409" t="s">
        <v>493</v>
      </c>
      <c r="BI10" s="410"/>
      <c r="BJ10" s="410"/>
      <c r="BK10" s="410"/>
      <c r="BL10" s="410"/>
      <c r="BM10" s="410"/>
      <c r="BN10" s="410"/>
      <c r="BO10" s="410"/>
      <c r="BP10" s="411"/>
      <c r="BQ10" s="409" t="s">
        <v>477</v>
      </c>
      <c r="BR10" s="410"/>
      <c r="BS10" s="410"/>
      <c r="BT10" s="410"/>
      <c r="BU10" s="410"/>
      <c r="BV10" s="410"/>
      <c r="BW10" s="410"/>
      <c r="BX10" s="410"/>
      <c r="BY10" s="411"/>
      <c r="BZ10" s="428" t="s">
        <v>548</v>
      </c>
      <c r="CA10" s="410"/>
      <c r="CB10" s="410"/>
      <c r="CC10" s="410"/>
      <c r="CD10" s="410"/>
      <c r="CE10" s="410"/>
      <c r="CF10" s="410"/>
      <c r="CG10" s="410"/>
      <c r="CH10" s="411"/>
      <c r="CI10" s="409" t="s">
        <v>552</v>
      </c>
      <c r="CJ10" s="410"/>
      <c r="CK10" s="410"/>
      <c r="CL10" s="410"/>
      <c r="CM10" s="410"/>
      <c r="CN10" s="410"/>
      <c r="CO10" s="410"/>
      <c r="CP10" s="410"/>
      <c r="CQ10" s="411"/>
      <c r="CR10" s="386"/>
      <c r="CS10" s="386"/>
      <c r="CT10" s="386"/>
      <c r="CU10" s="386"/>
      <c r="CV10" s="386"/>
      <c r="CW10" s="386"/>
      <c r="CX10" s="386"/>
      <c r="CY10" s="386"/>
      <c r="CZ10" s="386"/>
      <c r="DA10" s="386"/>
      <c r="DB10" s="386"/>
      <c r="DC10" s="386"/>
      <c r="DD10" s="386"/>
      <c r="DE10" s="386"/>
      <c r="DF10" s="386"/>
      <c r="DG10" s="386"/>
      <c r="DH10" s="386"/>
      <c r="DI10" s="386"/>
    </row>
    <row r="11" spans="1:113">
      <c r="A11" s="139"/>
      <c r="B11" s="1199" t="s">
        <v>12</v>
      </c>
      <c r="C11" s="43"/>
      <c r="D11" s="43"/>
      <c r="E11" s="43">
        <f ca="1">AR11</f>
        <v>0</v>
      </c>
      <c r="F11" s="1243"/>
      <c r="G11" s="1244"/>
      <c r="H11" s="351">
        <f ca="1">AU11</f>
        <v>0</v>
      </c>
      <c r="I11" s="255"/>
      <c r="J11" s="589">
        <f>Raum1</f>
        <v>0</v>
      </c>
      <c r="K11" s="429"/>
      <c r="L11" s="390">
        <f ca="1">IF(L12&gt;0,ROUNDUP(EBFo1/L12,0),0)</f>
        <v>0</v>
      </c>
      <c r="M11" s="501">
        <v>7</v>
      </c>
      <c r="N11" s="393" t="str">
        <f>IF($P$9,Standardwerte!$L41,"")</f>
        <v/>
      </c>
      <c r="O11" s="393" t="str">
        <f>IF($P$5,Standardwerte!$O41,"")</f>
        <v/>
      </c>
      <c r="P11" s="10"/>
      <c r="Q11" s="10"/>
      <c r="R11" s="10"/>
      <c r="S11" s="10"/>
      <c r="V11" s="394"/>
      <c r="W11" s="343"/>
      <c r="X11" s="386"/>
      <c r="Y11" s="386"/>
      <c r="Z11" s="386"/>
      <c r="AA11" s="386"/>
      <c r="AB11" s="386"/>
      <c r="AC11" s="430">
        <f ca="1">OFFSET(BI$87,Z10,Z9)</f>
        <v>0</v>
      </c>
      <c r="AD11" s="430">
        <f ca="1">OFFSET(BJ$87,Z10,Z9)</f>
        <v>0</v>
      </c>
      <c r="AE11" s="430">
        <f ca="1">OFFSET(BK$87,Z10,Z9)</f>
        <v>0</v>
      </c>
      <c r="AF11" s="431" t="s">
        <v>1314</v>
      </c>
      <c r="AG11" s="12" t="str">
        <f ca="1">OFFSET($BI$110,Z10,0)</f>
        <v>v0</v>
      </c>
      <c r="AH11" s="12" t="str">
        <f ca="1">OFFSET($BJ$110,Z10,0)</f>
        <v>vx</v>
      </c>
      <c r="AI11" s="386"/>
      <c r="AJ11" s="386"/>
      <c r="AK11" s="386"/>
      <c r="AL11" s="386"/>
      <c r="AM11" s="386"/>
      <c r="AN11" s="10"/>
      <c r="AO11" s="412">
        <f ca="1"/>
        <v>0</v>
      </c>
      <c r="AP11" s="45">
        <f ca="1"/>
        <v>0</v>
      </c>
      <c r="AQ11" s="45">
        <f ca="1"/>
        <v>0</v>
      </c>
      <c r="AR11" s="45">
        <f ca="1"/>
        <v>0</v>
      </c>
      <c r="AS11" s="413">
        <f ca="1"/>
        <v>0</v>
      </c>
      <c r="AT11" s="414">
        <f ca="1"/>
        <v>0</v>
      </c>
      <c r="AU11" s="415">
        <f ca="1"/>
        <v>0</v>
      </c>
      <c r="AV11" s="416">
        <f ca="1"/>
        <v>0</v>
      </c>
      <c r="AW11" s="417">
        <f ca="1"/>
        <v>0</v>
      </c>
      <c r="AX11" s="10"/>
      <c r="AY11" s="412"/>
      <c r="AZ11" s="45"/>
      <c r="BA11" s="45"/>
      <c r="BB11" s="45"/>
      <c r="BC11" s="413"/>
      <c r="BD11" s="414"/>
      <c r="BE11" s="415"/>
      <c r="BF11" s="416"/>
      <c r="BG11" s="417"/>
      <c r="BH11" s="412" t="s">
        <v>12</v>
      </c>
      <c r="BI11" s="45"/>
      <c r="BJ11" s="45"/>
      <c r="BK11" s="45" t="s">
        <v>478</v>
      </c>
      <c r="BL11" s="413"/>
      <c r="BM11" s="414"/>
      <c r="BN11" s="415" t="s">
        <v>1315</v>
      </c>
      <c r="BO11" s="416"/>
      <c r="BP11" s="417"/>
      <c r="BQ11" s="412" t="s">
        <v>12</v>
      </c>
      <c r="BR11" s="45"/>
      <c r="BS11" s="45"/>
      <c r="BT11" s="45" t="s">
        <v>478</v>
      </c>
      <c r="BU11" s="413"/>
      <c r="BV11" s="414"/>
      <c r="BW11" s="415" t="s">
        <v>1315</v>
      </c>
      <c r="BX11" s="416"/>
      <c r="BY11" s="417"/>
      <c r="BZ11" s="1237" t="s">
        <v>12</v>
      </c>
      <c r="CA11" s="45"/>
      <c r="CB11" s="45"/>
      <c r="CC11" s="45" t="s">
        <v>549</v>
      </c>
      <c r="CD11" s="413"/>
      <c r="CE11" s="414"/>
      <c r="CF11" s="415" t="s">
        <v>1316</v>
      </c>
      <c r="CG11" s="416"/>
      <c r="CH11" s="417"/>
      <c r="CI11" s="1237" t="s">
        <v>12</v>
      </c>
      <c r="CJ11" s="45"/>
      <c r="CK11" s="45"/>
      <c r="CL11" s="45" t="s">
        <v>549</v>
      </c>
      <c r="CM11" s="413"/>
      <c r="CN11" s="414"/>
      <c r="CO11" s="415" t="s">
        <v>1316</v>
      </c>
      <c r="CP11" s="416"/>
      <c r="CQ11" s="417"/>
      <c r="CR11" s="386"/>
      <c r="CS11" s="386"/>
      <c r="CT11" s="386"/>
      <c r="CU11" s="386"/>
      <c r="CV11" s="386"/>
      <c r="CW11" s="386"/>
      <c r="CX11" s="386"/>
      <c r="CY11" s="386"/>
      <c r="CZ11" s="386"/>
      <c r="DA11" s="386"/>
      <c r="DB11" s="386"/>
      <c r="DC11" s="386"/>
      <c r="DD11" s="386"/>
      <c r="DE11" s="386"/>
      <c r="DF11" s="386"/>
      <c r="DG11" s="386"/>
      <c r="DH11" s="386"/>
      <c r="DI11" s="386"/>
    </row>
    <row r="12" spans="1:113" ht="12" customHeight="1">
      <c r="A12" s="139" t="s">
        <v>1444</v>
      </c>
      <c r="B12" s="1245"/>
      <c r="C12" s="58"/>
      <c r="D12" s="58"/>
      <c r="E12" s="1246" t="s">
        <v>1225</v>
      </c>
      <c r="F12" s="1247"/>
      <c r="G12" s="1248"/>
      <c r="H12" s="895" t="s">
        <v>1385</v>
      </c>
      <c r="I12" s="896" t="s">
        <v>18</v>
      </c>
      <c r="J12" s="897">
        <f ca="1">IF(ISNUMBER(AD11),MAX(J11*AD11,L11*AD11),0)</f>
        <v>0</v>
      </c>
      <c r="K12" s="432"/>
      <c r="L12" s="493">
        <f ca="1">OFFSET($BL$52,X9-1,0)</f>
        <v>0</v>
      </c>
      <c r="M12" s="501">
        <v>8</v>
      </c>
      <c r="N12" s="393" t="str">
        <f>IF($P$9,Standardwerte!$L42,"")</f>
        <v/>
      </c>
      <c r="O12" s="393" t="str">
        <f>IF($P$5,Standardwerte!$O42,"")</f>
        <v/>
      </c>
      <c r="P12" s="10"/>
      <c r="Q12" s="10"/>
      <c r="R12" s="10"/>
      <c r="S12" s="10"/>
      <c r="T12" s="10"/>
      <c r="U12" s="10"/>
      <c r="V12" s="394"/>
      <c r="W12" s="343" t="s">
        <v>1444</v>
      </c>
      <c r="X12" s="12">
        <f ca="1">J12</f>
        <v>0</v>
      </c>
      <c r="Y12" s="12">
        <f ca="1">IF(ISNUMBER(J12),IF(P7,J12,MAX(X12:X13)),0)*P5</f>
        <v>0</v>
      </c>
      <c r="Z12" s="12"/>
      <c r="AA12" s="12" t="s">
        <v>508</v>
      </c>
      <c r="AB12" s="433" t="s">
        <v>509</v>
      </c>
      <c r="AC12" s="430">
        <f ca="1">OFFSET(BI$76,Z10,Z9)</f>
        <v>0</v>
      </c>
      <c r="AD12" s="430">
        <f ca="1">OFFSET(BJ$76,Z10,Z9)</f>
        <v>0</v>
      </c>
      <c r="AE12" s="430">
        <f ca="1">OFFSET(BK$76,Z10,Z9)</f>
        <v>0</v>
      </c>
      <c r="AF12" s="12" t="s">
        <v>763</v>
      </c>
      <c r="AG12" s="386"/>
      <c r="AH12" s="386"/>
      <c r="AI12" s="386"/>
      <c r="AJ12" s="386"/>
      <c r="AK12" s="386"/>
      <c r="AL12" s="386"/>
      <c r="AM12" s="386"/>
      <c r="AN12" s="10"/>
      <c r="AO12" s="418">
        <f ca="1"/>
        <v>0</v>
      </c>
      <c r="AP12" s="140">
        <f ca="1"/>
        <v>0</v>
      </c>
      <c r="AQ12" s="140">
        <f ca="1"/>
        <v>0</v>
      </c>
      <c r="AR12" s="140">
        <f ca="1"/>
        <v>0</v>
      </c>
      <c r="AS12" s="419">
        <f ca="1"/>
        <v>0</v>
      </c>
      <c r="AT12" s="386">
        <f ca="1"/>
        <v>0</v>
      </c>
      <c r="AU12" s="420">
        <f ca="1"/>
        <v>0</v>
      </c>
      <c r="AV12" s="421">
        <f ca="1"/>
        <v>0</v>
      </c>
      <c r="AW12" s="422">
        <f ca="1"/>
        <v>0</v>
      </c>
      <c r="AX12" s="10"/>
      <c r="AY12" s="418"/>
      <c r="AZ12" s="140"/>
      <c r="BA12" s="140"/>
      <c r="BB12" s="140"/>
      <c r="BC12" s="419"/>
      <c r="BD12" s="386"/>
      <c r="BE12" s="420"/>
      <c r="BF12" s="421"/>
      <c r="BG12" s="422"/>
      <c r="BH12" s="418" t="s">
        <v>1441</v>
      </c>
      <c r="BI12" s="140"/>
      <c r="BJ12" s="140"/>
      <c r="BK12" s="140" t="s">
        <v>533</v>
      </c>
      <c r="BL12" s="419"/>
      <c r="BM12" s="386"/>
      <c r="BN12" s="420" t="s">
        <v>510</v>
      </c>
      <c r="BO12" s="421" t="s">
        <v>511</v>
      </c>
      <c r="BP12" s="422"/>
      <c r="BQ12" s="418" t="s">
        <v>1441</v>
      </c>
      <c r="BR12" s="140"/>
      <c r="BS12" s="140"/>
      <c r="BT12" s="140" t="s">
        <v>533</v>
      </c>
      <c r="BU12" s="419"/>
      <c r="BV12" s="386"/>
      <c r="BW12" s="420" t="s">
        <v>510</v>
      </c>
      <c r="BX12" s="421" t="s">
        <v>511</v>
      </c>
      <c r="BY12" s="422"/>
      <c r="BZ12" s="418" t="s">
        <v>1441</v>
      </c>
      <c r="CA12" s="140"/>
      <c r="CB12" s="140"/>
      <c r="CC12" s="140" t="s">
        <v>533</v>
      </c>
      <c r="CD12" s="419"/>
      <c r="CE12" s="386"/>
      <c r="CF12" s="420" t="s">
        <v>510</v>
      </c>
      <c r="CG12" s="421" t="s">
        <v>511</v>
      </c>
      <c r="CH12" s="422"/>
      <c r="CI12" s="418" t="s">
        <v>1441</v>
      </c>
      <c r="CJ12" s="140"/>
      <c r="CK12" s="140"/>
      <c r="CL12" s="140" t="s">
        <v>533</v>
      </c>
      <c r="CM12" s="419"/>
      <c r="CN12" s="386"/>
      <c r="CO12" s="420" t="s">
        <v>510</v>
      </c>
      <c r="CP12" s="421" t="s">
        <v>511</v>
      </c>
      <c r="CQ12" s="434"/>
      <c r="CR12" s="386"/>
      <c r="CS12" s="386"/>
      <c r="CT12" s="386"/>
      <c r="CU12" s="386"/>
      <c r="CV12" s="386"/>
      <c r="CW12" s="386"/>
      <c r="CX12" s="386"/>
      <c r="CY12" s="386"/>
      <c r="CZ12" s="386"/>
      <c r="DA12" s="386"/>
      <c r="DB12" s="386"/>
      <c r="DC12" s="386"/>
      <c r="DD12" s="386"/>
      <c r="DE12" s="386"/>
      <c r="DF12" s="386"/>
      <c r="DG12" s="386"/>
      <c r="DH12" s="386"/>
      <c r="DI12" s="386"/>
    </row>
    <row r="13" spans="1:113" ht="14.4" thickBot="1">
      <c r="A13" s="139" t="s">
        <v>1446</v>
      </c>
      <c r="B13" s="1249"/>
      <c r="C13" s="47"/>
      <c r="D13" s="47"/>
      <c r="E13" s="1246" t="s">
        <v>1226</v>
      </c>
      <c r="F13" s="1250"/>
      <c r="G13" s="1561" t="str">
        <f>IF(minergiep,"",IF(P7=TRUE,"1)",""))</f>
        <v/>
      </c>
      <c r="H13" s="893"/>
      <c r="I13" s="893"/>
      <c r="J13" s="894"/>
      <c r="K13" s="435"/>
      <c r="L13" s="387" t="s">
        <v>1183</v>
      </c>
      <c r="M13" s="501">
        <v>9</v>
      </c>
      <c r="N13" s="393" t="str">
        <f>IF($P$9,Standardwerte!$L43,"")</f>
        <v/>
      </c>
      <c r="O13" s="393" t="str">
        <f>IF($P$5,Standardwerte!$O43,"")</f>
        <v/>
      </c>
      <c r="P13" s="10"/>
      <c r="Q13" s="10"/>
      <c r="R13" s="10"/>
      <c r="S13" s="10"/>
      <c r="T13" s="10"/>
      <c r="U13" s="10"/>
      <c r="V13" s="394"/>
      <c r="W13" s="343" t="s">
        <v>1446</v>
      </c>
      <c r="X13" s="12">
        <f>J13</f>
        <v>0</v>
      </c>
      <c r="Y13" s="12"/>
      <c r="Z13" s="12"/>
      <c r="AA13" s="12"/>
      <c r="AB13" s="386"/>
      <c r="AC13" s="436">
        <f ca="1">OFFSET(BI$99,Z10,Z9)</f>
        <v>0</v>
      </c>
      <c r="AD13" s="436">
        <f ca="1">OFFSET(BJ$99,Z10,Z9)</f>
        <v>0</v>
      </c>
      <c r="AE13" s="436">
        <f ca="1">OFFSET(BK$99,Z10,Z9)</f>
        <v>0</v>
      </c>
      <c r="AF13" s="12" t="s">
        <v>512</v>
      </c>
      <c r="AG13" s="386"/>
      <c r="AH13" s="386"/>
      <c r="AI13" s="386"/>
      <c r="AJ13" s="386"/>
      <c r="AK13" s="386"/>
      <c r="AL13" s="386"/>
      <c r="AM13" s="386"/>
      <c r="AN13" s="10"/>
      <c r="AO13" s="423">
        <f ca="1"/>
        <v>0</v>
      </c>
      <c r="AP13" s="50">
        <f ca="1"/>
        <v>0</v>
      </c>
      <c r="AQ13" s="50">
        <f ca="1"/>
        <v>0</v>
      </c>
      <c r="AR13" s="50">
        <f ca="1"/>
        <v>0</v>
      </c>
      <c r="AS13" s="424">
        <f ca="1"/>
        <v>0</v>
      </c>
      <c r="AT13" s="425">
        <f ca="1"/>
        <v>0</v>
      </c>
      <c r="AU13" s="426">
        <f ca="1"/>
        <v>0</v>
      </c>
      <c r="AV13" s="421">
        <f ca="1"/>
        <v>0</v>
      </c>
      <c r="AW13" s="427">
        <f ca="1"/>
        <v>0</v>
      </c>
      <c r="AX13" s="10"/>
      <c r="AY13" s="423"/>
      <c r="AZ13" s="50"/>
      <c r="BA13" s="50"/>
      <c r="BB13" s="50"/>
      <c r="BC13" s="424"/>
      <c r="BD13" s="425"/>
      <c r="BE13" s="426"/>
      <c r="BF13" s="421"/>
      <c r="BG13" s="427"/>
      <c r="BH13" s="423"/>
      <c r="BI13" s="50"/>
      <c r="BJ13" s="50"/>
      <c r="BK13" s="50" t="s">
        <v>337</v>
      </c>
      <c r="BL13" s="424"/>
      <c r="BM13" s="425"/>
      <c r="BN13" s="426" t="s">
        <v>513</v>
      </c>
      <c r="BO13" s="421" t="s">
        <v>511</v>
      </c>
      <c r="BP13" s="427"/>
      <c r="BQ13" s="423"/>
      <c r="BR13" s="50"/>
      <c r="BS13" s="50"/>
      <c r="BT13" s="50" t="s">
        <v>337</v>
      </c>
      <c r="BU13" s="424"/>
      <c r="BV13" s="425"/>
      <c r="BW13" s="426" t="s">
        <v>513</v>
      </c>
      <c r="BX13" s="421" t="s">
        <v>511</v>
      </c>
      <c r="BY13" s="427"/>
      <c r="BZ13" s="423"/>
      <c r="CA13" s="50"/>
      <c r="CB13" s="50"/>
      <c r="CC13" s="50" t="s">
        <v>337</v>
      </c>
      <c r="CD13" s="424"/>
      <c r="CE13" s="425"/>
      <c r="CF13" s="426" t="s">
        <v>513</v>
      </c>
      <c r="CG13" s="421" t="s">
        <v>511</v>
      </c>
      <c r="CH13" s="427"/>
      <c r="CI13" s="423"/>
      <c r="CJ13" s="50"/>
      <c r="CK13" s="50"/>
      <c r="CL13" s="50" t="s">
        <v>337</v>
      </c>
      <c r="CM13" s="424"/>
      <c r="CN13" s="425"/>
      <c r="CO13" s="426" t="s">
        <v>513</v>
      </c>
      <c r="CP13" s="421" t="s">
        <v>511</v>
      </c>
      <c r="CQ13" s="437"/>
      <c r="CR13" s="386"/>
      <c r="CS13" s="386"/>
      <c r="CT13" s="386"/>
      <c r="CU13" s="386"/>
      <c r="CV13" s="386"/>
      <c r="CW13" s="386"/>
      <c r="CX13" s="386"/>
      <c r="CY13" s="386"/>
      <c r="CZ13" s="386"/>
      <c r="DA13" s="386"/>
      <c r="DB13" s="386"/>
      <c r="DC13" s="386"/>
      <c r="DD13" s="386"/>
      <c r="DE13" s="386"/>
      <c r="DF13" s="386"/>
      <c r="DG13" s="386"/>
      <c r="DH13" s="386"/>
      <c r="DI13" s="386"/>
    </row>
    <row r="14" spans="1:113">
      <c r="A14" s="445"/>
      <c r="B14" s="1200" t="s">
        <v>1227</v>
      </c>
      <c r="C14" s="1251"/>
      <c r="D14" s="1251"/>
      <c r="E14" s="1251"/>
      <c r="F14" s="1251"/>
      <c r="G14" s="1251"/>
      <c r="H14" s="353"/>
      <c r="I14" s="353"/>
      <c r="J14" s="354"/>
      <c r="K14" s="438"/>
      <c r="L14" s="1368">
        <f>IF(minergiep,Standardwerte!$BL$36,)</f>
        <v>0</v>
      </c>
      <c r="M14" s="501">
        <v>10</v>
      </c>
      <c r="N14" s="393" t="str">
        <f>IF($P$9,Standardwerte!$L44,"")</f>
        <v/>
      </c>
      <c r="O14" s="393" t="str">
        <f>IF($P$5,Standardwerte!$O44,"")</f>
        <v/>
      </c>
      <c r="P14" s="10"/>
      <c r="Q14" s="10"/>
      <c r="R14" s="10"/>
      <c r="S14" s="10"/>
      <c r="T14" s="10"/>
      <c r="U14" s="10"/>
      <c r="V14" s="394"/>
      <c r="W14" s="352"/>
      <c r="X14" s="386"/>
      <c r="Y14" s="386"/>
      <c r="Z14" s="386"/>
      <c r="AA14" s="386"/>
      <c r="AB14" s="386"/>
      <c r="AC14" s="10"/>
      <c r="AD14" s="10"/>
      <c r="AE14" s="10"/>
      <c r="AF14" s="10"/>
      <c r="AG14" s="386"/>
      <c r="AH14" s="386"/>
      <c r="AI14" s="386"/>
      <c r="AJ14" s="386"/>
      <c r="AK14" s="386"/>
      <c r="AL14" s="386"/>
      <c r="AM14" s="386"/>
      <c r="AN14" s="10"/>
      <c r="AO14" s="440">
        <f t="array" aca="1" ref="AO14:AW43" ca="1">OFFSET($BH$14,0,Y10,30,9)</f>
        <v>0</v>
      </c>
      <c r="AP14" s="441">
        <f ca="1"/>
        <v>0</v>
      </c>
      <c r="AQ14" s="441">
        <f ca="1"/>
        <v>0</v>
      </c>
      <c r="AR14" s="441">
        <f ca="1"/>
        <v>0</v>
      </c>
      <c r="AS14" s="441">
        <f ca="1"/>
        <v>0</v>
      </c>
      <c r="AT14" s="441">
        <f ca="1"/>
        <v>0</v>
      </c>
      <c r="AU14" s="441">
        <f ca="1"/>
        <v>0</v>
      </c>
      <c r="AV14" s="441">
        <f ca="1"/>
        <v>0</v>
      </c>
      <c r="AW14" s="442">
        <f ca="1"/>
        <v>0</v>
      </c>
      <c r="AX14" s="10"/>
      <c r="AY14" s="440"/>
      <c r="AZ14" s="441"/>
      <c r="BA14" s="441"/>
      <c r="BB14" s="441"/>
      <c r="BC14" s="441"/>
      <c r="BD14" s="441"/>
      <c r="BE14" s="441"/>
      <c r="BF14" s="441"/>
      <c r="BG14" s="442"/>
      <c r="BH14" s="440" t="s">
        <v>534</v>
      </c>
      <c r="BI14" s="441"/>
      <c r="BJ14" s="441"/>
      <c r="BK14" s="441"/>
      <c r="BL14" s="441"/>
      <c r="BM14" s="441"/>
      <c r="BN14" s="441"/>
      <c r="BO14" s="441"/>
      <c r="BP14" s="442"/>
      <c r="BQ14" s="440" t="s">
        <v>1189</v>
      </c>
      <c r="BR14" s="441"/>
      <c r="BS14" s="441"/>
      <c r="BT14" s="441"/>
      <c r="BU14" s="441"/>
      <c r="BV14" s="441"/>
      <c r="BW14" s="441"/>
      <c r="BX14" s="441"/>
      <c r="BY14" s="442"/>
      <c r="BZ14" s="497" t="s">
        <v>550</v>
      </c>
      <c r="CA14" s="441"/>
      <c r="CB14" s="441"/>
      <c r="CC14" s="441"/>
      <c r="CD14" s="441"/>
      <c r="CE14" s="441"/>
      <c r="CF14" s="441"/>
      <c r="CG14" s="441"/>
      <c r="CH14" s="442"/>
      <c r="CI14" s="428" t="s">
        <v>553</v>
      </c>
      <c r="CJ14" s="410"/>
      <c r="CK14" s="410"/>
      <c r="CL14" s="410"/>
      <c r="CM14" s="410"/>
      <c r="CN14" s="410"/>
      <c r="CO14" s="410"/>
      <c r="CP14" s="410"/>
      <c r="CQ14" s="411"/>
      <c r="CR14" s="409" t="s">
        <v>554</v>
      </c>
      <c r="CS14" s="410"/>
      <c r="CT14" s="410"/>
      <c r="CU14" s="410"/>
      <c r="CV14" s="410"/>
      <c r="CW14" s="410"/>
      <c r="CX14" s="410"/>
      <c r="CY14" s="410"/>
      <c r="CZ14" s="411"/>
      <c r="DA14" s="409" t="s">
        <v>1617</v>
      </c>
      <c r="DB14" s="410"/>
      <c r="DC14" s="410"/>
      <c r="DD14" s="410"/>
      <c r="DE14" s="410"/>
      <c r="DF14" s="410"/>
      <c r="DG14" s="410"/>
      <c r="DH14" s="410"/>
      <c r="DI14" s="411"/>
    </row>
    <row r="15" spans="1:113" ht="11.25" customHeight="1">
      <c r="A15" s="445"/>
      <c r="B15" s="1252">
        <f t="shared" ref="B15:B21" ca="1" si="0">AO15</f>
        <v>0</v>
      </c>
      <c r="C15" s="1203"/>
      <c r="D15" s="1203"/>
      <c r="E15" s="1203"/>
      <c r="F15" s="1203"/>
      <c r="G15" s="1203"/>
      <c r="H15" s="356" t="s">
        <v>647</v>
      </c>
      <c r="I15" s="357"/>
      <c r="J15" s="358"/>
      <c r="K15" s="498"/>
      <c r="L15" s="1368">
        <f>IF(minergiep,Standardwerte!$BL$37,)</f>
        <v>0</v>
      </c>
      <c r="M15" s="501">
        <v>11</v>
      </c>
      <c r="N15" s="393" t="str">
        <f>IF($P$9,Standardwerte!$L45,"")</f>
        <v/>
      </c>
      <c r="O15" s="393" t="str">
        <f>IF($P$5,Standardwerte!$O45,"")</f>
        <v/>
      </c>
      <c r="P15" s="10"/>
      <c r="Q15" s="10"/>
      <c r="R15" s="10"/>
      <c r="S15" s="10"/>
      <c r="T15" s="10"/>
      <c r="U15" s="10"/>
      <c r="V15" s="394"/>
      <c r="W15" s="352"/>
      <c r="X15" s="386"/>
      <c r="Y15" s="386"/>
      <c r="Z15" s="386"/>
      <c r="AA15" s="386"/>
      <c r="AB15" s="386"/>
      <c r="AC15" s="386" t="s">
        <v>1406</v>
      </c>
      <c r="AD15" s="386"/>
      <c r="AE15" s="386"/>
      <c r="AF15" s="386"/>
      <c r="AG15" s="386"/>
      <c r="AH15" s="386"/>
      <c r="AI15" s="386"/>
      <c r="AJ15" s="386"/>
      <c r="AK15" s="386"/>
      <c r="AL15" s="386"/>
      <c r="AM15" s="386"/>
      <c r="AN15" s="10"/>
      <c r="AO15" s="443">
        <f ca="1"/>
        <v>0</v>
      </c>
      <c r="AP15" s="444">
        <f ca="1"/>
        <v>0</v>
      </c>
      <c r="AQ15" s="444">
        <f ca="1"/>
        <v>0</v>
      </c>
      <c r="AR15" s="444">
        <f ca="1"/>
        <v>0</v>
      </c>
      <c r="AS15" s="444">
        <f ca="1"/>
        <v>0</v>
      </c>
      <c r="AT15" s="444">
        <f ca="1"/>
        <v>0</v>
      </c>
      <c r="AU15" s="445">
        <f ca="1"/>
        <v>0</v>
      </c>
      <c r="AV15" s="446">
        <f ca="1"/>
        <v>0</v>
      </c>
      <c r="AW15" s="434">
        <f ca="1"/>
        <v>0</v>
      </c>
      <c r="AX15" s="10"/>
      <c r="AY15" s="443"/>
      <c r="AZ15" s="444"/>
      <c r="BA15" s="444"/>
      <c r="BB15" s="444"/>
      <c r="BC15" s="444"/>
      <c r="BD15" s="444"/>
      <c r="BE15" s="445"/>
      <c r="BF15" s="446"/>
      <c r="BG15" s="434"/>
      <c r="BH15" s="443" t="s">
        <v>13</v>
      </c>
      <c r="BI15" s="444"/>
      <c r="BJ15" s="444"/>
      <c r="BK15" s="444"/>
      <c r="BL15" s="444"/>
      <c r="BM15" s="444"/>
      <c r="BN15" s="445" t="s">
        <v>647</v>
      </c>
      <c r="BO15" s="446"/>
      <c r="BP15" s="434"/>
      <c r="BQ15" s="443" t="s">
        <v>535</v>
      </c>
      <c r="BR15" s="444"/>
      <c r="BS15" s="444"/>
      <c r="BT15" s="444"/>
      <c r="BU15" s="444"/>
      <c r="BV15" s="444"/>
      <c r="BW15" s="445" t="s">
        <v>647</v>
      </c>
      <c r="BX15" s="446"/>
      <c r="BY15" s="434"/>
      <c r="BZ15" s="444" t="s">
        <v>535</v>
      </c>
      <c r="CA15" s="444"/>
      <c r="CB15" s="444"/>
      <c r="CC15" s="444"/>
      <c r="CD15" s="444"/>
      <c r="CE15" s="444"/>
      <c r="CF15" s="445" t="s">
        <v>647</v>
      </c>
      <c r="CG15" s="446"/>
      <c r="CH15" s="434"/>
      <c r="CI15" s="444" t="s">
        <v>535</v>
      </c>
      <c r="CJ15" s="444"/>
      <c r="CK15" s="444"/>
      <c r="CL15" s="444"/>
      <c r="CM15" s="444"/>
      <c r="CN15" s="444"/>
      <c r="CO15" s="445" t="s">
        <v>647</v>
      </c>
      <c r="CP15" s="500"/>
      <c r="CQ15" s="434"/>
      <c r="CR15" s="447" t="s">
        <v>509</v>
      </c>
      <c r="CS15" s="444"/>
      <c r="CT15" s="444"/>
      <c r="CU15" s="444"/>
      <c r="CV15" s="444"/>
      <c r="CW15" s="444"/>
      <c r="CX15" s="445"/>
      <c r="CY15" s="500"/>
      <c r="CZ15" s="434"/>
      <c r="DA15" s="447" t="s">
        <v>509</v>
      </c>
      <c r="DB15" s="444"/>
      <c r="DC15" s="444"/>
      <c r="DD15" s="444"/>
      <c r="DE15" s="444"/>
      <c r="DF15" s="444"/>
      <c r="DG15" s="445"/>
      <c r="DH15" s="500"/>
      <c r="DI15" s="434"/>
    </row>
    <row r="16" spans="1:113" ht="11.25" customHeight="1">
      <c r="A16" s="445" t="s">
        <v>19</v>
      </c>
      <c r="B16" s="1253">
        <f t="shared" ca="1" si="0"/>
        <v>0</v>
      </c>
      <c r="C16" s="1203"/>
      <c r="D16" s="1203"/>
      <c r="E16" s="1203"/>
      <c r="F16" s="1203"/>
      <c r="G16" s="1203"/>
      <c r="H16" s="359"/>
      <c r="I16" s="355"/>
      <c r="J16" s="360"/>
      <c r="K16" s="438"/>
      <c r="L16" s="1369">
        <f>IF(E30=L15,2,1)</f>
        <v>2</v>
      </c>
      <c r="M16" s="501">
        <v>12</v>
      </c>
      <c r="N16" s="439" t="str">
        <f>IF($P$9,Standardwerte!$L46,"")</f>
        <v/>
      </c>
      <c r="O16" s="439" t="str">
        <f>IF($P$5,Standardwerte!$O46,"")</f>
        <v/>
      </c>
      <c r="P16" s="10"/>
      <c r="Q16" s="10"/>
      <c r="R16" s="10"/>
      <c r="S16" s="10"/>
      <c r="T16" s="10"/>
      <c r="U16" s="10"/>
      <c r="V16" s="394"/>
      <c r="W16" s="352" t="s">
        <v>589</v>
      </c>
      <c r="X16" s="12">
        <f>M17</f>
        <v>5</v>
      </c>
      <c r="Y16" s="12">
        <f ca="1">M20</f>
        <v>0</v>
      </c>
      <c r="Z16" s="12"/>
      <c r="AA16" s="12" t="s">
        <v>1328</v>
      </c>
      <c r="AB16" s="386"/>
      <c r="AC16" s="12">
        <f ca="1">OFFSET($BI$51,Y16,0)</f>
        <v>0</v>
      </c>
      <c r="AD16" s="386"/>
      <c r="AE16" s="386"/>
      <c r="AF16" s="386"/>
      <c r="AG16" s="386"/>
      <c r="AH16" s="386"/>
      <c r="AI16" s="386"/>
      <c r="AJ16" s="386"/>
      <c r="AK16" s="386"/>
      <c r="AL16" s="386"/>
      <c r="AM16" s="386"/>
      <c r="AN16" s="10"/>
      <c r="AO16" s="447">
        <f ca="1"/>
        <v>0</v>
      </c>
      <c r="AP16" s="444">
        <f ca="1"/>
        <v>0</v>
      </c>
      <c r="AQ16" s="444">
        <f ca="1"/>
        <v>0</v>
      </c>
      <c r="AR16" s="444">
        <f ca="1"/>
        <v>0</v>
      </c>
      <c r="AS16" s="444">
        <f ca="1"/>
        <v>0</v>
      </c>
      <c r="AT16" s="444">
        <f ca="1"/>
        <v>0</v>
      </c>
      <c r="AU16" s="444">
        <f ca="1"/>
        <v>0</v>
      </c>
      <c r="AV16" s="444">
        <f ca="1"/>
        <v>0</v>
      </c>
      <c r="AW16" s="434">
        <f ca="1"/>
        <v>0</v>
      </c>
      <c r="AX16" s="10"/>
      <c r="AY16" s="447"/>
      <c r="AZ16" s="444"/>
      <c r="BA16" s="444"/>
      <c r="BB16" s="444"/>
      <c r="BC16" s="444"/>
      <c r="BD16" s="444"/>
      <c r="BE16" s="444"/>
      <c r="BF16" s="444"/>
      <c r="BG16" s="434"/>
      <c r="BH16" s="447" t="s">
        <v>516</v>
      </c>
      <c r="BI16" s="444"/>
      <c r="BJ16" s="444"/>
      <c r="BK16" s="444"/>
      <c r="BL16" s="444"/>
      <c r="BM16" s="444"/>
      <c r="BN16" s="444"/>
      <c r="BO16" s="444"/>
      <c r="BP16" s="434"/>
      <c r="BQ16" s="447" t="s">
        <v>516</v>
      </c>
      <c r="BR16" s="444"/>
      <c r="BS16" s="444"/>
      <c r="BT16" s="444"/>
      <c r="BU16" s="444"/>
      <c r="BV16" s="444"/>
      <c r="BW16" s="444"/>
      <c r="BX16" s="444"/>
      <c r="BY16" s="434"/>
      <c r="BZ16" s="1238" t="s">
        <v>516</v>
      </c>
      <c r="CA16" s="444"/>
      <c r="CB16" s="444"/>
      <c r="CC16" s="444"/>
      <c r="CD16" s="444"/>
      <c r="CE16" s="444"/>
      <c r="CF16" s="444"/>
      <c r="CG16" s="444"/>
      <c r="CH16" s="502" t="s">
        <v>551</v>
      </c>
      <c r="CI16" s="1238" t="s">
        <v>516</v>
      </c>
      <c r="CJ16" s="444"/>
      <c r="CK16" s="444"/>
      <c r="CL16" s="444"/>
      <c r="CM16" s="444"/>
      <c r="CN16" s="444"/>
      <c r="CO16" s="444"/>
      <c r="CP16" s="444"/>
      <c r="CQ16" s="502" t="s">
        <v>551</v>
      </c>
      <c r="CR16" s="447" t="s">
        <v>509</v>
      </c>
      <c r="CS16" s="444"/>
      <c r="CT16" s="444"/>
      <c r="CU16" s="444"/>
      <c r="CV16" s="444"/>
      <c r="CW16" s="444"/>
      <c r="CX16" s="444"/>
      <c r="CY16" s="444"/>
      <c r="CZ16" s="502"/>
      <c r="DA16" s="447" t="s">
        <v>509</v>
      </c>
      <c r="DB16" s="444"/>
      <c r="DC16" s="444"/>
      <c r="DD16" s="444"/>
      <c r="DE16" s="444"/>
      <c r="DF16" s="444"/>
      <c r="DG16" s="444"/>
      <c r="DH16" s="444"/>
      <c r="DI16" s="503"/>
    </row>
    <row r="17" spans="1:113" ht="11.25" customHeight="1">
      <c r="A17" s="445"/>
      <c r="B17" s="1253">
        <f t="shared" ca="1" si="0"/>
        <v>0</v>
      </c>
      <c r="C17" s="1203"/>
      <c r="D17" s="1203"/>
      <c r="E17" s="1203"/>
      <c r="F17" s="1203"/>
      <c r="G17" s="1561" t="str">
        <f>IF(minergiep,"",IF(P7=TRUE,"1)",""))</f>
        <v/>
      </c>
      <c r="H17" s="1855" t="str">
        <f ca="1">OFFSET(N17,M20-1,0)</f>
        <v/>
      </c>
      <c r="I17" s="1856"/>
      <c r="J17" s="1857"/>
      <c r="K17" s="438"/>
      <c r="L17" s="499" t="s">
        <v>1405</v>
      </c>
      <c r="M17" s="590">
        <v>5</v>
      </c>
      <c r="N17" s="390" t="str">
        <f>IF($P$9,AO37,"")</f>
        <v/>
      </c>
      <c r="P17" s="10"/>
      <c r="Q17" s="10"/>
      <c r="R17" s="10"/>
      <c r="S17" s="10"/>
      <c r="T17" s="10"/>
      <c r="U17" s="10"/>
      <c r="V17" s="394"/>
      <c r="W17" s="352"/>
      <c r="X17" s="386"/>
      <c r="Y17" s="386"/>
      <c r="Z17" s="386"/>
      <c r="AA17" s="386"/>
      <c r="AB17" s="386"/>
      <c r="AC17" s="386"/>
      <c r="AD17" s="386"/>
      <c r="AE17" s="386"/>
      <c r="AF17" s="386"/>
      <c r="AG17" s="386"/>
      <c r="AH17" s="386"/>
      <c r="AI17" s="386"/>
      <c r="AJ17" s="386"/>
      <c r="AK17" s="386"/>
      <c r="AL17" s="386"/>
      <c r="AM17" s="386"/>
      <c r="AN17" s="10"/>
      <c r="AO17" s="447">
        <f ca="1"/>
        <v>0</v>
      </c>
      <c r="AP17" s="444">
        <f ca="1"/>
        <v>0</v>
      </c>
      <c r="AQ17" s="444">
        <f ca="1"/>
        <v>0</v>
      </c>
      <c r="AR17" s="444">
        <f ca="1"/>
        <v>0</v>
      </c>
      <c r="AS17" s="444">
        <f ca="1"/>
        <v>0</v>
      </c>
      <c r="AT17" s="444">
        <f ca="1"/>
        <v>0</v>
      </c>
      <c r="AU17" s="444">
        <f ca="1"/>
        <v>0</v>
      </c>
      <c r="AV17" s="448">
        <f ca="1"/>
        <v>0</v>
      </c>
      <c r="AW17" s="434">
        <f ca="1"/>
        <v>0</v>
      </c>
      <c r="AX17" s="10"/>
      <c r="AY17" s="447"/>
      <c r="AZ17" s="444"/>
      <c r="BA17" s="444"/>
      <c r="BB17" s="444"/>
      <c r="BC17" s="444"/>
      <c r="BD17" s="444"/>
      <c r="BE17" s="444"/>
      <c r="BF17" s="448"/>
      <c r="BG17" s="434"/>
      <c r="BH17" s="1168" t="s">
        <v>1106</v>
      </c>
      <c r="BI17" s="444"/>
      <c r="BJ17" s="444"/>
      <c r="BK17" s="444"/>
      <c r="BL17" s="444"/>
      <c r="BM17" s="444"/>
      <c r="BN17" s="444"/>
      <c r="BO17" s="448"/>
      <c r="BP17" s="434"/>
      <c r="BQ17" s="447" t="s">
        <v>1106</v>
      </c>
      <c r="BR17" s="444"/>
      <c r="BS17" s="444"/>
      <c r="BT17" s="444"/>
      <c r="BU17" s="444"/>
      <c r="BV17" s="444"/>
      <c r="BW17" s="444"/>
      <c r="BX17" s="448"/>
      <c r="BY17" s="434"/>
      <c r="BZ17" s="1238" t="s">
        <v>1362</v>
      </c>
      <c r="CA17" s="444"/>
      <c r="CB17" s="444"/>
      <c r="CC17" s="444"/>
      <c r="CD17" s="444"/>
      <c r="CE17" s="444"/>
      <c r="CF17" s="444"/>
      <c r="CG17" s="448"/>
      <c r="CH17" s="434"/>
      <c r="CI17" s="1238" t="s">
        <v>1362</v>
      </c>
      <c r="CJ17" s="444"/>
      <c r="CK17" s="444"/>
      <c r="CL17" s="444"/>
      <c r="CM17" s="444"/>
      <c r="CN17" s="444"/>
      <c r="CO17" s="444"/>
      <c r="CP17" s="448"/>
      <c r="CQ17" s="434"/>
      <c r="CR17" s="447" t="s">
        <v>509</v>
      </c>
      <c r="CS17" s="444"/>
      <c r="CT17" s="444"/>
      <c r="CU17" s="444"/>
      <c r="CV17" s="444"/>
      <c r="CW17" s="444"/>
      <c r="CX17" s="444"/>
      <c r="CY17" s="448"/>
      <c r="CZ17" s="434"/>
      <c r="DA17" s="447" t="s">
        <v>509</v>
      </c>
      <c r="DB17" s="444"/>
      <c r="DC17" s="444"/>
      <c r="DD17" s="444"/>
      <c r="DE17" s="444"/>
      <c r="DF17" s="444"/>
      <c r="DG17" s="444"/>
      <c r="DH17" s="448"/>
      <c r="DI17" s="434"/>
    </row>
    <row r="18" spans="1:113" ht="11.25" customHeight="1">
      <c r="A18" s="445"/>
      <c r="B18" s="1253">
        <f t="shared" ca="1" si="0"/>
        <v>0</v>
      </c>
      <c r="C18" s="1203"/>
      <c r="D18" s="1203"/>
      <c r="E18" s="1203"/>
      <c r="F18" s="1203"/>
      <c r="G18" s="1203"/>
      <c r="H18" s="355"/>
      <c r="I18" s="355"/>
      <c r="J18" s="360"/>
      <c r="K18" s="438"/>
      <c r="L18" s="501" t="s">
        <v>1407</v>
      </c>
      <c r="M18" s="390">
        <f ca="1">AO34</f>
        <v>0</v>
      </c>
      <c r="N18" s="390" t="str">
        <f t="shared" ref="N18:N23" si="1">IF($P$9,AO38,"")</f>
        <v/>
      </c>
      <c r="P18" s="10"/>
      <c r="Q18" s="10"/>
      <c r="R18" s="10"/>
      <c r="S18" s="10"/>
      <c r="T18" s="10"/>
      <c r="U18" s="10"/>
      <c r="V18" s="394"/>
      <c r="W18" s="352"/>
      <c r="X18" s="386"/>
      <c r="Y18" s="386"/>
      <c r="Z18" s="386"/>
      <c r="AA18" s="386"/>
      <c r="AB18" s="386"/>
      <c r="AC18" s="386"/>
      <c r="AD18" s="386"/>
      <c r="AE18" s="386"/>
      <c r="AF18" s="386"/>
      <c r="AG18" s="386"/>
      <c r="AH18" s="386"/>
      <c r="AI18" s="386"/>
      <c r="AJ18" s="386"/>
      <c r="AK18" s="386"/>
      <c r="AL18" s="386"/>
      <c r="AM18" s="386"/>
      <c r="AN18" s="10"/>
      <c r="AO18" s="447">
        <f ca="1"/>
        <v>0</v>
      </c>
      <c r="AP18" s="444">
        <f ca="1"/>
        <v>0</v>
      </c>
      <c r="AQ18" s="444">
        <f ca="1"/>
        <v>0</v>
      </c>
      <c r="AR18" s="444">
        <f ca="1"/>
        <v>0</v>
      </c>
      <c r="AS18" s="444">
        <f ca="1"/>
        <v>0</v>
      </c>
      <c r="AT18" s="444">
        <f ca="1"/>
        <v>0</v>
      </c>
      <c r="AU18" s="444">
        <f ca="1"/>
        <v>0</v>
      </c>
      <c r="AV18" s="444">
        <f ca="1"/>
        <v>0</v>
      </c>
      <c r="AW18" s="434">
        <f ca="1"/>
        <v>0</v>
      </c>
      <c r="AX18" s="10"/>
      <c r="AY18" s="447"/>
      <c r="AZ18" s="444"/>
      <c r="BA18" s="444"/>
      <c r="BB18" s="444"/>
      <c r="BC18" s="444"/>
      <c r="BD18" s="444"/>
      <c r="BE18" s="444"/>
      <c r="BF18" s="444"/>
      <c r="BG18" s="434"/>
      <c r="BH18" s="1168" t="s">
        <v>1211</v>
      </c>
      <c r="BI18" s="444"/>
      <c r="BJ18" s="444"/>
      <c r="BK18" s="444"/>
      <c r="BL18" s="444"/>
      <c r="BM18" s="444"/>
      <c r="BN18" s="444"/>
      <c r="BO18" s="444"/>
      <c r="BP18" s="434"/>
      <c r="BQ18" s="447" t="s">
        <v>1211</v>
      </c>
      <c r="BR18" s="444"/>
      <c r="BS18" s="444"/>
      <c r="BT18" s="444"/>
      <c r="BU18" s="444"/>
      <c r="BV18" s="444"/>
      <c r="BW18" s="444"/>
      <c r="BX18" s="444"/>
      <c r="BY18" s="434"/>
      <c r="BZ18" s="447" t="s">
        <v>1363</v>
      </c>
      <c r="CA18" s="444"/>
      <c r="CB18" s="444"/>
      <c r="CC18" s="444"/>
      <c r="CD18" s="444"/>
      <c r="CE18" s="444"/>
      <c r="CF18" s="444"/>
      <c r="CG18" s="444"/>
      <c r="CH18" s="434"/>
      <c r="CI18" s="447" t="s">
        <v>1363</v>
      </c>
      <c r="CJ18" s="444"/>
      <c r="CK18" s="444"/>
      <c r="CL18" s="444"/>
      <c r="CM18" s="444"/>
      <c r="CN18" s="444"/>
      <c r="CO18" s="444"/>
      <c r="CP18" s="444"/>
      <c r="CQ18" s="434"/>
      <c r="CR18" s="447" t="s">
        <v>509</v>
      </c>
      <c r="CS18" s="444"/>
      <c r="CT18" s="444"/>
      <c r="CU18" s="444"/>
      <c r="CV18" s="444"/>
      <c r="CW18" s="444"/>
      <c r="CX18" s="444"/>
      <c r="CY18" s="444"/>
      <c r="CZ18" s="434"/>
      <c r="DA18" s="447" t="s">
        <v>509</v>
      </c>
      <c r="DB18" s="444"/>
      <c r="DC18" s="444"/>
      <c r="DD18" s="444"/>
      <c r="DE18" s="444"/>
      <c r="DF18" s="444"/>
      <c r="DG18" s="444"/>
      <c r="DH18" s="444"/>
      <c r="DI18" s="434"/>
    </row>
    <row r="19" spans="1:113" ht="11.25" customHeight="1">
      <c r="A19" s="445"/>
      <c r="B19" s="1253">
        <f t="shared" ca="1" si="0"/>
        <v>0</v>
      </c>
      <c r="C19" s="1203"/>
      <c r="D19" s="1203"/>
      <c r="E19" s="1203"/>
      <c r="F19" s="1203"/>
      <c r="G19" s="1203"/>
      <c r="H19" s="355"/>
      <c r="I19" s="355"/>
      <c r="J19" s="360"/>
      <c r="K19" s="438"/>
      <c r="L19" s="501" t="s">
        <v>473</v>
      </c>
      <c r="M19" s="390">
        <v>5</v>
      </c>
      <c r="N19" s="390" t="str">
        <f t="shared" si="1"/>
        <v/>
      </c>
      <c r="P19" s="10"/>
      <c r="Q19" s="10"/>
      <c r="R19" s="10"/>
      <c r="S19" s="10"/>
      <c r="T19" s="10"/>
      <c r="U19" s="10"/>
      <c r="V19" s="394"/>
      <c r="W19" s="352"/>
      <c r="X19" s="386"/>
      <c r="Y19" s="386"/>
      <c r="Z19" s="386"/>
      <c r="AA19" s="386"/>
      <c r="AB19" s="386"/>
      <c r="AC19" s="386"/>
      <c r="AD19" s="386"/>
      <c r="AE19" s="386"/>
      <c r="AF19" s="386"/>
      <c r="AG19" s="386"/>
      <c r="AH19" s="386"/>
      <c r="AI19" s="386"/>
      <c r="AJ19" s="386"/>
      <c r="AK19" s="386"/>
      <c r="AL19" s="386"/>
      <c r="AM19" s="386"/>
      <c r="AN19" s="10"/>
      <c r="AO19" s="447">
        <f ca="1"/>
        <v>0</v>
      </c>
      <c r="AP19" s="444">
        <f ca="1"/>
        <v>0</v>
      </c>
      <c r="AQ19" s="444">
        <f ca="1"/>
        <v>0</v>
      </c>
      <c r="AR19" s="444">
        <f ca="1"/>
        <v>0</v>
      </c>
      <c r="AS19" s="444">
        <f ca="1"/>
        <v>0</v>
      </c>
      <c r="AT19" s="444">
        <f ca="1"/>
        <v>0</v>
      </c>
      <c r="AU19" s="444">
        <f ca="1"/>
        <v>0</v>
      </c>
      <c r="AV19" s="444">
        <f ca="1"/>
        <v>0</v>
      </c>
      <c r="AW19" s="434">
        <f ca="1"/>
        <v>0</v>
      </c>
      <c r="AX19" s="10"/>
      <c r="AY19" s="447"/>
      <c r="AZ19" s="444"/>
      <c r="BA19" s="444"/>
      <c r="BB19" s="444"/>
      <c r="BC19" s="444"/>
      <c r="BD19" s="444"/>
      <c r="BE19" s="444"/>
      <c r="BF19" s="444"/>
      <c r="BG19" s="434"/>
      <c r="BH19" s="1168" t="s">
        <v>1107</v>
      </c>
      <c r="BI19" s="444"/>
      <c r="BJ19" s="444"/>
      <c r="BK19" s="444"/>
      <c r="BL19" s="444"/>
      <c r="BM19" s="444"/>
      <c r="BN19" s="444"/>
      <c r="BO19" s="444"/>
      <c r="BP19" s="434"/>
      <c r="BQ19" s="447" t="s">
        <v>1107</v>
      </c>
      <c r="BR19" s="444"/>
      <c r="BS19" s="444"/>
      <c r="BT19" s="444"/>
      <c r="BU19" s="444"/>
      <c r="BV19" s="444"/>
      <c r="BW19" s="444"/>
      <c r="BX19" s="444"/>
      <c r="BY19" s="434"/>
      <c r="CA19" s="444"/>
      <c r="CB19" s="444"/>
      <c r="CC19" s="444"/>
      <c r="CD19" s="444"/>
      <c r="CE19" s="444"/>
      <c r="CF19" s="444"/>
      <c r="CG19" s="444"/>
      <c r="CH19" s="434"/>
      <c r="CI19" s="433" t="s">
        <v>509</v>
      </c>
      <c r="CJ19" s="444"/>
      <c r="CK19" s="444"/>
      <c r="CL19" s="444"/>
      <c r="CM19" s="444"/>
      <c r="CN19" s="444"/>
      <c r="CO19" s="444"/>
      <c r="CP19" s="444"/>
      <c r="CQ19" s="434"/>
      <c r="CR19" s="449" t="s">
        <v>509</v>
      </c>
      <c r="CS19" s="444"/>
      <c r="CT19" s="444"/>
      <c r="CU19" s="444"/>
      <c r="CV19" s="444"/>
      <c r="CW19" s="444"/>
      <c r="CX19" s="444"/>
      <c r="CY19" s="444"/>
      <c r="CZ19" s="434"/>
      <c r="DA19" s="449" t="s">
        <v>509</v>
      </c>
      <c r="DB19" s="444"/>
      <c r="DC19" s="444"/>
      <c r="DD19" s="444"/>
      <c r="DE19" s="444"/>
      <c r="DF19" s="444"/>
      <c r="DG19" s="444"/>
      <c r="DH19" s="444"/>
      <c r="DI19" s="434"/>
    </row>
    <row r="20" spans="1:113" ht="11.25" customHeight="1">
      <c r="A20" s="445"/>
      <c r="B20" s="1253">
        <f t="shared" ca="1" si="0"/>
        <v>0</v>
      </c>
      <c r="C20" s="1203"/>
      <c r="D20" s="1203"/>
      <c r="E20" s="1203"/>
      <c r="F20" s="1203"/>
      <c r="G20" s="1203"/>
      <c r="H20" s="355"/>
      <c r="I20" s="10"/>
      <c r="J20" s="360"/>
      <c r="K20" s="438"/>
      <c r="L20" s="501" t="s">
        <v>582</v>
      </c>
      <c r="M20" s="390">
        <f ca="1">IF(P7,MIN(M18:M19),MIN(M17:M18))</f>
        <v>0</v>
      </c>
      <c r="N20" s="390" t="str">
        <f t="shared" si="1"/>
        <v/>
      </c>
      <c r="P20" s="10"/>
      <c r="Q20" s="10"/>
      <c r="R20" s="10"/>
      <c r="S20" s="10"/>
      <c r="T20" s="10"/>
      <c r="U20" s="10"/>
      <c r="V20" s="394"/>
      <c r="W20" s="352"/>
      <c r="X20" s="386"/>
      <c r="Y20" s="386"/>
      <c r="Z20" s="386"/>
      <c r="AA20" s="386"/>
      <c r="AB20" s="386"/>
      <c r="AC20" s="386"/>
      <c r="AD20" s="386"/>
      <c r="AE20" s="386"/>
      <c r="AF20" s="386"/>
      <c r="AG20" s="386"/>
      <c r="AH20" s="386"/>
      <c r="AI20" s="386"/>
      <c r="AJ20" s="386"/>
      <c r="AK20" s="386"/>
      <c r="AL20" s="386"/>
      <c r="AM20" s="386"/>
      <c r="AN20" s="10"/>
      <c r="AO20" s="449">
        <f ca="1"/>
        <v>0</v>
      </c>
      <c r="AP20" s="444">
        <f ca="1"/>
        <v>0</v>
      </c>
      <c r="AQ20" s="444">
        <f ca="1"/>
        <v>0</v>
      </c>
      <c r="AR20" s="444">
        <f ca="1"/>
        <v>0</v>
      </c>
      <c r="AS20" s="444">
        <f ca="1"/>
        <v>0</v>
      </c>
      <c r="AT20" s="444">
        <f ca="1"/>
        <v>0</v>
      </c>
      <c r="AU20" s="444">
        <f ca="1"/>
        <v>0</v>
      </c>
      <c r="AV20" s="386">
        <f ca="1"/>
        <v>0</v>
      </c>
      <c r="AW20" s="434">
        <f ca="1"/>
        <v>0</v>
      </c>
      <c r="AX20" s="10"/>
      <c r="AY20" s="449"/>
      <c r="AZ20" s="444"/>
      <c r="BA20" s="444"/>
      <c r="BB20" s="444"/>
      <c r="BC20" s="444"/>
      <c r="BD20" s="444"/>
      <c r="BE20" s="444"/>
      <c r="BF20" s="386"/>
      <c r="BG20" s="434"/>
      <c r="BH20" s="1236" t="s">
        <v>1108</v>
      </c>
      <c r="BI20" s="444"/>
      <c r="BJ20" s="444"/>
      <c r="BK20" s="444"/>
      <c r="BL20" s="444"/>
      <c r="BM20" s="444"/>
      <c r="BN20" s="444"/>
      <c r="BO20" s="386"/>
      <c r="BP20" s="434"/>
      <c r="BQ20" s="449" t="s">
        <v>1108</v>
      </c>
      <c r="BR20" s="444"/>
      <c r="BS20" s="444"/>
      <c r="BT20" s="444"/>
      <c r="BU20" s="444"/>
      <c r="BV20" s="444"/>
      <c r="BW20" s="444"/>
      <c r="BX20" s="386"/>
      <c r="BY20" s="434"/>
      <c r="BZ20" s="433" t="s">
        <v>509</v>
      </c>
      <c r="CA20" s="444"/>
      <c r="CB20" s="444"/>
      <c r="CC20" s="444"/>
      <c r="CD20" s="444"/>
      <c r="CE20" s="444"/>
      <c r="CF20" s="444"/>
      <c r="CG20" s="386"/>
      <c r="CH20" s="434"/>
      <c r="CI20" s="433" t="s">
        <v>509</v>
      </c>
      <c r="CJ20" s="444"/>
      <c r="CK20" s="444"/>
      <c r="CL20" s="444"/>
      <c r="CM20" s="444"/>
      <c r="CN20" s="444"/>
      <c r="CO20" s="444"/>
      <c r="CP20" s="386"/>
      <c r="CQ20" s="434"/>
      <c r="CR20" s="449" t="s">
        <v>509</v>
      </c>
      <c r="CS20" s="444"/>
      <c r="CT20" s="444"/>
      <c r="CU20" s="444"/>
      <c r="CV20" s="444"/>
      <c r="CW20" s="444"/>
      <c r="CX20" s="444"/>
      <c r="CY20" s="386"/>
      <c r="CZ20" s="434"/>
      <c r="DA20" s="449" t="s">
        <v>509</v>
      </c>
      <c r="DB20" s="444"/>
      <c r="DC20" s="444"/>
      <c r="DD20" s="444"/>
      <c r="DE20" s="444"/>
      <c r="DF20" s="444"/>
      <c r="DG20" s="444"/>
      <c r="DH20" s="386"/>
      <c r="DI20" s="434"/>
    </row>
    <row r="21" spans="1:113" ht="11.25" customHeight="1">
      <c r="A21" s="445"/>
      <c r="B21" s="1254">
        <f t="shared" ca="1" si="0"/>
        <v>0</v>
      </c>
      <c r="C21" s="1255"/>
      <c r="D21" s="1255"/>
      <c r="E21" s="1255"/>
      <c r="F21" s="1255"/>
      <c r="G21" s="1255"/>
      <c r="H21" s="361"/>
      <c r="I21" s="361"/>
      <c r="J21" s="362"/>
      <c r="K21" s="438"/>
      <c r="L21" s="501"/>
      <c r="M21" s="390"/>
      <c r="N21" s="390" t="str">
        <f t="shared" si="1"/>
        <v/>
      </c>
      <c r="P21" s="10"/>
      <c r="Q21" s="10"/>
      <c r="R21" s="10"/>
      <c r="S21" s="10"/>
      <c r="T21" s="10"/>
      <c r="U21" s="10"/>
      <c r="V21" s="394"/>
      <c r="W21" s="352"/>
      <c r="X21" s="386"/>
      <c r="Y21" s="386"/>
      <c r="Z21" s="386"/>
      <c r="AA21" s="386"/>
      <c r="AB21" s="386"/>
      <c r="AC21" s="386" t="s">
        <v>1423</v>
      </c>
      <c r="AD21" s="386"/>
      <c r="AE21" s="386"/>
      <c r="AF21" s="386"/>
      <c r="AG21" s="386"/>
      <c r="AH21" s="386"/>
      <c r="AI21" s="386"/>
      <c r="AJ21" s="386"/>
      <c r="AK21" s="386"/>
      <c r="AL21" s="386"/>
      <c r="AM21" s="386"/>
      <c r="AN21" s="10"/>
      <c r="AO21" s="450">
        <f ca="1"/>
        <v>0</v>
      </c>
      <c r="AP21" s="451">
        <f ca="1"/>
        <v>0</v>
      </c>
      <c r="AQ21" s="451">
        <f ca="1"/>
        <v>0</v>
      </c>
      <c r="AR21" s="451">
        <f ca="1"/>
        <v>0</v>
      </c>
      <c r="AS21" s="451">
        <f ca="1"/>
        <v>0</v>
      </c>
      <c r="AT21" s="451">
        <f ca="1"/>
        <v>0</v>
      </c>
      <c r="AU21" s="451">
        <f ca="1"/>
        <v>0</v>
      </c>
      <c r="AV21" s="451">
        <f ca="1"/>
        <v>0</v>
      </c>
      <c r="AW21" s="452">
        <f ca="1"/>
        <v>0</v>
      </c>
      <c r="AX21" s="10"/>
      <c r="AY21" s="450"/>
      <c r="AZ21" s="451"/>
      <c r="BA21" s="451"/>
      <c r="BB21" s="451"/>
      <c r="BC21" s="451"/>
      <c r="BD21" s="451"/>
      <c r="BE21" s="451"/>
      <c r="BF21" s="451"/>
      <c r="BG21" s="452"/>
      <c r="BH21" s="450" t="s">
        <v>1212</v>
      </c>
      <c r="BI21" s="451"/>
      <c r="BJ21" s="451"/>
      <c r="BK21" s="451"/>
      <c r="BL21" s="451"/>
      <c r="BM21" s="451"/>
      <c r="BN21" s="451"/>
      <c r="BO21" s="451"/>
      <c r="BP21" s="452"/>
      <c r="BQ21" s="450" t="s">
        <v>1212</v>
      </c>
      <c r="BR21" s="451"/>
      <c r="BS21" s="451"/>
      <c r="BT21" s="451"/>
      <c r="BU21" s="451"/>
      <c r="BV21" s="451"/>
      <c r="BW21" s="451"/>
      <c r="BX21" s="451"/>
      <c r="BY21" s="452"/>
      <c r="BZ21" s="505" t="s">
        <v>509</v>
      </c>
      <c r="CA21" s="451"/>
      <c r="CB21" s="451"/>
      <c r="CC21" s="451"/>
      <c r="CD21" s="451"/>
      <c r="CE21" s="451"/>
      <c r="CF21" s="451"/>
      <c r="CG21" s="451"/>
      <c r="CH21" s="452"/>
      <c r="CI21" s="505" t="s">
        <v>509</v>
      </c>
      <c r="CJ21" s="451"/>
      <c r="CK21" s="451"/>
      <c r="CL21" s="451"/>
      <c r="CM21" s="451"/>
      <c r="CN21" s="451"/>
      <c r="CO21" s="451"/>
      <c r="CP21" s="451"/>
      <c r="CQ21" s="452"/>
      <c r="CR21" s="450" t="s">
        <v>509</v>
      </c>
      <c r="CS21" s="451"/>
      <c r="CT21" s="451"/>
      <c r="CU21" s="451"/>
      <c r="CV21" s="451"/>
      <c r="CW21" s="451"/>
      <c r="CX21" s="451"/>
      <c r="CY21" s="451"/>
      <c r="CZ21" s="452"/>
      <c r="DA21" s="450" t="s">
        <v>509</v>
      </c>
      <c r="DB21" s="451"/>
      <c r="DC21" s="451"/>
      <c r="DD21" s="451"/>
      <c r="DE21" s="451"/>
      <c r="DF21" s="451"/>
      <c r="DG21" s="451"/>
      <c r="DH21" s="451"/>
      <c r="DI21" s="452"/>
    </row>
    <row r="22" spans="1:113" ht="15.75" customHeight="1">
      <c r="A22" s="626" t="s">
        <v>589</v>
      </c>
      <c r="B22" s="1201" t="s">
        <v>26</v>
      </c>
      <c r="C22" s="1251"/>
      <c r="D22" s="1251"/>
      <c r="E22" s="1256"/>
      <c r="F22" s="1256"/>
      <c r="G22" s="1561" t="str">
        <f>IF(minergiep,"",IF(P7=TRUE,"1)",""))</f>
        <v/>
      </c>
      <c r="H22" s="1843">
        <f>INDEX(Standardwerte!$BT$35:$BT$39,M24)</f>
        <v>1</v>
      </c>
      <c r="I22" s="1844"/>
      <c r="J22" s="1845"/>
      <c r="K22" s="506"/>
      <c r="L22" s="501"/>
      <c r="M22" s="390"/>
      <c r="N22" s="390" t="str">
        <f t="shared" si="1"/>
        <v/>
      </c>
      <c r="P22" s="10"/>
      <c r="Q22" s="10"/>
      <c r="R22" s="10"/>
      <c r="S22" s="10"/>
      <c r="T22" s="10"/>
      <c r="U22" s="10"/>
      <c r="V22" s="394"/>
      <c r="W22" s="363" t="s">
        <v>564</v>
      </c>
      <c r="X22" s="12">
        <f>M24</f>
        <v>1</v>
      </c>
      <c r="Y22" s="12">
        <f ca="1">M26</f>
        <v>0</v>
      </c>
      <c r="Z22" s="12"/>
      <c r="AA22" s="12" t="s">
        <v>1329</v>
      </c>
      <c r="AB22" s="386"/>
      <c r="AC22" s="892">
        <f ca="1">IF(AND(Y22=2,E24&gt;0),0.8,1)</f>
        <v>1</v>
      </c>
      <c r="AD22" s="386"/>
      <c r="AE22" s="386"/>
      <c r="AF22" s="386"/>
      <c r="AG22" s="386"/>
      <c r="AH22" s="386"/>
      <c r="AI22" s="386"/>
      <c r="AJ22" s="386"/>
      <c r="AK22" s="386"/>
      <c r="AL22" s="386"/>
      <c r="AM22" s="386"/>
      <c r="AN22" s="10"/>
      <c r="AO22" s="453">
        <f ca="1"/>
        <v>0</v>
      </c>
      <c r="AP22" s="454">
        <f ca="1"/>
        <v>0</v>
      </c>
      <c r="AQ22" s="454">
        <f ca="1"/>
        <v>0</v>
      </c>
      <c r="AR22" s="455">
        <f ca="1"/>
        <v>0</v>
      </c>
      <c r="AS22" s="455">
        <f ca="1"/>
        <v>0</v>
      </c>
      <c r="AT22" s="455">
        <f ca="1"/>
        <v>0</v>
      </c>
      <c r="AU22" s="414">
        <f ca="1"/>
        <v>0</v>
      </c>
      <c r="AV22" s="414">
        <f ca="1"/>
        <v>0</v>
      </c>
      <c r="AW22" s="417">
        <f ca="1"/>
        <v>0</v>
      </c>
      <c r="AX22" s="10"/>
      <c r="AY22" s="453"/>
      <c r="AZ22" s="454"/>
      <c r="BA22" s="454"/>
      <c r="BB22" s="455"/>
      <c r="BC22" s="455"/>
      <c r="BD22" s="455"/>
      <c r="BE22" s="414"/>
      <c r="BF22" s="414"/>
      <c r="BG22" s="417"/>
      <c r="BH22" s="453" t="s">
        <v>1213</v>
      </c>
      <c r="BI22" s="454"/>
      <c r="BJ22" s="454"/>
      <c r="BK22" s="455"/>
      <c r="BL22" s="455"/>
      <c r="BM22" s="455"/>
      <c r="BN22" s="414"/>
      <c r="BO22" s="414"/>
      <c r="BP22" s="417"/>
      <c r="BQ22" s="453" t="s">
        <v>1213</v>
      </c>
      <c r="BR22" s="454"/>
      <c r="BS22" s="454"/>
      <c r="BT22" s="455"/>
      <c r="BU22" s="455"/>
      <c r="BV22" s="455"/>
      <c r="BW22" s="414"/>
      <c r="BX22" s="414"/>
      <c r="BY22" s="417"/>
      <c r="BZ22" s="453" t="s">
        <v>479</v>
      </c>
      <c r="CA22" s="454"/>
      <c r="CB22" s="454"/>
      <c r="CC22" s="455"/>
      <c r="CD22" s="455"/>
      <c r="CE22" s="455"/>
      <c r="CF22" s="414"/>
      <c r="CG22" s="414"/>
      <c r="CH22" s="417"/>
      <c r="CI22" s="453" t="s">
        <v>479</v>
      </c>
      <c r="CJ22" s="414"/>
      <c r="CK22" s="414"/>
      <c r="CL22" s="414"/>
      <c r="CM22" s="414"/>
      <c r="CN22" s="414"/>
      <c r="CO22" s="414"/>
      <c r="CP22" s="414"/>
      <c r="CQ22" s="417"/>
      <c r="CR22" s="453" t="s">
        <v>479</v>
      </c>
      <c r="CS22" s="414"/>
      <c r="CT22" s="414"/>
      <c r="CU22" s="414"/>
      <c r="CV22" s="414"/>
      <c r="CW22" s="414"/>
      <c r="CX22" s="414"/>
      <c r="CY22" s="414"/>
      <c r="CZ22" s="417"/>
      <c r="DA22" s="453" t="s">
        <v>479</v>
      </c>
      <c r="DB22" s="414"/>
      <c r="DC22" s="414"/>
      <c r="DD22" s="414"/>
      <c r="DE22" s="414"/>
      <c r="DF22" s="414"/>
      <c r="DG22" s="414"/>
      <c r="DH22" s="414"/>
      <c r="DI22" s="417"/>
    </row>
    <row r="23" spans="1:113">
      <c r="A23" s="626"/>
      <c r="B23" s="443" t="str">
        <f>IF(M24=2,LER_Text1,"")</f>
        <v/>
      </c>
      <c r="C23" s="355"/>
      <c r="D23" s="355"/>
      <c r="E23" s="365"/>
      <c r="F23" s="365"/>
      <c r="G23" s="365"/>
      <c r="H23" s="1564"/>
      <c r="I23" s="365"/>
      <c r="J23" s="366"/>
      <c r="K23" s="506"/>
      <c r="L23" s="504"/>
      <c r="M23" s="493"/>
      <c r="N23" s="390" t="str">
        <f t="shared" si="1"/>
        <v/>
      </c>
      <c r="P23" s="10"/>
      <c r="Q23" s="10"/>
      <c r="R23" s="10"/>
      <c r="S23" s="10"/>
      <c r="T23" s="10"/>
      <c r="U23" s="10"/>
      <c r="V23" s="394"/>
      <c r="W23" s="363"/>
      <c r="X23" s="386"/>
      <c r="Y23" s="386"/>
      <c r="Z23" s="386"/>
      <c r="AA23" s="386"/>
      <c r="AB23" s="386"/>
      <c r="AC23" s="386"/>
      <c r="AD23" s="386"/>
      <c r="AE23" s="386"/>
      <c r="AF23" s="386"/>
      <c r="AG23" s="386"/>
      <c r="AH23" s="386"/>
      <c r="AI23" s="386"/>
      <c r="AJ23" s="386"/>
      <c r="AK23" s="386"/>
      <c r="AL23" s="386"/>
      <c r="AM23" s="386"/>
      <c r="AN23" s="10"/>
      <c r="AO23" s="443">
        <f ca="1"/>
        <v>0</v>
      </c>
      <c r="AP23" s="444">
        <f ca="1"/>
        <v>0</v>
      </c>
      <c r="AQ23" s="444">
        <f ca="1"/>
        <v>0</v>
      </c>
      <c r="AR23" s="456">
        <f ca="1"/>
        <v>0</v>
      </c>
      <c r="AS23" s="456">
        <f ca="1"/>
        <v>0</v>
      </c>
      <c r="AT23" s="456">
        <f ca="1"/>
        <v>0</v>
      </c>
      <c r="AU23" s="386">
        <f ca="1"/>
        <v>0</v>
      </c>
      <c r="AV23" s="386">
        <f ca="1"/>
        <v>0</v>
      </c>
      <c r="AW23" s="434">
        <f ca="1"/>
        <v>0</v>
      </c>
      <c r="AX23" s="10"/>
      <c r="AY23" s="443"/>
      <c r="AZ23" s="444"/>
      <c r="BA23" s="444"/>
      <c r="BB23" s="456"/>
      <c r="BC23" s="456"/>
      <c r="BD23" s="456"/>
      <c r="BE23" s="386"/>
      <c r="BF23" s="386"/>
      <c r="BG23" s="434"/>
      <c r="BH23" s="443" t="s">
        <v>1695</v>
      </c>
      <c r="BI23" s="444"/>
      <c r="BJ23" s="444"/>
      <c r="BK23" s="456"/>
      <c r="BL23" s="456"/>
      <c r="BM23" s="456"/>
      <c r="BN23" s="386"/>
      <c r="BO23" s="386"/>
      <c r="BP23" s="434"/>
      <c r="BQ23" s="443" t="s">
        <v>1695</v>
      </c>
      <c r="BR23" s="444"/>
      <c r="BS23" s="444"/>
      <c r="BT23" s="456"/>
      <c r="BU23" s="456"/>
      <c r="BV23" s="456"/>
      <c r="BW23" s="386"/>
      <c r="BX23" s="386"/>
      <c r="BY23" s="434"/>
      <c r="BZ23" s="444"/>
      <c r="CA23" s="444"/>
      <c r="CB23" s="444"/>
      <c r="CC23" s="456"/>
      <c r="CD23" s="456"/>
      <c r="CE23" s="456"/>
      <c r="CF23" s="386"/>
      <c r="CG23" s="386"/>
      <c r="CH23" s="434"/>
      <c r="CI23" s="386"/>
      <c r="CJ23" s="386"/>
      <c r="CK23" s="386"/>
      <c r="CL23" s="386"/>
      <c r="CM23" s="386"/>
      <c r="CN23" s="386"/>
      <c r="CO23" s="386"/>
      <c r="CP23" s="386"/>
      <c r="CQ23" s="434"/>
      <c r="CR23" s="418"/>
      <c r="CS23" s="386"/>
      <c r="CT23" s="386"/>
      <c r="CU23" s="386"/>
      <c r="CV23" s="386"/>
      <c r="CW23" s="386"/>
      <c r="CX23" s="386"/>
      <c r="CY23" s="386"/>
      <c r="CZ23" s="434"/>
      <c r="DA23" s="418"/>
      <c r="DB23" s="386"/>
      <c r="DC23" s="386"/>
      <c r="DD23" s="386"/>
      <c r="DE23" s="386"/>
      <c r="DF23" s="386"/>
      <c r="DG23" s="386"/>
      <c r="DH23" s="386"/>
      <c r="DI23" s="434"/>
    </row>
    <row r="24" spans="1:113" ht="15.75" customHeight="1">
      <c r="A24" s="627"/>
      <c r="B24" s="1736" t="str">
        <f>IF(M24=1,LER_Text0,IF(M24=2,LER_Text2,LER_Text3))</f>
        <v>La protezione contro il giaccio deve essere garantita</v>
      </c>
      <c r="C24" s="361"/>
      <c r="D24" s="1566"/>
      <c r="E24" s="1567"/>
      <c r="F24" s="1738" t="str">
        <f>IF(M24=1,LER_Text6,IF(M24=2,"m","%"))</f>
        <v>Compilare la casella E25</v>
      </c>
      <c r="G24" s="361"/>
      <c r="H24" s="1568" t="str">
        <f>IF(M24&gt;2,LER_Text5,"")</f>
        <v/>
      </c>
      <c r="I24" s="361"/>
      <c r="J24" s="362"/>
      <c r="K24" s="438"/>
      <c r="L24" s="507" t="s">
        <v>1405</v>
      </c>
      <c r="M24" s="590">
        <v>1</v>
      </c>
      <c r="N24" s="508">
        <f ca="1">IF(minergiep,"no",AP37)</f>
        <v>0</v>
      </c>
      <c r="Q24" s="509"/>
      <c r="R24" s="10"/>
      <c r="S24" s="10"/>
      <c r="T24" s="10"/>
      <c r="U24" s="10"/>
      <c r="V24" s="394"/>
      <c r="W24" s="367"/>
      <c r="X24" s="386"/>
      <c r="Y24" s="386"/>
      <c r="Z24" s="386"/>
      <c r="AA24" s="386"/>
      <c r="AB24" s="386"/>
      <c r="AC24" s="10"/>
      <c r="AD24" s="10"/>
      <c r="AE24" s="10"/>
      <c r="AF24" s="386"/>
      <c r="AG24" s="386"/>
      <c r="AH24" s="386"/>
      <c r="AI24" s="386"/>
      <c r="AJ24" s="386"/>
      <c r="AK24" s="386"/>
      <c r="AL24" s="386"/>
      <c r="AM24" s="386"/>
      <c r="AN24" s="10"/>
      <c r="AO24" s="443">
        <f ca="1"/>
        <v>0</v>
      </c>
      <c r="AP24" s="444">
        <f ca="1"/>
        <v>0</v>
      </c>
      <c r="AQ24" s="446">
        <f ca="1"/>
        <v>0</v>
      </c>
      <c r="AR24" s="386">
        <f ca="1"/>
        <v>0</v>
      </c>
      <c r="AS24" s="445">
        <f ca="1"/>
        <v>0</v>
      </c>
      <c r="AT24" s="444">
        <f ca="1"/>
        <v>0</v>
      </c>
      <c r="AU24" s="386">
        <f ca="1"/>
        <v>0</v>
      </c>
      <c r="AV24" s="386">
        <f ca="1"/>
        <v>0</v>
      </c>
      <c r="AW24" s="434">
        <f ca="1"/>
        <v>0</v>
      </c>
      <c r="AX24" s="10"/>
      <c r="AY24" s="443"/>
      <c r="AZ24" s="444"/>
      <c r="BA24" s="446"/>
      <c r="BB24" s="386"/>
      <c r="BC24" s="445"/>
      <c r="BD24" s="444"/>
      <c r="BE24" s="386"/>
      <c r="BF24" s="386"/>
      <c r="BG24" s="434"/>
      <c r="BH24" s="445" t="s">
        <v>1111</v>
      </c>
      <c r="BI24" s="444"/>
      <c r="BK24" s="386">
        <v>1</v>
      </c>
      <c r="BL24" s="445" t="s">
        <v>1110</v>
      </c>
      <c r="BM24" s="444"/>
      <c r="BN24" s="386"/>
      <c r="BO24" s="386"/>
      <c r="BP24" s="434"/>
      <c r="BQ24" s="513" t="s">
        <v>1111</v>
      </c>
      <c r="BR24" s="451"/>
      <c r="BT24" s="425">
        <v>1</v>
      </c>
      <c r="BU24" s="513" t="s">
        <v>1110</v>
      </c>
      <c r="BV24" s="451"/>
      <c r="BW24" s="425"/>
      <c r="BX24" s="425"/>
      <c r="BY24" s="452"/>
      <c r="BZ24" s="451"/>
      <c r="CA24" s="451"/>
      <c r="CB24" s="512"/>
      <c r="CC24" s="425">
        <v>0</v>
      </c>
      <c r="CD24" s="513"/>
      <c r="CE24" s="451"/>
      <c r="CF24" s="425"/>
      <c r="CG24" s="425"/>
      <c r="CH24" s="452"/>
      <c r="CI24" s="425"/>
      <c r="CJ24" s="425"/>
      <c r="CK24" s="425"/>
      <c r="CL24" s="425">
        <v>0</v>
      </c>
      <c r="CM24" s="425"/>
      <c r="CN24" s="425"/>
      <c r="CO24" s="425"/>
      <c r="CP24" s="425"/>
      <c r="CQ24" s="452"/>
      <c r="CR24" s="423"/>
      <c r="CS24" s="425"/>
      <c r="CT24" s="425"/>
      <c r="CU24" s="425">
        <v>0</v>
      </c>
      <c r="CV24" s="425"/>
      <c r="CW24" s="425"/>
      <c r="CX24" s="425"/>
      <c r="CY24" s="425"/>
      <c r="CZ24" s="452"/>
      <c r="DA24" s="423"/>
      <c r="DB24" s="425"/>
      <c r="DC24" s="425"/>
      <c r="DD24" s="425">
        <v>0</v>
      </c>
      <c r="DE24" s="425"/>
      <c r="DF24" s="425"/>
      <c r="DG24" s="425"/>
      <c r="DH24" s="425"/>
      <c r="DI24" s="452"/>
    </row>
    <row r="25" spans="1:113" ht="15.75" customHeight="1">
      <c r="A25" s="628" t="s">
        <v>564</v>
      </c>
      <c r="B25" s="1202" t="s">
        <v>1109</v>
      </c>
      <c r="C25" s="1256"/>
      <c r="D25" s="1256"/>
      <c r="E25" s="1258" t="s">
        <v>753</v>
      </c>
      <c r="F25" s="1244"/>
      <c r="G25" s="1259"/>
      <c r="H25" s="1860"/>
      <c r="I25" s="1861"/>
      <c r="J25" s="1862"/>
      <c r="K25" s="506"/>
      <c r="L25" s="390" t="s">
        <v>1407</v>
      </c>
      <c r="M25" s="390">
        <f ca="1">IF(P7,1,AP34)</f>
        <v>0</v>
      </c>
      <c r="N25" s="511">
        <f ca="1">IF(minergiep,"si",AP38)</f>
        <v>0</v>
      </c>
      <c r="W25" s="368" t="s">
        <v>565</v>
      </c>
      <c r="X25" s="12"/>
      <c r="Y25" s="12"/>
      <c r="Z25" s="12"/>
      <c r="AA25" s="12"/>
      <c r="AB25" s="386"/>
      <c r="AC25" s="386"/>
      <c r="AD25" s="386"/>
      <c r="AE25" s="386"/>
      <c r="AF25" s="386"/>
      <c r="AG25" s="386"/>
      <c r="AH25" s="386"/>
      <c r="AI25" s="386"/>
      <c r="AJ25" s="386"/>
      <c r="AK25" s="386"/>
      <c r="AL25" s="386"/>
      <c r="AM25" s="386"/>
      <c r="AN25" s="10"/>
      <c r="AO25" s="457">
        <f ca="1"/>
        <v>0</v>
      </c>
      <c r="AP25" s="455">
        <f ca="1"/>
        <v>0</v>
      </c>
      <c r="AQ25" s="455">
        <f ca="1"/>
        <v>0</v>
      </c>
      <c r="AR25" s="458">
        <f ca="1"/>
        <v>0</v>
      </c>
      <c r="AS25" s="414">
        <f ca="1"/>
        <v>0</v>
      </c>
      <c r="AT25" s="459">
        <f ca="1"/>
        <v>0</v>
      </c>
      <c r="AU25" s="460">
        <f ca="1"/>
        <v>0</v>
      </c>
      <c r="AV25" s="461">
        <f ca="1"/>
        <v>0</v>
      </c>
      <c r="AW25" s="462">
        <f ca="1"/>
        <v>0</v>
      </c>
      <c r="AX25" s="10"/>
      <c r="AY25" s="457"/>
      <c r="AZ25" s="455"/>
      <c r="BA25" s="455"/>
      <c r="BB25" s="458"/>
      <c r="BC25" s="414"/>
      <c r="BD25" s="459"/>
      <c r="BE25" s="460"/>
      <c r="BF25" s="461"/>
      <c r="BG25" s="462"/>
      <c r="BH25" s="457" t="s">
        <v>1109</v>
      </c>
      <c r="BI25" s="455"/>
      <c r="BJ25" s="455"/>
      <c r="BK25" s="458" t="s">
        <v>753</v>
      </c>
      <c r="BL25" s="414"/>
      <c r="BM25" s="459"/>
      <c r="BN25" s="460"/>
      <c r="BO25" s="461"/>
      <c r="BP25" s="462"/>
      <c r="BQ25" s="457" t="s">
        <v>1109</v>
      </c>
      <c r="BR25" s="455"/>
      <c r="BS25" s="455"/>
      <c r="BT25" s="458" t="s">
        <v>753</v>
      </c>
      <c r="BU25" s="414"/>
      <c r="BV25" s="459"/>
      <c r="BW25" s="460"/>
      <c r="BX25" s="461"/>
      <c r="BY25" s="462"/>
      <c r="BZ25" s="457" t="s">
        <v>1109</v>
      </c>
      <c r="CA25" s="455"/>
      <c r="CB25" s="455"/>
      <c r="CC25" s="458" t="s">
        <v>753</v>
      </c>
      <c r="CD25" s="414"/>
      <c r="CE25" s="459"/>
      <c r="CF25" s="460"/>
      <c r="CG25" s="461"/>
      <c r="CH25" s="462"/>
      <c r="CI25" s="457" t="s">
        <v>1109</v>
      </c>
      <c r="CJ25" s="455"/>
      <c r="CK25" s="455"/>
      <c r="CL25" s="458" t="s">
        <v>753</v>
      </c>
      <c r="CM25" s="414"/>
      <c r="CN25" s="459"/>
      <c r="CO25" s="460"/>
      <c r="CP25" s="461"/>
      <c r="CQ25" s="462"/>
      <c r="CR25" s="457" t="s">
        <v>1109</v>
      </c>
      <c r="CS25" s="455"/>
      <c r="CT25" s="455"/>
      <c r="CU25" s="458" t="s">
        <v>753</v>
      </c>
      <c r="CV25" s="414"/>
      <c r="CW25" s="459"/>
      <c r="CX25" s="460"/>
      <c r="CY25" s="461"/>
      <c r="CZ25" s="462"/>
      <c r="DA25" s="457" t="s">
        <v>1618</v>
      </c>
      <c r="DB25" s="455"/>
      <c r="DC25" s="455"/>
      <c r="DD25" s="458"/>
      <c r="DE25" s="414"/>
      <c r="DF25" s="459"/>
      <c r="DG25" s="459"/>
      <c r="DH25" s="459"/>
      <c r="DI25" s="462"/>
    </row>
    <row r="26" spans="1:113" ht="15.75" customHeight="1">
      <c r="A26" s="445" t="s">
        <v>565</v>
      </c>
      <c r="B26" s="1245"/>
      <c r="C26" s="1203"/>
      <c r="D26" s="1203"/>
      <c r="E26" s="1203" t="s">
        <v>1214</v>
      </c>
      <c r="F26" s="1248"/>
      <c r="G26" s="1260"/>
      <c r="H26" s="1864">
        <f ca="1">OFFSET(N28,M30-1,0)</f>
        <v>0</v>
      </c>
      <c r="I26" s="1865"/>
      <c r="J26" s="1866"/>
      <c r="K26" s="438"/>
      <c r="L26" s="493" t="s">
        <v>582</v>
      </c>
      <c r="M26" s="493">
        <f ca="1">MIN(M24:M25)</f>
        <v>0</v>
      </c>
      <c r="W26" s="352" t="s">
        <v>587</v>
      </c>
      <c r="X26" s="12">
        <f>M28</f>
        <v>1</v>
      </c>
      <c r="Y26" s="12">
        <f ca="1">M30</f>
        <v>0</v>
      </c>
      <c r="Z26" s="12"/>
      <c r="AA26" s="12"/>
      <c r="AB26" s="386"/>
      <c r="AC26" s="12">
        <f ca="1">MAX(IF(AND(Kategorie1&lt;4,Standardlüftung1=3),OFFSET(P28,Y26-1,0),OFFSET(P28,Y26-1,0)),0)</f>
        <v>0</v>
      </c>
      <c r="AD26" s="386"/>
      <c r="AE26" s="386"/>
      <c r="AF26" s="386"/>
      <c r="AG26" s="386"/>
      <c r="AH26" s="386"/>
      <c r="AI26" s="386"/>
      <c r="AJ26" s="386"/>
      <c r="AK26" s="386"/>
      <c r="AL26" s="386"/>
      <c r="AM26" s="386"/>
      <c r="AN26" s="10"/>
      <c r="AO26" s="418">
        <f ca="1"/>
        <v>0</v>
      </c>
      <c r="AP26" s="444">
        <f ca="1"/>
        <v>0</v>
      </c>
      <c r="AQ26" s="444">
        <f ca="1"/>
        <v>0</v>
      </c>
      <c r="AR26" s="444">
        <f ca="1"/>
        <v>0</v>
      </c>
      <c r="AS26" s="386">
        <f ca="1"/>
        <v>0</v>
      </c>
      <c r="AT26" s="444">
        <f ca="1"/>
        <v>0</v>
      </c>
      <c r="AU26" s="463">
        <f ca="1"/>
        <v>0</v>
      </c>
      <c r="AV26" s="464">
        <f ca="1"/>
        <v>0</v>
      </c>
      <c r="AW26" s="465">
        <f ca="1"/>
        <v>0</v>
      </c>
      <c r="AX26" s="10"/>
      <c r="AY26" s="418"/>
      <c r="AZ26" s="444"/>
      <c r="BA26" s="444"/>
      <c r="BB26" s="444"/>
      <c r="BC26" s="386"/>
      <c r="BD26" s="444"/>
      <c r="BE26" s="463"/>
      <c r="BF26" s="464"/>
      <c r="BG26" s="465"/>
      <c r="BH26" s="418"/>
      <c r="BI26" s="444"/>
      <c r="BJ26" s="444"/>
      <c r="BK26" s="444" t="s">
        <v>1410</v>
      </c>
      <c r="BL26" s="386"/>
      <c r="BM26" s="444"/>
      <c r="BN26" s="463"/>
      <c r="BO26" s="464"/>
      <c r="BP26" s="465"/>
      <c r="BQ26" s="418"/>
      <c r="BR26" s="444"/>
      <c r="BS26" s="444"/>
      <c r="BT26" s="444" t="s">
        <v>1410</v>
      </c>
      <c r="BU26" s="386"/>
      <c r="BV26" s="444"/>
      <c r="BW26" s="463"/>
      <c r="BX26" s="464"/>
      <c r="BY26" s="465"/>
      <c r="BZ26" s="418"/>
      <c r="CA26" s="444"/>
      <c r="CB26" s="444"/>
      <c r="CC26" s="444"/>
      <c r="CD26" s="386"/>
      <c r="CE26" s="444"/>
      <c r="CF26" s="463"/>
      <c r="CG26" s="464"/>
      <c r="CH26" s="465"/>
      <c r="CI26" s="418"/>
      <c r="CJ26" s="444"/>
      <c r="CK26" s="444"/>
      <c r="CL26" s="444"/>
      <c r="CM26" s="386"/>
      <c r="CN26" s="444"/>
      <c r="CO26" s="463"/>
      <c r="CP26" s="464"/>
      <c r="CQ26" s="465"/>
      <c r="CR26" s="418"/>
      <c r="CS26" s="444"/>
      <c r="CT26" s="444"/>
      <c r="CU26" s="444" t="s">
        <v>1410</v>
      </c>
      <c r="CV26" s="386"/>
      <c r="CW26" s="444"/>
      <c r="CX26" s="463"/>
      <c r="CY26" s="464"/>
      <c r="CZ26" s="465"/>
      <c r="DA26" s="418"/>
      <c r="DB26" s="444"/>
      <c r="DC26" s="444"/>
      <c r="DD26" s="444"/>
      <c r="DE26" s="386"/>
      <c r="DF26" s="444"/>
      <c r="DG26" s="515"/>
      <c r="DH26" s="448"/>
      <c r="DI26" s="465"/>
    </row>
    <row r="27" spans="1:113" ht="15.75" customHeight="1">
      <c r="A27" s="628" t="s">
        <v>587</v>
      </c>
      <c r="B27" s="1245"/>
      <c r="C27" s="1203"/>
      <c r="D27" s="1203"/>
      <c r="E27" s="1203" t="s">
        <v>1411</v>
      </c>
      <c r="F27" s="1248"/>
      <c r="G27" s="1203"/>
      <c r="H27" s="1864">
        <f ca="1">OFFSET(N31,M33-1,0)</f>
        <v>0</v>
      </c>
      <c r="I27" s="1865"/>
      <c r="J27" s="1866"/>
      <c r="K27" s="438"/>
      <c r="L27" s="386" t="s">
        <v>1424</v>
      </c>
      <c r="M27" s="386">
        <f ca="1">INDEX(AT37:AT39,M28,1)</f>
        <v>0</v>
      </c>
      <c r="W27" s="352" t="s">
        <v>588</v>
      </c>
      <c r="X27" s="12">
        <f>M31</f>
        <v>1</v>
      </c>
      <c r="Y27" s="12">
        <f ca="1">M33</f>
        <v>0</v>
      </c>
      <c r="Z27" s="12"/>
      <c r="AA27" s="12"/>
      <c r="AB27" s="386"/>
      <c r="AC27" s="387">
        <f ca="1">IF(Y27=1,1,0.5)</f>
        <v>0.5</v>
      </c>
      <c r="AD27" s="386"/>
      <c r="AE27" s="386"/>
      <c r="AF27" s="386"/>
      <c r="AG27" s="386"/>
      <c r="AH27" s="386"/>
      <c r="AI27" s="386"/>
      <c r="AJ27" s="386"/>
      <c r="AK27" s="386"/>
      <c r="AL27" s="386"/>
      <c r="AM27" s="386"/>
      <c r="AN27" s="10"/>
      <c r="AO27" s="418">
        <f ca="1"/>
        <v>0</v>
      </c>
      <c r="AP27" s="444">
        <f ca="1"/>
        <v>0</v>
      </c>
      <c r="AQ27" s="444">
        <f ca="1"/>
        <v>0</v>
      </c>
      <c r="AR27" s="444">
        <f ca="1"/>
        <v>0</v>
      </c>
      <c r="AS27" s="386">
        <f ca="1"/>
        <v>0</v>
      </c>
      <c r="AT27" s="444">
        <f ca="1"/>
        <v>0</v>
      </c>
      <c r="AU27" s="463">
        <f ca="1"/>
        <v>0</v>
      </c>
      <c r="AV27" s="464">
        <f ca="1"/>
        <v>0</v>
      </c>
      <c r="AW27" s="466">
        <f ca="1"/>
        <v>0</v>
      </c>
      <c r="AX27" s="10"/>
      <c r="AY27" s="418"/>
      <c r="AZ27" s="444"/>
      <c r="BA27" s="444"/>
      <c r="BB27" s="444"/>
      <c r="BC27" s="386"/>
      <c r="BD27" s="444"/>
      <c r="BE27" s="463"/>
      <c r="BF27" s="464"/>
      <c r="BG27" s="466"/>
      <c r="BH27" s="418"/>
      <c r="BI27" s="444"/>
      <c r="BJ27" s="444"/>
      <c r="BK27" s="444" t="s">
        <v>1411</v>
      </c>
      <c r="BL27" s="386"/>
      <c r="BM27" s="444"/>
      <c r="BN27" s="463"/>
      <c r="BO27" s="464"/>
      <c r="BP27" s="466"/>
      <c r="BQ27" s="418"/>
      <c r="BR27" s="444"/>
      <c r="BS27" s="444"/>
      <c r="BT27" s="444" t="s">
        <v>1411</v>
      </c>
      <c r="BU27" s="386"/>
      <c r="BV27" s="444"/>
      <c r="BW27" s="463"/>
      <c r="BX27" s="464"/>
      <c r="BY27" s="466"/>
      <c r="BZ27" s="418"/>
      <c r="CA27" s="444"/>
      <c r="CB27" s="444"/>
      <c r="CC27" s="444" t="s">
        <v>1411</v>
      </c>
      <c r="CD27" s="386"/>
      <c r="CE27" s="444"/>
      <c r="CF27" s="463"/>
      <c r="CG27" s="464"/>
      <c r="CH27" s="466"/>
      <c r="CI27" s="418"/>
      <c r="CJ27" s="444"/>
      <c r="CK27" s="444"/>
      <c r="CL27" s="444" t="s">
        <v>1411</v>
      </c>
      <c r="CM27" s="386"/>
      <c r="CN27" s="444"/>
      <c r="CO27" s="463"/>
      <c r="CP27" s="464"/>
      <c r="CQ27" s="466"/>
      <c r="CR27" s="418"/>
      <c r="CS27" s="444"/>
      <c r="CT27" s="444"/>
      <c r="CU27" s="444" t="s">
        <v>1411</v>
      </c>
      <c r="CV27" s="386"/>
      <c r="CW27" s="444"/>
      <c r="CX27" s="463"/>
      <c r="CY27" s="464"/>
      <c r="CZ27" s="466"/>
      <c r="DA27" s="418"/>
      <c r="DB27" s="444"/>
      <c r="DC27" s="444"/>
      <c r="DD27" s="444"/>
      <c r="DE27" s="386"/>
      <c r="DF27" s="444"/>
      <c r="DG27" s="463"/>
      <c r="DH27" s="464"/>
      <c r="DI27" s="466"/>
    </row>
    <row r="28" spans="1:113" ht="15.75" customHeight="1">
      <c r="A28" s="445" t="s">
        <v>588</v>
      </c>
      <c r="B28" s="1245"/>
      <c r="C28" s="1867">
        <f>IF(AND(M34=2,Lüftung1=3),"überprüfen:   V(Stufe1) &gt; Vmin,Anlage",)</f>
        <v>0</v>
      </c>
      <c r="D28" s="1867"/>
      <c r="E28" s="1203" t="s">
        <v>1215</v>
      </c>
      <c r="F28" s="1701"/>
      <c r="G28" s="1561" t="str">
        <f>IF(minergiep,"",IF(P7=TRUE,"1)",""))</f>
        <v/>
      </c>
      <c r="H28" s="1864">
        <f ca="1">OFFSET(N34,M36-1,0)</f>
        <v>0</v>
      </c>
      <c r="I28" s="1865"/>
      <c r="J28" s="1866"/>
      <c r="K28" s="438"/>
      <c r="L28" s="507" t="s">
        <v>1405</v>
      </c>
      <c r="M28" s="590">
        <f>WRGtyp1</f>
        <v>1</v>
      </c>
      <c r="N28" s="387">
        <f ca="1">AQ37</f>
        <v>0</v>
      </c>
      <c r="O28" s="387">
        <f ca="1">AU41</f>
        <v>0</v>
      </c>
      <c r="P28" s="514">
        <f ca="1">AV37</f>
        <v>0</v>
      </c>
      <c r="W28" s="352" t="s">
        <v>757</v>
      </c>
      <c r="X28" s="12">
        <f>M34</f>
        <v>1</v>
      </c>
      <c r="Y28" s="12">
        <f ca="1">M36</f>
        <v>0</v>
      </c>
      <c r="Z28" s="12"/>
      <c r="AA28" s="12"/>
      <c r="AB28" s="386"/>
      <c r="AC28" s="12" t="s">
        <v>585</v>
      </c>
      <c r="AD28" s="12" t="s">
        <v>586</v>
      </c>
      <c r="AE28" s="12" t="s">
        <v>760</v>
      </c>
      <c r="AF28" s="11" t="s">
        <v>1425</v>
      </c>
      <c r="AG28" s="386"/>
      <c r="AH28" s="386"/>
      <c r="AI28" s="386"/>
      <c r="AJ28" s="386"/>
      <c r="AK28" s="386"/>
      <c r="AL28" s="386"/>
      <c r="AM28" s="386"/>
      <c r="AN28" s="10"/>
      <c r="AO28" s="418">
        <f ca="1"/>
        <v>0</v>
      </c>
      <c r="AP28" s="444">
        <f ca="1"/>
        <v>0</v>
      </c>
      <c r="AQ28" s="444">
        <f ca="1"/>
        <v>0</v>
      </c>
      <c r="AR28" s="444">
        <f ca="1"/>
        <v>0</v>
      </c>
      <c r="AS28" s="386">
        <f ca="1"/>
        <v>0</v>
      </c>
      <c r="AT28" s="444">
        <f ca="1"/>
        <v>0</v>
      </c>
      <c r="AU28" s="463">
        <f ca="1"/>
        <v>0</v>
      </c>
      <c r="AV28" s="464">
        <f ca="1"/>
        <v>0</v>
      </c>
      <c r="AW28" s="466">
        <f ca="1"/>
        <v>0</v>
      </c>
      <c r="AX28" s="10"/>
      <c r="AY28" s="418"/>
      <c r="AZ28" s="444"/>
      <c r="BA28" s="444"/>
      <c r="BB28" s="444"/>
      <c r="BC28" s="386"/>
      <c r="BD28" s="444"/>
      <c r="BE28" s="463"/>
      <c r="BF28" s="464"/>
      <c r="BG28" s="466"/>
      <c r="BH28" s="418"/>
      <c r="BI28" s="444"/>
      <c r="BJ28" s="444"/>
      <c r="BK28" s="444" t="s">
        <v>1412</v>
      </c>
      <c r="BL28" s="386"/>
      <c r="BM28" s="444"/>
      <c r="BN28" s="463"/>
      <c r="BO28" s="464"/>
      <c r="BP28" s="466"/>
      <c r="BQ28" s="418"/>
      <c r="BR28" s="444"/>
      <c r="BS28" s="444"/>
      <c r="BT28" s="444" t="s">
        <v>1412</v>
      </c>
      <c r="BU28" s="386"/>
      <c r="BV28" s="444"/>
      <c r="BW28" s="463"/>
      <c r="BX28" s="464"/>
      <c r="BY28" s="466"/>
      <c r="BZ28" s="418"/>
      <c r="CA28" s="444"/>
      <c r="CB28" s="444"/>
      <c r="CC28" s="444" t="s">
        <v>1412</v>
      </c>
      <c r="CD28" s="386"/>
      <c r="CE28" s="444"/>
      <c r="CF28" s="463"/>
      <c r="CG28" s="464"/>
      <c r="CH28" s="466"/>
      <c r="CI28" s="418"/>
      <c r="CJ28" s="444"/>
      <c r="CK28" s="444"/>
      <c r="CL28" s="444" t="s">
        <v>1412</v>
      </c>
      <c r="CM28" s="386"/>
      <c r="CN28" s="444"/>
      <c r="CO28" s="463"/>
      <c r="CP28" s="464"/>
      <c r="CQ28" s="466"/>
      <c r="CR28" s="418"/>
      <c r="CS28" s="444"/>
      <c r="CT28" s="444"/>
      <c r="CU28" s="444" t="s">
        <v>1412</v>
      </c>
      <c r="CV28" s="386"/>
      <c r="CW28" s="444"/>
      <c r="CX28" s="463"/>
      <c r="CY28" s="464"/>
      <c r="CZ28" s="466"/>
      <c r="DA28" s="418"/>
      <c r="DB28" s="444"/>
      <c r="DC28" s="444"/>
      <c r="DD28" s="444"/>
      <c r="DE28" s="386"/>
      <c r="DF28" s="444"/>
      <c r="DG28" s="463"/>
      <c r="DH28" s="464"/>
      <c r="DI28" s="466"/>
    </row>
    <row r="29" spans="1:113">
      <c r="A29" s="628" t="s">
        <v>757</v>
      </c>
      <c r="B29" s="1261"/>
      <c r="C29" s="1262">
        <f ca="1">AP29</f>
        <v>0</v>
      </c>
      <c r="D29" s="1262"/>
      <c r="E29" s="1263"/>
      <c r="F29" s="1264"/>
      <c r="G29" s="1265">
        <f ca="1">IF(minergiep,"Valore standard ",AT29)</f>
        <v>0</v>
      </c>
      <c r="H29" s="924">
        <f ca="1">AU29</f>
        <v>0</v>
      </c>
      <c r="I29" s="370">
        <f ca="1">AV29</f>
        <v>0</v>
      </c>
      <c r="J29" s="371">
        <f ca="1">Y29</f>
        <v>0</v>
      </c>
      <c r="K29" s="518"/>
      <c r="L29" s="390" t="s">
        <v>1407</v>
      </c>
      <c r="M29" s="390">
        <f ca="1">AQ34</f>
        <v>0</v>
      </c>
      <c r="N29" s="390">
        <f ca="1">AQ38</f>
        <v>0</v>
      </c>
      <c r="O29" s="390">
        <f ca="1">AU42</f>
        <v>0</v>
      </c>
      <c r="P29" s="516">
        <f ca="1">AV38</f>
        <v>0</v>
      </c>
      <c r="W29" s="352" t="s">
        <v>758</v>
      </c>
      <c r="X29" s="520">
        <f ca="1">P31</f>
        <v>0</v>
      </c>
      <c r="Y29" s="1574">
        <f ca="1">MAX(0,IF(ISBLANK(J30),IF(AND(minergiep,X29=70),X29,X29-10),MIN(IF(AND(Kategorie1&lt;4,Standardlüftung1=3,minergiep=FALSE),X29-10,X29),X30)))</f>
        <v>0</v>
      </c>
      <c r="Z29" s="430"/>
      <c r="AA29" s="521" t="s">
        <v>1426</v>
      </c>
      <c r="AB29" s="467"/>
      <c r="AC29" s="522">
        <f ca="1">IF($Y28=2,AC12,0)</f>
        <v>0</v>
      </c>
      <c r="AD29" s="522">
        <f ca="1">IF($Y28=2,AD12,$AC12+$AD12+$AE12)</f>
        <v>0</v>
      </c>
      <c r="AE29" s="522">
        <f ca="1">IF($Y28=2,AE12,0)</f>
        <v>0</v>
      </c>
      <c r="AF29" s="522">
        <f ca="1">SUM(AC29:AE29)</f>
        <v>0</v>
      </c>
      <c r="AG29" s="12" t="s">
        <v>481</v>
      </c>
      <c r="AH29" s="467"/>
      <c r="AI29" s="467"/>
      <c r="AJ29" s="467"/>
      <c r="AK29" s="467"/>
      <c r="AL29" s="467"/>
      <c r="AM29" s="467"/>
      <c r="AN29" s="369"/>
      <c r="AO29" s="443">
        <f ca="1"/>
        <v>0</v>
      </c>
      <c r="AP29" s="444">
        <f ca="1"/>
        <v>0</v>
      </c>
      <c r="AQ29" s="467">
        <f ca="1"/>
        <v>0</v>
      </c>
      <c r="AR29" s="444">
        <f ca="1"/>
        <v>0</v>
      </c>
      <c r="AS29" s="467">
        <f ca="1"/>
        <v>0</v>
      </c>
      <c r="AT29" s="468">
        <f ca="1"/>
        <v>0</v>
      </c>
      <c r="AU29" s="469">
        <f ca="1"/>
        <v>0</v>
      </c>
      <c r="AV29" s="470">
        <f ca="1"/>
        <v>0</v>
      </c>
      <c r="AW29" s="471">
        <f ca="1"/>
        <v>0</v>
      </c>
      <c r="AX29" s="369"/>
      <c r="AY29" s="443"/>
      <c r="AZ29" s="444"/>
      <c r="BA29" s="467"/>
      <c r="BB29" s="444"/>
      <c r="BC29" s="467"/>
      <c r="BD29" s="468"/>
      <c r="BE29" s="469"/>
      <c r="BF29" s="470"/>
      <c r="BG29" s="471"/>
      <c r="BI29" s="1111" t="s">
        <v>1696</v>
      </c>
      <c r="BJ29" s="467"/>
      <c r="BL29" s="467"/>
      <c r="BM29" s="1112" t="s">
        <v>1225</v>
      </c>
      <c r="BN29" s="919" t="s">
        <v>567</v>
      </c>
      <c r="BO29" s="920" t="s">
        <v>584</v>
      </c>
      <c r="BP29" s="471"/>
      <c r="BR29" s="444" t="s">
        <v>1696</v>
      </c>
      <c r="BS29" s="467"/>
      <c r="BU29" s="467"/>
      <c r="BV29" s="446" t="s">
        <v>1225</v>
      </c>
      <c r="BW29" s="919" t="s">
        <v>567</v>
      </c>
      <c r="BX29" s="920" t="s">
        <v>584</v>
      </c>
      <c r="BY29" s="471"/>
      <c r="CA29" s="444"/>
      <c r="CB29" s="467"/>
      <c r="CD29" s="467"/>
      <c r="CE29" s="446"/>
      <c r="CF29" s="919"/>
      <c r="CG29" s="920"/>
      <c r="CH29" s="471"/>
      <c r="CJ29" s="444"/>
      <c r="CK29" s="467"/>
      <c r="CM29" s="467"/>
      <c r="CN29" s="446"/>
      <c r="CO29" s="919"/>
      <c r="CP29" s="920"/>
      <c r="CQ29" s="471"/>
      <c r="CS29" s="444" t="s">
        <v>1696</v>
      </c>
      <c r="CT29" s="467"/>
      <c r="CV29" s="467"/>
      <c r="CW29" s="446" t="s">
        <v>1225</v>
      </c>
      <c r="CX29" s="919" t="s">
        <v>567</v>
      </c>
      <c r="CY29" s="920" t="s">
        <v>584</v>
      </c>
      <c r="CZ29" s="471"/>
      <c r="DA29" s="472"/>
      <c r="DB29" s="444"/>
      <c r="DC29" s="444"/>
      <c r="DD29" s="444"/>
      <c r="DE29" s="446"/>
      <c r="DF29" s="468"/>
      <c r="DG29" s="469"/>
      <c r="DH29" s="470"/>
      <c r="DI29" s="523"/>
    </row>
    <row r="30" spans="1:113">
      <c r="A30" s="445"/>
      <c r="B30" s="1266"/>
      <c r="C30" s="1267" t="str">
        <f>IF(minergiep,"apparecchio di aerazione certificato?","")</f>
        <v/>
      </c>
      <c r="D30" s="1268"/>
      <c r="E30" s="1366">
        <v>0</v>
      </c>
      <c r="F30" s="1269"/>
      <c r="G30" s="1270">
        <f ca="1">AT30</f>
        <v>0</v>
      </c>
      <c r="H30" s="372"/>
      <c r="I30" s="373"/>
      <c r="J30" s="591"/>
      <c r="K30" s="518"/>
      <c r="L30" s="493" t="s">
        <v>582</v>
      </c>
      <c r="M30" s="493">
        <f ca="1">MIN(M28:M29)</f>
        <v>0</v>
      </c>
      <c r="N30" s="493">
        <f ca="1">AQ39</f>
        <v>0</v>
      </c>
      <c r="O30" s="493">
        <f ca="1">AU43</f>
        <v>0</v>
      </c>
      <c r="P30" s="516">
        <f ca="1">AV39</f>
        <v>0</v>
      </c>
      <c r="W30" s="352"/>
      <c r="X30" s="520">
        <f>J30</f>
        <v>0</v>
      </c>
      <c r="Y30" s="521"/>
      <c r="Z30" s="521"/>
      <c r="AA30" s="521"/>
      <c r="AB30" s="467"/>
      <c r="AC30" s="430" t="e">
        <f ca="1">AC11/AD11*AD30</f>
        <v>#DIV/0!</v>
      </c>
      <c r="AD30" s="430">
        <f ca="1">VSup1</f>
        <v>0</v>
      </c>
      <c r="AE30" s="430" t="e">
        <f ca="1">AE11/AD11*AD30</f>
        <v>#DIV/0!</v>
      </c>
      <c r="AF30" s="524" t="e">
        <f ca="1">(AC30*AC29+AD30*AD29+AE30*AE29)/AF29</f>
        <v>#DIV/0!</v>
      </c>
      <c r="AG30" s="12" t="s">
        <v>482</v>
      </c>
      <c r="AH30" s="467"/>
      <c r="AI30" s="467"/>
      <c r="AJ30" s="467"/>
      <c r="AK30" s="467"/>
      <c r="AL30" s="467"/>
      <c r="AM30" s="467"/>
      <c r="AN30" s="369"/>
      <c r="AO30" s="472">
        <f ca="1"/>
        <v>0</v>
      </c>
      <c r="AP30" s="467">
        <f ca="1"/>
        <v>0</v>
      </c>
      <c r="AQ30" s="444">
        <f ca="1"/>
        <v>0</v>
      </c>
      <c r="AR30" s="444">
        <f ca="1"/>
        <v>0</v>
      </c>
      <c r="AS30" s="467">
        <f ca="1"/>
        <v>0</v>
      </c>
      <c r="AT30" s="468">
        <f ca="1"/>
        <v>0</v>
      </c>
      <c r="AU30" s="469">
        <f ca="1"/>
        <v>0</v>
      </c>
      <c r="AV30" s="470">
        <f ca="1"/>
        <v>0</v>
      </c>
      <c r="AW30" s="473">
        <f ca="1"/>
        <v>0</v>
      </c>
      <c r="AX30" s="369"/>
      <c r="AY30" s="472"/>
      <c r="AZ30" s="467"/>
      <c r="BA30" s="444"/>
      <c r="BB30" s="444"/>
      <c r="BC30" s="467"/>
      <c r="BD30" s="468"/>
      <c r="BE30" s="469"/>
      <c r="BF30" s="470"/>
      <c r="BG30" s="473"/>
      <c r="BH30" s="472"/>
      <c r="BI30" s="467"/>
      <c r="BJ30" s="444"/>
      <c r="BL30" s="467"/>
      <c r="BM30" s="446" t="s">
        <v>1226</v>
      </c>
      <c r="BN30" s="921"/>
      <c r="BO30" s="922"/>
      <c r="BP30" s="473"/>
      <c r="BQ30" s="472"/>
      <c r="BR30" s="467"/>
      <c r="BS30" s="444"/>
      <c r="BU30" s="467"/>
      <c r="BV30" s="446" t="s">
        <v>1226</v>
      </c>
      <c r="BW30" s="921"/>
      <c r="BX30" s="922"/>
      <c r="BY30" s="473"/>
      <c r="BZ30" s="472"/>
      <c r="CA30" s="467"/>
      <c r="CB30" s="444"/>
      <c r="CD30" s="467"/>
      <c r="CE30" s="446"/>
      <c r="CF30" s="921"/>
      <c r="CG30" s="922"/>
      <c r="CH30" s="473"/>
      <c r="CI30" s="472"/>
      <c r="CJ30" s="467"/>
      <c r="CK30" s="444"/>
      <c r="CM30" s="467"/>
      <c r="CN30" s="446"/>
      <c r="CO30" s="921"/>
      <c r="CP30" s="922"/>
      <c r="CQ30" s="473"/>
      <c r="CR30" s="472"/>
      <c r="CS30" s="467"/>
      <c r="CT30" s="444"/>
      <c r="CV30" s="467"/>
      <c r="CW30" s="446" t="s">
        <v>1226</v>
      </c>
      <c r="CX30" s="921"/>
      <c r="CY30" s="922"/>
      <c r="CZ30" s="473"/>
      <c r="DA30" s="472"/>
      <c r="DB30" s="444"/>
      <c r="DC30" s="444"/>
      <c r="DD30" s="444"/>
      <c r="DE30" s="446"/>
      <c r="DF30" s="468"/>
      <c r="DG30" s="525"/>
      <c r="DH30" s="477"/>
      <c r="DI30" s="526"/>
    </row>
    <row r="31" spans="1:113" ht="15">
      <c r="A31" s="445" t="s">
        <v>758</v>
      </c>
      <c r="B31" s="1569" t="s">
        <v>571</v>
      </c>
      <c r="D31" s="1203"/>
      <c r="E31" s="1271"/>
      <c r="F31" s="1272"/>
      <c r="G31" s="1273" t="s">
        <v>570</v>
      </c>
      <c r="H31" s="374" t="s">
        <v>1453</v>
      </c>
      <c r="I31" s="375" t="s">
        <v>761</v>
      </c>
      <c r="J31" s="376">
        <f ca="1">IF(ISERROR(AD31),0,AD31)</f>
        <v>0</v>
      </c>
      <c r="K31" s="527"/>
      <c r="L31" s="507" t="s">
        <v>1405</v>
      </c>
      <c r="M31" s="590">
        <f>ACDC1</f>
        <v>1</v>
      </c>
      <c r="N31" s="519">
        <f ca="1">AR37</f>
        <v>0</v>
      </c>
      <c r="O31" s="1572">
        <f ca="1">AR40</f>
        <v>0</v>
      </c>
      <c r="P31" s="1573">
        <f ca="1">IF(AND(minergiep,Zertifikat1),IF(J30&gt;0,MIN(95,J30),J30),AC26*100)</f>
        <v>0</v>
      </c>
      <c r="Q31" s="467"/>
      <c r="R31" s="467"/>
      <c r="S31" s="467"/>
      <c r="T31" s="467"/>
      <c r="U31" s="467"/>
      <c r="V31" s="467"/>
      <c r="W31" s="352" t="s">
        <v>759</v>
      </c>
      <c r="X31" s="520">
        <f ca="1">J31</f>
        <v>0</v>
      </c>
      <c r="Y31" s="12">
        <f ca="1">MAX(X31:X32)</f>
        <v>0</v>
      </c>
      <c r="Z31" s="12"/>
      <c r="AA31" s="521" t="s">
        <v>484</v>
      </c>
      <c r="AB31" s="467"/>
      <c r="AC31" s="430" t="e">
        <f ca="1">AC13/AD13*AD31</f>
        <v>#DIV/0!</v>
      </c>
      <c r="AD31" s="430">
        <f ca="1">AD30*(AD13+AC16)*AC27</f>
        <v>0</v>
      </c>
      <c r="AE31" s="430" t="e">
        <f ca="1">AE13/AD13*AD31</f>
        <v>#DIV/0!</v>
      </c>
      <c r="AF31" s="369" t="s">
        <v>776</v>
      </c>
      <c r="AG31" s="12" t="s">
        <v>485</v>
      </c>
      <c r="AH31" s="467"/>
      <c r="AI31" s="467"/>
      <c r="AJ31" s="467"/>
      <c r="AK31" s="467"/>
      <c r="AL31" s="467"/>
      <c r="AM31" s="467"/>
      <c r="AN31" s="369"/>
      <c r="AO31" s="443">
        <f ca="1"/>
        <v>0</v>
      </c>
      <c r="AP31" s="444">
        <f ca="1"/>
        <v>0</v>
      </c>
      <c r="AQ31" s="444">
        <f ca="1"/>
        <v>0</v>
      </c>
      <c r="AR31" s="444">
        <f ca="1"/>
        <v>0</v>
      </c>
      <c r="AS31" s="467">
        <f ca="1"/>
        <v>0</v>
      </c>
      <c r="AT31" s="474">
        <f ca="1"/>
        <v>0</v>
      </c>
      <c r="AU31" s="475">
        <f ca="1"/>
        <v>0</v>
      </c>
      <c r="AV31" s="470">
        <f ca="1"/>
        <v>0</v>
      </c>
      <c r="AW31" s="473">
        <f ca="1"/>
        <v>0</v>
      </c>
      <c r="AX31" s="369"/>
      <c r="AY31" s="443"/>
      <c r="AZ31" s="444"/>
      <c r="BA31" s="444"/>
      <c r="BB31" s="444"/>
      <c r="BC31" s="467"/>
      <c r="BD31" s="474"/>
      <c r="BE31" s="475"/>
      <c r="BF31" s="470"/>
      <c r="BG31" s="473"/>
      <c r="BI31" s="1111" t="s">
        <v>338</v>
      </c>
      <c r="BJ31" s="444"/>
      <c r="BL31" s="467"/>
      <c r="BM31" s="446" t="s">
        <v>1225</v>
      </c>
      <c r="BN31" s="923" t="s">
        <v>488</v>
      </c>
      <c r="BO31" s="920" t="s">
        <v>761</v>
      </c>
      <c r="BP31" s="473"/>
      <c r="BR31" s="444" t="s">
        <v>338</v>
      </c>
      <c r="BS31" s="444"/>
      <c r="BU31" s="467"/>
      <c r="BV31" s="446" t="s">
        <v>1225</v>
      </c>
      <c r="BW31" s="923" t="s">
        <v>488</v>
      </c>
      <c r="BX31" s="920" t="s">
        <v>761</v>
      </c>
      <c r="BY31" s="473"/>
      <c r="CA31" s="444" t="s">
        <v>338</v>
      </c>
      <c r="CB31" s="444"/>
      <c r="CD31" s="467"/>
      <c r="CE31" s="446" t="s">
        <v>1225</v>
      </c>
      <c r="CF31" s="923" t="s">
        <v>488</v>
      </c>
      <c r="CG31" s="920" t="s">
        <v>761</v>
      </c>
      <c r="CH31" s="473"/>
      <c r="CJ31" s="444" t="s">
        <v>338</v>
      </c>
      <c r="CK31" s="444"/>
      <c r="CM31" s="467"/>
      <c r="CN31" s="446" t="s">
        <v>1225</v>
      </c>
      <c r="CO31" s="923" t="s">
        <v>488</v>
      </c>
      <c r="CP31" s="920" t="s">
        <v>761</v>
      </c>
      <c r="CQ31" s="473"/>
      <c r="CS31" s="444" t="s">
        <v>338</v>
      </c>
      <c r="CT31" s="444"/>
      <c r="CV31" s="467"/>
      <c r="CW31" s="446" t="s">
        <v>1225</v>
      </c>
      <c r="CX31" s="923" t="s">
        <v>488</v>
      </c>
      <c r="CY31" s="920" t="s">
        <v>761</v>
      </c>
      <c r="CZ31" s="473"/>
      <c r="DA31" s="443"/>
      <c r="DB31" s="443" t="s">
        <v>338</v>
      </c>
      <c r="DC31" s="444"/>
      <c r="DD31" s="444" t="s">
        <v>533</v>
      </c>
      <c r="DE31" s="467"/>
      <c r="DF31" s="474"/>
      <c r="DG31" s="475" t="s">
        <v>486</v>
      </c>
      <c r="DH31" s="470" t="s">
        <v>761</v>
      </c>
      <c r="DI31" s="526"/>
    </row>
    <row r="32" spans="1:113" ht="13.8">
      <c r="A32" s="445"/>
      <c r="B32" s="1565" t="str">
        <f>IF(OR(M24=4,M24=5),LER_Text4,"")</f>
        <v/>
      </c>
      <c r="C32" s="1255"/>
      <c r="D32" s="1255"/>
      <c r="E32" s="1255"/>
      <c r="F32" s="1257"/>
      <c r="G32" s="1274" t="s">
        <v>1226</v>
      </c>
      <c r="H32" s="377"/>
      <c r="I32" s="378"/>
      <c r="J32" s="592"/>
      <c r="K32" s="527"/>
      <c r="L32" s="390" t="s">
        <v>1407</v>
      </c>
      <c r="M32" s="390">
        <f ca="1">AR34</f>
        <v>0</v>
      </c>
      <c r="N32" s="398">
        <f ca="1">AR38</f>
        <v>0</v>
      </c>
      <c r="O32" s="629">
        <f ca="1">AR41</f>
        <v>0</v>
      </c>
      <c r="P32" s="467"/>
      <c r="Q32" s="467"/>
      <c r="R32" s="467"/>
      <c r="S32" s="467"/>
      <c r="T32" s="467"/>
      <c r="U32" s="467"/>
      <c r="V32" s="467"/>
      <c r="W32" s="352"/>
      <c r="X32" s="520">
        <f>J32</f>
        <v>0</v>
      </c>
      <c r="Y32" s="521"/>
      <c r="Z32" s="521"/>
      <c r="AA32" s="521"/>
      <c r="AB32" s="467"/>
      <c r="AC32" s="430" t="e">
        <f ca="1">AC31/AD31*AD32</f>
        <v>#DIV/0!</v>
      </c>
      <c r="AD32" s="430">
        <f ca="1">Y31</f>
        <v>0</v>
      </c>
      <c r="AE32" s="430" t="e">
        <f ca="1">AE31/AD31*AD32</f>
        <v>#DIV/0!</v>
      </c>
      <c r="AF32" s="522" t="s">
        <v>776</v>
      </c>
      <c r="AG32" s="522" t="s">
        <v>487</v>
      </c>
      <c r="AH32" s="467"/>
      <c r="AI32" s="467"/>
      <c r="AJ32" s="467"/>
      <c r="AK32" s="467"/>
      <c r="AL32" s="467"/>
      <c r="AM32" s="467"/>
      <c r="AN32" s="369"/>
      <c r="AO32" s="472">
        <f ca="1"/>
        <v>0</v>
      </c>
      <c r="AP32" s="444">
        <f ca="1"/>
        <v>0</v>
      </c>
      <c r="AQ32" s="444">
        <f ca="1"/>
        <v>0</v>
      </c>
      <c r="AR32" s="444">
        <f ca="1"/>
        <v>0</v>
      </c>
      <c r="AS32" s="467">
        <f ca="1"/>
        <v>0</v>
      </c>
      <c r="AT32" s="474">
        <f ca="1"/>
        <v>0</v>
      </c>
      <c r="AU32" s="476">
        <f ca="1"/>
        <v>0</v>
      </c>
      <c r="AV32" s="477">
        <f ca="1"/>
        <v>0</v>
      </c>
      <c r="AW32" s="473">
        <f ca="1"/>
        <v>0</v>
      </c>
      <c r="AX32" s="369"/>
      <c r="AY32" s="472"/>
      <c r="AZ32" s="444"/>
      <c r="BA32" s="444"/>
      <c r="BB32" s="444"/>
      <c r="BC32" s="467"/>
      <c r="BD32" s="474"/>
      <c r="BE32" s="476"/>
      <c r="BF32" s="477"/>
      <c r="BG32" s="473"/>
      <c r="BH32" s="472"/>
      <c r="BI32" s="444"/>
      <c r="BJ32" s="444"/>
      <c r="BL32" s="467"/>
      <c r="BM32" s="446" t="s">
        <v>337</v>
      </c>
      <c r="BN32" s="921"/>
      <c r="BO32" s="922"/>
      <c r="BP32" s="473"/>
      <c r="BQ32" s="472"/>
      <c r="BR32" s="444"/>
      <c r="BS32" s="444"/>
      <c r="BU32" s="467"/>
      <c r="BV32" s="446" t="s">
        <v>337</v>
      </c>
      <c r="BW32" s="921"/>
      <c r="BX32" s="922"/>
      <c r="BY32" s="473"/>
      <c r="BZ32" s="472"/>
      <c r="CA32" s="444"/>
      <c r="CB32" s="444"/>
      <c r="CD32" s="467"/>
      <c r="CE32" s="446" t="s">
        <v>337</v>
      </c>
      <c r="CF32" s="921"/>
      <c r="CG32" s="922"/>
      <c r="CH32" s="473"/>
      <c r="CI32" s="472"/>
      <c r="CJ32" s="444"/>
      <c r="CK32" s="444"/>
      <c r="CM32" s="467"/>
      <c r="CN32" s="446" t="s">
        <v>337</v>
      </c>
      <c r="CO32" s="921"/>
      <c r="CP32" s="922"/>
      <c r="CQ32" s="473"/>
      <c r="CR32" s="472"/>
      <c r="CS32" s="444"/>
      <c r="CT32" s="444"/>
      <c r="CV32" s="467"/>
      <c r="CW32" s="446" t="s">
        <v>337</v>
      </c>
      <c r="CX32" s="921"/>
      <c r="CY32" s="922"/>
      <c r="CZ32" s="473"/>
      <c r="DA32" s="472"/>
      <c r="DB32" s="444"/>
      <c r="DC32" s="444"/>
      <c r="DD32" s="444" t="s">
        <v>337</v>
      </c>
      <c r="DE32" s="467"/>
      <c r="DF32" s="474"/>
      <c r="DG32" s="476" t="s">
        <v>488</v>
      </c>
      <c r="DH32" s="477" t="s">
        <v>761</v>
      </c>
      <c r="DI32" s="473"/>
    </row>
    <row r="33" spans="1:113" ht="13.8">
      <c r="A33" s="624" t="s">
        <v>759</v>
      </c>
      <c r="B33" s="1275" t="s">
        <v>572</v>
      </c>
      <c r="C33" s="1276" t="s">
        <v>1455</v>
      </c>
      <c r="D33" s="1271"/>
      <c r="E33" s="1204" t="s">
        <v>1216</v>
      </c>
      <c r="F33" s="1203"/>
      <c r="G33" s="1277"/>
      <c r="H33" s="657" t="s">
        <v>1200</v>
      </c>
      <c r="I33" s="373" t="s">
        <v>568</v>
      </c>
      <c r="J33" s="381">
        <f ca="1">IF(ISERROR(AF33),0,AF33)*LER_Reduktion1</f>
        <v>0</v>
      </c>
      <c r="K33" s="530"/>
      <c r="L33" s="493" t="s">
        <v>582</v>
      </c>
      <c r="M33" s="493">
        <f ca="1">MIN(M31:M32)</f>
        <v>0</v>
      </c>
      <c r="N33" s="369"/>
      <c r="O33" s="528"/>
      <c r="P33" s="528"/>
      <c r="Q33" s="529"/>
      <c r="R33" s="467"/>
      <c r="S33" s="467"/>
      <c r="T33" s="467"/>
      <c r="U33" s="467"/>
      <c r="V33" s="467"/>
      <c r="W33" s="341" t="s">
        <v>1454</v>
      </c>
      <c r="X33" s="12"/>
      <c r="Y33" s="12"/>
      <c r="Z33" s="12"/>
      <c r="AA33" s="12"/>
      <c r="AB33" s="386"/>
      <c r="AC33" s="532"/>
      <c r="AD33" s="532"/>
      <c r="AE33" s="533"/>
      <c r="AF33" s="534" t="e">
        <f ca="1">AG11*(1-AF29/8760)+(AH11+AF30/EBFo1*(1-Y29/100)*AC22)*AF29/8760</f>
        <v>#VALUE!</v>
      </c>
      <c r="AG33" s="408"/>
      <c r="AH33" s="386"/>
      <c r="AI33" s="386"/>
      <c r="AJ33" s="386"/>
      <c r="AK33" s="386"/>
      <c r="AL33" s="386"/>
      <c r="AM33" s="386"/>
      <c r="AN33" s="10"/>
      <c r="AO33" s="478">
        <f ca="1"/>
        <v>0</v>
      </c>
      <c r="AP33" s="414">
        <f ca="1"/>
        <v>0</v>
      </c>
      <c r="AQ33" s="414">
        <f ca="1"/>
        <v>0</v>
      </c>
      <c r="AR33" s="414">
        <f ca="1"/>
        <v>0</v>
      </c>
      <c r="AS33" s="414">
        <f ca="1"/>
        <v>0</v>
      </c>
      <c r="AT33" s="414">
        <f ca="1"/>
        <v>0</v>
      </c>
      <c r="AU33" s="414">
        <f ca="1"/>
        <v>0</v>
      </c>
      <c r="AV33" s="414">
        <f ca="1"/>
        <v>0</v>
      </c>
      <c r="AW33" s="417">
        <f ca="1"/>
        <v>0</v>
      </c>
      <c r="AX33" s="10"/>
      <c r="AY33" s="478"/>
      <c r="AZ33" s="414"/>
      <c r="BA33" s="414"/>
      <c r="BB33" s="414"/>
      <c r="BC33" s="414"/>
      <c r="BD33" s="414"/>
      <c r="BE33" s="414"/>
      <c r="BF33" s="414"/>
      <c r="BG33" s="417"/>
      <c r="BH33" s="1113" t="s">
        <v>1697</v>
      </c>
      <c r="BI33" s="414"/>
      <c r="BJ33" s="414"/>
      <c r="BK33" s="414"/>
      <c r="BL33" s="414"/>
      <c r="BM33" s="414"/>
      <c r="BN33" s="386"/>
      <c r="BO33" s="386"/>
      <c r="BP33" s="417"/>
      <c r="BQ33" s="478" t="s">
        <v>1697</v>
      </c>
      <c r="BR33" s="414"/>
      <c r="BS33" s="414"/>
      <c r="BT33" s="414"/>
      <c r="BU33" s="414"/>
      <c r="BV33" s="414"/>
      <c r="BW33" s="414"/>
      <c r="BX33" s="414"/>
      <c r="BY33" s="417"/>
      <c r="BZ33" s="478" t="s">
        <v>1697</v>
      </c>
      <c r="CA33" s="414"/>
      <c r="CB33" s="414"/>
      <c r="CC33" s="414"/>
      <c r="CD33" s="414"/>
      <c r="CE33" s="414"/>
      <c r="CF33" s="414"/>
      <c r="CG33" s="414"/>
      <c r="CH33" s="417"/>
      <c r="CI33" s="478" t="s">
        <v>1697</v>
      </c>
      <c r="CJ33" s="414"/>
      <c r="CK33" s="414"/>
      <c r="CL33" s="414"/>
      <c r="CM33" s="414"/>
      <c r="CN33" s="414"/>
      <c r="CO33" s="414"/>
      <c r="CP33" s="414"/>
      <c r="CQ33" s="417"/>
      <c r="CR33" s="510"/>
      <c r="CS33" s="414"/>
      <c r="CT33" s="414"/>
      <c r="CU33" s="414"/>
      <c r="CV33" s="414"/>
      <c r="CW33" s="414"/>
      <c r="CX33" s="414"/>
      <c r="CY33" s="414"/>
      <c r="CZ33" s="414"/>
      <c r="DA33" s="535"/>
      <c r="DB33" s="414"/>
      <c r="DC33" s="414"/>
      <c r="DD33" s="414"/>
      <c r="DE33" s="414"/>
      <c r="DF33" s="414"/>
      <c r="DG33" s="414"/>
      <c r="DH33" s="414"/>
      <c r="DI33" s="396"/>
    </row>
    <row r="34" spans="1:113" ht="15.6" thickBot="1">
      <c r="A34" s="624" t="s">
        <v>1454</v>
      </c>
      <c r="B34" s="1278"/>
      <c r="C34" s="1279" t="str">
        <f>IF(minergiea,"Verifica Minergie-A",IF(minergiep,"Verifica Minergie-P","Verifica Minergie"))</f>
        <v>Verifica Minergie-A</v>
      </c>
      <c r="D34" s="1280"/>
      <c r="E34" s="1281" t="s">
        <v>573</v>
      </c>
      <c r="F34" s="1280"/>
      <c r="G34" s="1282"/>
      <c r="H34" s="383" t="s">
        <v>1373</v>
      </c>
      <c r="I34" s="384" t="s">
        <v>1812</v>
      </c>
      <c r="J34" s="385">
        <f ca="1">IF(ISERROR(AF34/_EBF1),0,AF34/_EBF1)</f>
        <v>0</v>
      </c>
      <c r="K34" s="530"/>
      <c r="L34" s="507" t="s">
        <v>1405</v>
      </c>
      <c r="M34" s="590">
        <v>1</v>
      </c>
      <c r="N34" s="396">
        <f ca="1">AS37</f>
        <v>0</v>
      </c>
      <c r="O34" s="528"/>
      <c r="P34" s="528"/>
      <c r="Q34" s="529"/>
      <c r="R34" s="467"/>
      <c r="S34" s="467"/>
      <c r="T34" s="467"/>
      <c r="U34" s="467"/>
      <c r="V34" s="467"/>
      <c r="W34" s="341" t="s">
        <v>569</v>
      </c>
      <c r="X34" s="12"/>
      <c r="Y34" s="12"/>
      <c r="Z34" s="12"/>
      <c r="AA34" s="12"/>
      <c r="AB34" s="386"/>
      <c r="AC34" s="536" t="e">
        <f ca="1">AC29*AC32/1000</f>
        <v>#DIV/0!</v>
      </c>
      <c r="AD34" s="536">
        <f ca="1">AD29*AD32/1000</f>
        <v>0</v>
      </c>
      <c r="AE34" s="536" t="e">
        <f ca="1">AE29*AE32/1000</f>
        <v>#DIV/0!</v>
      </c>
      <c r="AF34" s="524" t="e">
        <f ca="1">SUM(AC34:AE34)</f>
        <v>#DIV/0!</v>
      </c>
      <c r="AG34" s="12" t="s">
        <v>632</v>
      </c>
      <c r="AH34" s="386"/>
      <c r="AI34" s="386"/>
      <c r="AJ34" s="386"/>
      <c r="AK34" s="386"/>
      <c r="AL34" s="386"/>
      <c r="AM34" s="386"/>
      <c r="AN34" s="10"/>
      <c r="AO34" s="423">
        <f ca="1"/>
        <v>0</v>
      </c>
      <c r="AP34" s="425">
        <f ca="1"/>
        <v>0</v>
      </c>
      <c r="AQ34" s="425">
        <f ca="1"/>
        <v>0</v>
      </c>
      <c r="AR34" s="425">
        <f ca="1"/>
        <v>0</v>
      </c>
      <c r="AS34" s="425">
        <f ca="1"/>
        <v>0</v>
      </c>
      <c r="AT34" s="425">
        <f ca="1"/>
        <v>0</v>
      </c>
      <c r="AU34" s="425">
        <f ca="1"/>
        <v>0</v>
      </c>
      <c r="AV34" s="425">
        <f ca="1"/>
        <v>0</v>
      </c>
      <c r="AW34" s="452">
        <f ca="1"/>
        <v>0</v>
      </c>
      <c r="AX34" s="10"/>
      <c r="AY34" s="423"/>
      <c r="AZ34" s="425"/>
      <c r="BA34" s="425"/>
      <c r="BB34" s="425"/>
      <c r="BC34" s="425"/>
      <c r="BD34" s="425"/>
      <c r="BE34" s="425"/>
      <c r="BF34" s="425"/>
      <c r="BG34" s="452"/>
      <c r="BH34" s="423">
        <v>7</v>
      </c>
      <c r="BI34" s="425">
        <v>2</v>
      </c>
      <c r="BJ34" s="425">
        <v>3</v>
      </c>
      <c r="BK34" s="425">
        <v>2</v>
      </c>
      <c r="BL34" s="425">
        <v>2</v>
      </c>
      <c r="BM34" s="425"/>
      <c r="BN34" s="425"/>
      <c r="BO34" s="425"/>
      <c r="BP34" s="452"/>
      <c r="BQ34" s="423">
        <v>7</v>
      </c>
      <c r="BR34" s="425">
        <v>2</v>
      </c>
      <c r="BS34" s="425">
        <v>3</v>
      </c>
      <c r="BT34" s="425">
        <v>2</v>
      </c>
      <c r="BU34" s="425">
        <v>2</v>
      </c>
      <c r="BV34" s="425"/>
      <c r="BW34" s="425"/>
      <c r="BX34" s="425"/>
      <c r="BY34" s="452"/>
      <c r="BZ34" s="423">
        <v>4</v>
      </c>
      <c r="CA34" s="425">
        <v>1</v>
      </c>
      <c r="CB34" s="425">
        <v>1</v>
      </c>
      <c r="CC34" s="425">
        <v>2</v>
      </c>
      <c r="CD34" s="425">
        <v>2</v>
      </c>
      <c r="CE34" s="425"/>
      <c r="CF34" s="425"/>
      <c r="CG34" s="425"/>
      <c r="CH34" s="452"/>
      <c r="CI34" s="423">
        <v>4</v>
      </c>
      <c r="CJ34" s="425">
        <v>1</v>
      </c>
      <c r="CK34" s="425">
        <v>1</v>
      </c>
      <c r="CL34" s="425">
        <v>2</v>
      </c>
      <c r="CM34" s="425">
        <v>2</v>
      </c>
      <c r="CN34" s="425"/>
      <c r="CO34" s="425"/>
      <c r="CP34" s="425"/>
      <c r="CQ34" s="452"/>
      <c r="CR34" s="423">
        <v>1</v>
      </c>
      <c r="CS34" s="425">
        <v>1</v>
      </c>
      <c r="CT34" s="425">
        <v>1</v>
      </c>
      <c r="CU34" s="425">
        <v>2</v>
      </c>
      <c r="CV34" s="425">
        <v>2</v>
      </c>
      <c r="CW34" s="425"/>
      <c r="CX34" s="425"/>
      <c r="CY34" s="425"/>
      <c r="CZ34" s="425"/>
      <c r="DA34" s="504">
        <v>1</v>
      </c>
      <c r="DB34" s="425">
        <v>1</v>
      </c>
      <c r="DC34" s="425">
        <v>1</v>
      </c>
      <c r="DD34" s="425">
        <v>1</v>
      </c>
      <c r="DE34" s="425">
        <v>1</v>
      </c>
      <c r="DF34" s="425"/>
      <c r="DG34" s="425"/>
      <c r="DH34" s="425"/>
      <c r="DI34" s="398"/>
    </row>
    <row r="35" spans="1:113" ht="13.8" thickBot="1">
      <c r="B35" s="926" t="str">
        <f>IF(minergiep,"",IF(P7=TRUE,$P$2,""))</f>
        <v/>
      </c>
      <c r="L35" s="390" t="s">
        <v>1407</v>
      </c>
      <c r="M35" s="390">
        <f ca="1">IF(P7,1,AS34)</f>
        <v>0</v>
      </c>
      <c r="N35" s="531">
        <f ca="1">AS38</f>
        <v>0</v>
      </c>
      <c r="AO35" s="479">
        <f ca="1"/>
        <v>0</v>
      </c>
      <c r="AP35" s="397">
        <f ca="1"/>
        <v>0</v>
      </c>
      <c r="AQ35" s="397">
        <f ca="1"/>
        <v>0</v>
      </c>
      <c r="AR35" s="397">
        <f ca="1"/>
        <v>0</v>
      </c>
      <c r="AS35" s="397">
        <f ca="1"/>
        <v>0</v>
      </c>
      <c r="AT35" s="389">
        <f ca="1"/>
        <v>0</v>
      </c>
      <c r="AU35" s="389">
        <f ca="1"/>
        <v>0</v>
      </c>
      <c r="AV35" s="389">
        <f ca="1"/>
        <v>0</v>
      </c>
      <c r="AW35" s="480">
        <f ca="1"/>
        <v>0</v>
      </c>
      <c r="AY35" s="479"/>
      <c r="AZ35" s="397"/>
      <c r="BA35" s="397"/>
      <c r="BB35" s="397"/>
      <c r="BC35" s="397"/>
      <c r="BD35" s="389"/>
      <c r="BE35" s="389"/>
      <c r="BF35" s="389"/>
      <c r="BG35" s="480"/>
      <c r="BH35" s="1114" t="s">
        <v>1698</v>
      </c>
      <c r="BI35" s="397"/>
      <c r="BJ35" s="397"/>
      <c r="BK35" s="397"/>
      <c r="BL35" s="397"/>
      <c r="BP35" s="480"/>
      <c r="BQ35" s="479" t="s">
        <v>1698</v>
      </c>
      <c r="BR35" s="397"/>
      <c r="BS35" s="397"/>
      <c r="BT35" s="397"/>
      <c r="BU35" s="397"/>
      <c r="BY35" s="480"/>
      <c r="BZ35" s="479" t="s">
        <v>1698</v>
      </c>
      <c r="CA35" s="397"/>
      <c r="CB35" s="397"/>
      <c r="CC35" s="397"/>
      <c r="CD35" s="397"/>
      <c r="CH35" s="480"/>
      <c r="CI35" s="479" t="s">
        <v>1698</v>
      </c>
      <c r="CJ35" s="397"/>
      <c r="CK35" s="397"/>
      <c r="CL35" s="397"/>
      <c r="CM35" s="397"/>
      <c r="CQ35" s="480"/>
      <c r="CR35" s="479" t="s">
        <v>1698</v>
      </c>
      <c r="CS35" s="397"/>
      <c r="CT35" s="397"/>
      <c r="CU35" s="397"/>
      <c r="CV35" s="397"/>
      <c r="CZ35" s="480"/>
      <c r="DA35" s="479" t="s">
        <v>1698</v>
      </c>
      <c r="DB35" s="397"/>
      <c r="DC35" s="397"/>
      <c r="DD35" s="397"/>
      <c r="DE35" s="397"/>
      <c r="DI35" s="480"/>
    </row>
    <row r="36" spans="1:113" ht="13.8" hidden="1" thickBot="1">
      <c r="L36" s="493" t="s">
        <v>582</v>
      </c>
      <c r="M36" s="493">
        <f ca="1">MIN(M34:M35)</f>
        <v>0</v>
      </c>
      <c r="N36" s="10"/>
      <c r="AO36" s="479">
        <f ca="1"/>
        <v>0</v>
      </c>
      <c r="AP36" s="397">
        <f ca="1"/>
        <v>0</v>
      </c>
      <c r="AQ36" s="397">
        <f ca="1"/>
        <v>0</v>
      </c>
      <c r="AR36" s="481">
        <f ca="1"/>
        <v>0</v>
      </c>
      <c r="AS36" s="481">
        <f ca="1"/>
        <v>0</v>
      </c>
      <c r="AT36" s="389">
        <f ca="1"/>
        <v>0</v>
      </c>
      <c r="AU36" s="397">
        <f ca="1"/>
        <v>0</v>
      </c>
      <c r="AV36" s="481">
        <f ca="1"/>
        <v>0</v>
      </c>
      <c r="AW36" s="480">
        <f ca="1"/>
        <v>0</v>
      </c>
      <c r="AY36" s="479"/>
      <c r="AZ36" s="397"/>
      <c r="BA36" s="397"/>
      <c r="BB36" s="481"/>
      <c r="BC36" s="481"/>
      <c r="BD36" s="600"/>
      <c r="BE36" s="397"/>
      <c r="BF36" s="481"/>
      <c r="BG36" s="480"/>
      <c r="BH36" s="479" t="s">
        <v>1190</v>
      </c>
      <c r="BI36" s="397" t="s">
        <v>1191</v>
      </c>
      <c r="BJ36" s="397" t="s">
        <v>1574</v>
      </c>
      <c r="BK36" s="481" t="s">
        <v>1575</v>
      </c>
      <c r="BL36" s="481" t="s">
        <v>1192</v>
      </c>
      <c r="BM36" s="600" t="s">
        <v>1576</v>
      </c>
      <c r="BN36" s="397" t="s">
        <v>1574</v>
      </c>
      <c r="BO36" s="481" t="s">
        <v>1577</v>
      </c>
      <c r="BP36" s="480"/>
      <c r="BQ36" s="479" t="s">
        <v>1190</v>
      </c>
      <c r="BR36" s="397" t="s">
        <v>1191</v>
      </c>
      <c r="BS36" s="397" t="s">
        <v>1574</v>
      </c>
      <c r="BT36" s="481" t="s">
        <v>1575</v>
      </c>
      <c r="BU36" s="481" t="s">
        <v>1192</v>
      </c>
      <c r="BV36" s="600" t="s">
        <v>1576</v>
      </c>
      <c r="BW36" s="397" t="s">
        <v>1574</v>
      </c>
      <c r="BX36" s="481" t="s">
        <v>1577</v>
      </c>
      <c r="BY36" s="480"/>
      <c r="BZ36" s="479" t="s">
        <v>1190</v>
      </c>
      <c r="CA36" s="397" t="s">
        <v>1191</v>
      </c>
      <c r="CB36" s="397" t="s">
        <v>1574</v>
      </c>
      <c r="CC36" s="481" t="s">
        <v>1575</v>
      </c>
      <c r="CD36" s="481" t="s">
        <v>1192</v>
      </c>
      <c r="CE36" s="600" t="s">
        <v>1576</v>
      </c>
      <c r="CF36" s="397" t="s">
        <v>1574</v>
      </c>
      <c r="CG36" s="481" t="s">
        <v>1577</v>
      </c>
      <c r="CH36" s="480"/>
      <c r="CI36" s="479" t="s">
        <v>1190</v>
      </c>
      <c r="CJ36" s="397" t="s">
        <v>1191</v>
      </c>
      <c r="CK36" s="397" t="s">
        <v>1574</v>
      </c>
      <c r="CL36" s="481" t="s">
        <v>1575</v>
      </c>
      <c r="CM36" s="481" t="s">
        <v>1192</v>
      </c>
      <c r="CN36" s="600" t="s">
        <v>1576</v>
      </c>
      <c r="CO36" s="397" t="s">
        <v>1574</v>
      </c>
      <c r="CP36" s="481" t="s">
        <v>1577</v>
      </c>
      <c r="CQ36" s="480"/>
      <c r="CR36" s="479" t="s">
        <v>1190</v>
      </c>
      <c r="CS36" s="397" t="s">
        <v>1191</v>
      </c>
      <c r="CT36" s="397" t="s">
        <v>1574</v>
      </c>
      <c r="CU36" s="481" t="s">
        <v>1575</v>
      </c>
      <c r="CV36" s="481" t="s">
        <v>1192</v>
      </c>
      <c r="CW36" s="600" t="s">
        <v>1576</v>
      </c>
      <c r="CX36" s="397" t="s">
        <v>1574</v>
      </c>
      <c r="CY36" s="481" t="s">
        <v>1577</v>
      </c>
      <c r="CZ36" s="480"/>
      <c r="DA36" s="479" t="s">
        <v>1190</v>
      </c>
      <c r="DB36" s="397" t="s">
        <v>1191</v>
      </c>
      <c r="DC36" s="397" t="s">
        <v>1574</v>
      </c>
      <c r="DD36" s="481" t="s">
        <v>1575</v>
      </c>
      <c r="DE36" s="481" t="s">
        <v>1192</v>
      </c>
      <c r="DF36" s="600" t="s">
        <v>1576</v>
      </c>
      <c r="DG36" s="397" t="s">
        <v>1574</v>
      </c>
      <c r="DH36" s="481" t="s">
        <v>1577</v>
      </c>
      <c r="DI36" s="480"/>
    </row>
    <row r="37" spans="1:113" ht="13.8" hidden="1" thickBot="1">
      <c r="H37" s="386"/>
      <c r="I37" s="386"/>
      <c r="J37" s="386"/>
      <c r="W37" s="10"/>
      <c r="X37" s="10"/>
      <c r="Y37" s="10"/>
      <c r="Z37" s="10"/>
      <c r="AA37" s="10"/>
      <c r="AB37" s="10"/>
      <c r="AC37" s="10"/>
      <c r="AD37" s="10"/>
      <c r="AE37" s="10"/>
      <c r="AF37" s="10"/>
      <c r="AG37" s="10"/>
      <c r="AH37" s="10"/>
      <c r="AI37" s="10"/>
      <c r="AJ37" s="10"/>
      <c r="AK37" s="10"/>
      <c r="AL37" s="10"/>
      <c r="AM37" s="10"/>
      <c r="AN37" s="10"/>
      <c r="AO37" s="482">
        <f ca="1"/>
        <v>0</v>
      </c>
      <c r="AP37" s="483">
        <f ca="1"/>
        <v>0</v>
      </c>
      <c r="AQ37" s="484">
        <f ca="1"/>
        <v>0</v>
      </c>
      <c r="AR37" s="485">
        <f ca="1"/>
        <v>0</v>
      </c>
      <c r="AS37" s="400">
        <f ca="1"/>
        <v>0</v>
      </c>
      <c r="AT37" s="387">
        <f ca="1"/>
        <v>0</v>
      </c>
      <c r="AU37" s="484">
        <f ca="1"/>
        <v>0</v>
      </c>
      <c r="AV37" s="486">
        <f ca="1"/>
        <v>0</v>
      </c>
      <c r="AW37" s="434">
        <f ca="1"/>
        <v>0</v>
      </c>
      <c r="AX37" s="10"/>
      <c r="AY37" s="482"/>
      <c r="AZ37" s="483"/>
      <c r="BA37" s="484"/>
      <c r="BB37" s="485"/>
      <c r="BC37" s="485"/>
      <c r="BD37" s="553"/>
      <c r="BE37" s="484"/>
      <c r="BF37" s="486"/>
      <c r="BG37" s="434"/>
      <c r="BH37" s="482" t="s">
        <v>1699</v>
      </c>
      <c r="BI37" s="483" t="s">
        <v>620</v>
      </c>
      <c r="BJ37" s="484" t="s">
        <v>1101</v>
      </c>
      <c r="BK37" s="485" t="s">
        <v>475</v>
      </c>
      <c r="BL37" s="485" t="s">
        <v>293</v>
      </c>
      <c r="BM37" s="553">
        <v>2</v>
      </c>
      <c r="BN37" s="484" t="str">
        <f ca="1">OFFSET(Standardwerte!$L$54,Aerazione!BM37,0)</f>
        <v>Scambiatore di calore a correnti incrociate</v>
      </c>
      <c r="BO37" s="514">
        <v>0.55000000000000004</v>
      </c>
      <c r="BP37" s="434"/>
      <c r="BQ37" s="482" t="s">
        <v>1699</v>
      </c>
      <c r="BR37" s="483" t="s">
        <v>620</v>
      </c>
      <c r="BS37" s="387" t="s">
        <v>1168</v>
      </c>
      <c r="BT37" s="485" t="s">
        <v>475</v>
      </c>
      <c r="BU37" s="485" t="s">
        <v>1104</v>
      </c>
      <c r="BV37" s="553">
        <v>1</v>
      </c>
      <c r="BW37" s="484" t="str">
        <f ca="1">OFFSET(Standardwerte!$L$54,BV37,0)</f>
        <v>Nessun recupero di calore</v>
      </c>
      <c r="BX37" s="486">
        <v>0</v>
      </c>
      <c r="BY37" s="434"/>
      <c r="BZ37" s="485" t="s">
        <v>1699</v>
      </c>
      <c r="CA37" s="483" t="s">
        <v>1579</v>
      </c>
      <c r="CB37" s="484" t="s">
        <v>1168</v>
      </c>
      <c r="CC37" s="485" t="s">
        <v>211</v>
      </c>
      <c r="CD37" s="485" t="s">
        <v>1104</v>
      </c>
      <c r="CE37" s="553">
        <v>1</v>
      </c>
      <c r="CF37" s="484" t="str">
        <f ca="1">OFFSET(Standardwerte!$L$54,CE37,0)</f>
        <v>Nessun recupero di calore</v>
      </c>
      <c r="CG37" s="486">
        <v>0</v>
      </c>
      <c r="CH37" s="434"/>
      <c r="CI37" s="482" t="s">
        <v>1699</v>
      </c>
      <c r="CJ37" s="483" t="s">
        <v>1579</v>
      </c>
      <c r="CK37" s="484" t="s">
        <v>1168</v>
      </c>
      <c r="CL37" s="485" t="s">
        <v>211</v>
      </c>
      <c r="CM37" s="485" t="s">
        <v>1104</v>
      </c>
      <c r="CN37" s="553">
        <v>1</v>
      </c>
      <c r="CO37" s="484" t="str">
        <f ca="1">OFFSET(Standardwerte!$L$54,CN37,0)</f>
        <v>Nessun recupero di calore</v>
      </c>
      <c r="CP37" s="486">
        <v>0</v>
      </c>
      <c r="CQ37" s="434"/>
      <c r="CR37" s="482" t="s">
        <v>212</v>
      </c>
      <c r="CS37" s="483" t="s">
        <v>1579</v>
      </c>
      <c r="CT37" s="484" t="s">
        <v>1101</v>
      </c>
      <c r="CU37" s="485" t="s">
        <v>211</v>
      </c>
      <c r="CV37" s="485" t="s">
        <v>214</v>
      </c>
      <c r="CW37" s="553">
        <v>2</v>
      </c>
      <c r="CX37" s="484" t="str">
        <f ca="1">OFFSET(Standardwerte!$L$54,CW37,0)</f>
        <v>Scambiatore di calore a correnti incrociate</v>
      </c>
      <c r="CY37" s="537">
        <v>0.5</v>
      </c>
      <c r="CZ37" s="434"/>
      <c r="DA37" s="482" t="s">
        <v>212</v>
      </c>
      <c r="DB37" s="538" t="s">
        <v>1579</v>
      </c>
      <c r="DC37" s="484" t="s">
        <v>1168</v>
      </c>
      <c r="DD37" s="485" t="s">
        <v>1014</v>
      </c>
      <c r="DE37" s="485" t="s">
        <v>635</v>
      </c>
      <c r="DF37" s="553">
        <v>1</v>
      </c>
      <c r="DG37" s="484" t="str">
        <f ca="1">OFFSET(Standardwerte!$L$54,DF37,0)</f>
        <v>Nessun recupero di calore</v>
      </c>
      <c r="DH37" s="486">
        <v>0</v>
      </c>
      <c r="DI37" s="434"/>
    </row>
    <row r="38" spans="1:113" ht="13.8" hidden="1" thickBot="1">
      <c r="H38" s="386"/>
      <c r="I38" s="386"/>
      <c r="J38" s="386"/>
      <c r="W38" s="10"/>
      <c r="X38" s="10"/>
      <c r="Y38" s="10"/>
      <c r="Z38" s="10"/>
      <c r="AA38" s="10"/>
      <c r="AB38" s="10"/>
      <c r="AC38" s="10"/>
      <c r="AD38" s="10"/>
      <c r="AE38" s="10"/>
      <c r="AF38" s="10"/>
      <c r="AG38" s="10"/>
      <c r="AH38" s="10"/>
      <c r="AI38" s="10"/>
      <c r="AJ38" s="10"/>
      <c r="AK38" s="10"/>
      <c r="AL38" s="10"/>
      <c r="AM38" s="10"/>
      <c r="AN38" s="10"/>
      <c r="AO38" s="487">
        <f ca="1"/>
        <v>0</v>
      </c>
      <c r="AP38" s="488">
        <f ca="1"/>
        <v>0</v>
      </c>
      <c r="AQ38" s="489">
        <f ca="1"/>
        <v>0</v>
      </c>
      <c r="AR38" s="490">
        <f ca="1"/>
        <v>0</v>
      </c>
      <c r="AS38" s="601">
        <f ca="1"/>
        <v>0</v>
      </c>
      <c r="AT38" s="390">
        <f ca="1"/>
        <v>0</v>
      </c>
      <c r="AU38" s="489">
        <f ca="1"/>
        <v>0</v>
      </c>
      <c r="AV38" s="492">
        <f ca="1"/>
        <v>0</v>
      </c>
      <c r="AW38" s="434">
        <f ca="1"/>
        <v>0</v>
      </c>
      <c r="AX38" s="10"/>
      <c r="AY38" s="487"/>
      <c r="AZ38" s="488"/>
      <c r="BA38" s="489"/>
      <c r="BB38" s="490"/>
      <c r="BC38" s="491"/>
      <c r="BD38" s="560"/>
      <c r="BE38" s="489"/>
      <c r="BF38" s="492"/>
      <c r="BG38" s="434"/>
      <c r="BH38" s="487" t="s">
        <v>1700</v>
      </c>
      <c r="BI38" s="488" t="s">
        <v>619</v>
      </c>
      <c r="BJ38" s="489" t="s">
        <v>1182</v>
      </c>
      <c r="BK38" s="490" t="s">
        <v>292</v>
      </c>
      <c r="BL38" s="491" t="s">
        <v>294</v>
      </c>
      <c r="BM38" s="560">
        <v>3</v>
      </c>
      <c r="BN38" s="489" t="str">
        <f ca="1">OFFSET(Standardwerte!$L$54,Aerazione!BM38,0)</f>
        <v>Scambiatore di calore controcorrente</v>
      </c>
      <c r="BO38" s="1668">
        <f>IF(minergiep,70%,80%)</f>
        <v>0.8</v>
      </c>
      <c r="BP38" s="434"/>
      <c r="BQ38" s="487" t="s">
        <v>1700</v>
      </c>
      <c r="BR38" s="488" t="s">
        <v>619</v>
      </c>
      <c r="BS38" s="390" t="s">
        <v>1101</v>
      </c>
      <c r="BT38" s="490" t="s">
        <v>476</v>
      </c>
      <c r="BU38" s="491" t="s">
        <v>1105</v>
      </c>
      <c r="BV38" s="560">
        <v>2</v>
      </c>
      <c r="BW38" s="489" t="str">
        <f ca="1">OFFSET(Standardwerte!$L$54,BV38,0)</f>
        <v>Scambiatore di calore a correnti incrociate</v>
      </c>
      <c r="BX38" s="514">
        <v>0.55000000000000004</v>
      </c>
      <c r="BY38" s="434"/>
      <c r="BZ38" s="539" t="s">
        <v>1578</v>
      </c>
      <c r="CA38" s="488" t="s">
        <v>1579</v>
      </c>
      <c r="CB38" s="489" t="s">
        <v>1168</v>
      </c>
      <c r="CC38" s="490" t="s">
        <v>211</v>
      </c>
      <c r="CD38" s="491" t="s">
        <v>1105</v>
      </c>
      <c r="CE38" s="560">
        <v>1</v>
      </c>
      <c r="CF38" s="489" t="str">
        <f ca="1">OFFSET(Standardwerte!$L$54,CE38,0)</f>
        <v>Nessun recupero di calore</v>
      </c>
      <c r="CG38" s="602">
        <v>0</v>
      </c>
      <c r="CH38" s="434"/>
      <c r="CI38" s="487" t="s">
        <v>1578</v>
      </c>
      <c r="CJ38" s="488" t="s">
        <v>1579</v>
      </c>
      <c r="CK38" s="489" t="s">
        <v>1168</v>
      </c>
      <c r="CL38" s="490" t="s">
        <v>211</v>
      </c>
      <c r="CM38" s="491" t="s">
        <v>1105</v>
      </c>
      <c r="CN38" s="560">
        <v>1</v>
      </c>
      <c r="CO38" s="489" t="str">
        <f ca="1">OFFSET(Standardwerte!$L$54,CN38,0)</f>
        <v>Nessun recupero di calore</v>
      </c>
      <c r="CP38" s="602">
        <v>0</v>
      </c>
      <c r="CQ38" s="434"/>
      <c r="CR38" s="487" t="s">
        <v>212</v>
      </c>
      <c r="CS38" s="488" t="s">
        <v>1579</v>
      </c>
      <c r="CT38" s="489" t="s">
        <v>1101</v>
      </c>
      <c r="CU38" s="490" t="s">
        <v>211</v>
      </c>
      <c r="CV38" s="491" t="s">
        <v>1105</v>
      </c>
      <c r="CW38" s="560">
        <v>2</v>
      </c>
      <c r="CX38" s="489" t="str">
        <f ca="1">OFFSET(Standardwerte!$L$54,CW38,0)</f>
        <v>Scambiatore di calore a correnti incrociate</v>
      </c>
      <c r="CY38" s="537">
        <v>0.5</v>
      </c>
      <c r="CZ38" s="434"/>
      <c r="DA38" s="487" t="s">
        <v>212</v>
      </c>
      <c r="DB38" s="540" t="s">
        <v>1579</v>
      </c>
      <c r="DC38" s="489" t="s">
        <v>1168</v>
      </c>
      <c r="DD38" s="490" t="s">
        <v>1014</v>
      </c>
      <c r="DE38" s="491" t="s">
        <v>635</v>
      </c>
      <c r="DF38" s="560">
        <v>1</v>
      </c>
      <c r="DG38" s="489" t="str">
        <f ca="1">OFFSET(Standardwerte!$L$54,DF38,0)</f>
        <v>Nessun recupero di calore</v>
      </c>
      <c r="DH38" s="602">
        <v>0</v>
      </c>
      <c r="DI38" s="434"/>
    </row>
    <row r="39" spans="1:113" ht="13.8" hidden="1" thickBot="1">
      <c r="H39" s="386"/>
      <c r="I39" s="386"/>
      <c r="J39" s="386"/>
      <c r="W39" s="10"/>
      <c r="X39" s="10"/>
      <c r="Y39" s="10"/>
      <c r="Z39" s="10"/>
      <c r="AA39" s="10"/>
      <c r="AB39" s="10"/>
      <c r="AC39" s="10"/>
      <c r="AD39" s="10"/>
      <c r="AE39" s="10"/>
      <c r="AF39" s="10"/>
      <c r="AG39" s="10"/>
      <c r="AH39" s="10"/>
      <c r="AI39" s="10"/>
      <c r="AJ39" s="10"/>
      <c r="AK39" s="10"/>
      <c r="AL39" s="10"/>
      <c r="AM39" s="10"/>
      <c r="AN39" s="10"/>
      <c r="AO39" s="487">
        <f ca="1"/>
        <v>0</v>
      </c>
      <c r="AP39" s="386">
        <f ca="1"/>
        <v>0</v>
      </c>
      <c r="AQ39" s="493">
        <f ca="1"/>
        <v>0</v>
      </c>
      <c r="AR39" s="397">
        <f ca="1"/>
        <v>0</v>
      </c>
      <c r="AS39" s="386">
        <f ca="1"/>
        <v>0</v>
      </c>
      <c r="AT39" s="493">
        <f ca="1"/>
        <v>0</v>
      </c>
      <c r="AU39" s="493">
        <f ca="1"/>
        <v>0</v>
      </c>
      <c r="AV39" s="494">
        <f ca="1"/>
        <v>0</v>
      </c>
      <c r="AW39" s="434">
        <f ca="1"/>
        <v>0</v>
      </c>
      <c r="AX39" s="10"/>
      <c r="AY39" s="487"/>
      <c r="AZ39" s="386"/>
      <c r="BA39" s="541"/>
      <c r="BB39" s="397"/>
      <c r="BC39" s="386"/>
      <c r="BD39" s="549"/>
      <c r="BE39" s="541"/>
      <c r="BF39" s="494"/>
      <c r="BG39" s="434"/>
      <c r="BH39" s="487" t="s">
        <v>1580</v>
      </c>
      <c r="BI39" s="386"/>
      <c r="BJ39" s="541" t="s">
        <v>1102</v>
      </c>
      <c r="BK39" s="397" t="s">
        <v>1103</v>
      </c>
      <c r="BL39" s="386"/>
      <c r="BM39" s="549">
        <v>4</v>
      </c>
      <c r="BN39" s="541" t="str">
        <f ca="1">OFFSET(Standardwerte!$L$54,Aerazione!BM39,0)</f>
        <v>Scambiatore di calore rotativo</v>
      </c>
      <c r="BO39" s="517">
        <v>0.8</v>
      </c>
      <c r="BP39" s="434"/>
      <c r="BQ39" s="487" t="s">
        <v>1580</v>
      </c>
      <c r="BR39" s="386"/>
      <c r="BS39" s="493" t="s">
        <v>1182</v>
      </c>
      <c r="BT39" s="397" t="s">
        <v>1103</v>
      </c>
      <c r="BU39" s="386"/>
      <c r="BV39" s="549">
        <v>3</v>
      </c>
      <c r="BW39" s="541" t="str">
        <f ca="1">OFFSET(Standardwerte!$L$54,BV39,0)</f>
        <v>Scambiatore di calore controcorrente</v>
      </c>
      <c r="BX39" s="1667">
        <f>IF(minergiep,70%,80%)</f>
        <v>0.8</v>
      </c>
      <c r="BY39" s="434"/>
      <c r="BZ39" s="539" t="s">
        <v>1580</v>
      </c>
      <c r="CA39" s="386"/>
      <c r="CB39" s="541" t="s">
        <v>1168</v>
      </c>
      <c r="CC39" s="397" t="s">
        <v>1103</v>
      </c>
      <c r="CD39" s="386"/>
      <c r="CE39" s="549">
        <v>1</v>
      </c>
      <c r="CF39" s="541" t="str">
        <f ca="1">OFFSET(Standardwerte!$L$54,CE39,0)</f>
        <v>Nessun recupero di calore</v>
      </c>
      <c r="CG39" s="603">
        <v>0</v>
      </c>
      <c r="CH39" s="434"/>
      <c r="CI39" s="487" t="s">
        <v>1580</v>
      </c>
      <c r="CJ39" s="386"/>
      <c r="CK39" s="541" t="s">
        <v>1168</v>
      </c>
      <c r="CL39" s="397" t="s">
        <v>1103</v>
      </c>
      <c r="CM39" s="386"/>
      <c r="CN39" s="549">
        <v>1</v>
      </c>
      <c r="CO39" s="541" t="str">
        <f ca="1">OFFSET(Standardwerte!$L$54,CN39,0)</f>
        <v>Nessun recupero di calore</v>
      </c>
      <c r="CP39" s="603">
        <v>0</v>
      </c>
      <c r="CQ39" s="434"/>
      <c r="CR39" s="487" t="s">
        <v>212</v>
      </c>
      <c r="CS39" s="386"/>
      <c r="CT39" s="541" t="s">
        <v>1101</v>
      </c>
      <c r="CU39" s="397" t="s">
        <v>1103</v>
      </c>
      <c r="CV39" s="386"/>
      <c r="CW39" s="549">
        <v>2</v>
      </c>
      <c r="CX39" s="541" t="str">
        <f ca="1">OFFSET(Standardwerte!$L$54,CW39,0)</f>
        <v>Scambiatore di calore a correnti incrociate</v>
      </c>
      <c r="CY39" s="537">
        <v>0.5</v>
      </c>
      <c r="CZ39" s="434"/>
      <c r="DA39" s="487" t="s">
        <v>212</v>
      </c>
      <c r="DB39" s="386"/>
      <c r="DC39" s="541" t="s">
        <v>1168</v>
      </c>
      <c r="DD39" s="1129" t="s">
        <v>1103</v>
      </c>
      <c r="DE39" s="386"/>
      <c r="DF39" s="549">
        <v>1</v>
      </c>
      <c r="DG39" s="541" t="str">
        <f ca="1">OFFSET(Standardwerte!$L$54,DF39,0)</f>
        <v>Nessun recupero di calore</v>
      </c>
      <c r="DH39" s="603">
        <v>0</v>
      </c>
      <c r="DI39" s="434"/>
    </row>
    <row r="40" spans="1:113" ht="13.8" hidden="1" thickBot="1">
      <c r="H40" s="386"/>
      <c r="I40" s="386"/>
      <c r="J40" s="386"/>
      <c r="W40" s="10"/>
      <c r="X40" s="10"/>
      <c r="Y40" s="10"/>
      <c r="Z40" s="10"/>
      <c r="AA40" s="10"/>
      <c r="AB40" s="10"/>
      <c r="AC40" s="10"/>
      <c r="AD40" s="10"/>
      <c r="AE40" s="10"/>
      <c r="AF40" s="10"/>
      <c r="AG40" s="10"/>
      <c r="AH40" s="10"/>
      <c r="AI40" s="10"/>
      <c r="AJ40" s="10"/>
      <c r="AK40" s="10"/>
      <c r="AL40" s="10"/>
      <c r="AM40" s="10"/>
      <c r="AN40" s="10"/>
      <c r="AO40" s="487">
        <f ca="1"/>
        <v>0</v>
      </c>
      <c r="AP40" s="386">
        <f ca="1"/>
        <v>0</v>
      </c>
      <c r="AQ40" s="386">
        <f ca="1"/>
        <v>0</v>
      </c>
      <c r="AR40" s="387">
        <f ca="1"/>
        <v>0</v>
      </c>
      <c r="AS40" s="386">
        <f ca="1"/>
        <v>0</v>
      </c>
      <c r="AT40" s="386">
        <f ca="1"/>
        <v>0</v>
      </c>
      <c r="AU40" s="397">
        <f ca="1"/>
        <v>0</v>
      </c>
      <c r="AV40" s="386">
        <f ca="1"/>
        <v>0</v>
      </c>
      <c r="AW40" s="434">
        <f ca="1"/>
        <v>0</v>
      </c>
      <c r="AX40" s="10"/>
      <c r="AY40" s="487"/>
      <c r="AZ40" s="386"/>
      <c r="BA40" s="386"/>
      <c r="BB40" s="387"/>
      <c r="BC40" s="386"/>
      <c r="BD40" s="386"/>
      <c r="BE40" s="397"/>
      <c r="BF40" s="386"/>
      <c r="BG40" s="434"/>
      <c r="BH40" s="487" t="s">
        <v>1581</v>
      </c>
      <c r="BI40" s="386"/>
      <c r="BJ40" s="386"/>
      <c r="BK40" s="387" t="s">
        <v>1757</v>
      </c>
      <c r="BL40" s="386"/>
      <c r="BM40" s="386"/>
      <c r="BN40" s="397" t="s">
        <v>1103</v>
      </c>
      <c r="BO40" s="386"/>
      <c r="BP40" s="434"/>
      <c r="BQ40" s="487" t="s">
        <v>1581</v>
      </c>
      <c r="BR40" s="386"/>
      <c r="BS40" s="386"/>
      <c r="BT40" s="387" t="s">
        <v>1757</v>
      </c>
      <c r="BU40" s="386"/>
      <c r="BV40" s="386"/>
      <c r="BW40" s="397" t="s">
        <v>1103</v>
      </c>
      <c r="BX40" s="386"/>
      <c r="BY40" s="434"/>
      <c r="BZ40" s="539" t="s">
        <v>1581</v>
      </c>
      <c r="CA40" s="386"/>
      <c r="CB40" s="386"/>
      <c r="CC40" s="387" t="s">
        <v>1757</v>
      </c>
      <c r="CD40" s="386"/>
      <c r="CE40" s="386"/>
      <c r="CF40" s="397" t="s">
        <v>1103</v>
      </c>
      <c r="CG40" s="386"/>
      <c r="CH40" s="434"/>
      <c r="CI40" s="487" t="s">
        <v>1581</v>
      </c>
      <c r="CJ40" s="386"/>
      <c r="CK40" s="386"/>
      <c r="CL40" s="387" t="s">
        <v>1757</v>
      </c>
      <c r="CM40" s="386"/>
      <c r="CN40" s="386"/>
      <c r="CO40" s="397" t="s">
        <v>1103</v>
      </c>
      <c r="CP40" s="386"/>
      <c r="CQ40" s="434"/>
      <c r="CR40" s="487" t="s">
        <v>212</v>
      </c>
      <c r="CS40" s="386"/>
      <c r="CT40" s="386"/>
      <c r="CU40" s="387" t="s">
        <v>1757</v>
      </c>
      <c r="CV40" s="386"/>
      <c r="CW40" s="386"/>
      <c r="CX40" s="397" t="s">
        <v>1103</v>
      </c>
      <c r="CY40" s="386"/>
      <c r="CZ40" s="434"/>
      <c r="DA40" s="487" t="s">
        <v>212</v>
      </c>
      <c r="DB40" s="386"/>
      <c r="DC40" s="386"/>
      <c r="DD40" s="541" t="s">
        <v>1014</v>
      </c>
      <c r="DE40" s="386"/>
      <c r="DF40" s="386"/>
      <c r="DG40" s="1129" t="s">
        <v>1103</v>
      </c>
      <c r="DH40" s="386"/>
      <c r="DI40" s="434"/>
    </row>
    <row r="41" spans="1:113" ht="13.8" hidden="1" thickBot="1">
      <c r="H41" s="386"/>
      <c r="I41" s="386"/>
      <c r="J41" s="386"/>
      <c r="W41" s="10"/>
      <c r="X41" s="10"/>
      <c r="Y41" s="10"/>
      <c r="Z41" s="10"/>
      <c r="AA41" s="10"/>
      <c r="AB41" s="10"/>
      <c r="AC41" s="10"/>
      <c r="AD41" s="10"/>
      <c r="AE41" s="10"/>
      <c r="AF41" s="10"/>
      <c r="AG41" s="10"/>
      <c r="AH41" s="10"/>
      <c r="AI41" s="10"/>
      <c r="AJ41" s="10"/>
      <c r="AK41" s="10"/>
      <c r="AL41" s="10"/>
      <c r="AM41" s="10"/>
      <c r="AN41" s="10"/>
      <c r="AO41" s="487">
        <f ca="1"/>
        <v>0</v>
      </c>
      <c r="AP41" s="386">
        <f ca="1"/>
        <v>0</v>
      </c>
      <c r="AQ41" s="386">
        <f ca="1"/>
        <v>0</v>
      </c>
      <c r="AR41" s="493">
        <f ca="1"/>
        <v>0</v>
      </c>
      <c r="AS41" s="386">
        <f ca="1"/>
        <v>0</v>
      </c>
      <c r="AT41" s="386">
        <f ca="1"/>
        <v>0</v>
      </c>
      <c r="AU41" s="387">
        <f ca="1"/>
        <v>0</v>
      </c>
      <c r="AV41" s="386">
        <f ca="1"/>
        <v>0</v>
      </c>
      <c r="AW41" s="434">
        <f ca="1"/>
        <v>0</v>
      </c>
      <c r="AX41" s="10"/>
      <c r="AY41" s="487"/>
      <c r="AZ41" s="386"/>
      <c r="BA41" s="386"/>
      <c r="BB41" s="493"/>
      <c r="BC41" s="386"/>
      <c r="BD41" s="386"/>
      <c r="BE41" s="484"/>
      <c r="BF41" s="386"/>
      <c r="BG41" s="434"/>
      <c r="BH41" s="487" t="s">
        <v>1582</v>
      </c>
      <c r="BI41" s="386"/>
      <c r="BJ41" s="386"/>
      <c r="BK41" s="493" t="s">
        <v>5</v>
      </c>
      <c r="BL41" s="386"/>
      <c r="BM41" s="386"/>
      <c r="BN41" s="484" t="str">
        <f ca="1">OFFSET(Standardwerte!$N$54,BM37,0)</f>
        <v>corr. incrociate</v>
      </c>
      <c r="BO41" s="386"/>
      <c r="BP41" s="434"/>
      <c r="BQ41" s="487" t="s">
        <v>1582</v>
      </c>
      <c r="BR41" s="386"/>
      <c r="BS41" s="386"/>
      <c r="BT41" s="493" t="s">
        <v>5</v>
      </c>
      <c r="BU41" s="386"/>
      <c r="BV41" s="386"/>
      <c r="BW41" s="484" t="str">
        <f ca="1">OFFSET(Standardwerte!$N$54,BV37,0)</f>
        <v>nessun RC</v>
      </c>
      <c r="BX41" s="386"/>
      <c r="BY41" s="434"/>
      <c r="BZ41" s="539" t="s">
        <v>1581</v>
      </c>
      <c r="CA41" s="386"/>
      <c r="CB41" s="386"/>
      <c r="CC41" s="493" t="s">
        <v>5</v>
      </c>
      <c r="CD41" s="386"/>
      <c r="CE41" s="386"/>
      <c r="CF41" s="484" t="str">
        <f ca="1">OFFSET(Standardwerte!$N$54,CE37,0)</f>
        <v>nessun RC</v>
      </c>
      <c r="CG41" s="386"/>
      <c r="CH41" s="434"/>
      <c r="CI41" s="487" t="s">
        <v>1581</v>
      </c>
      <c r="CJ41" s="386"/>
      <c r="CK41" s="386"/>
      <c r="CL41" s="493" t="s">
        <v>5</v>
      </c>
      <c r="CM41" s="386"/>
      <c r="CN41" s="386"/>
      <c r="CO41" s="484" t="str">
        <f ca="1">OFFSET(Standardwerte!$N$54,CN37,0)</f>
        <v>nessun RC</v>
      </c>
      <c r="CP41" s="386"/>
      <c r="CQ41" s="434"/>
      <c r="CR41" s="487" t="s">
        <v>212</v>
      </c>
      <c r="CS41" s="386"/>
      <c r="CT41" s="386"/>
      <c r="CU41" s="493" t="s">
        <v>5</v>
      </c>
      <c r="CV41" s="386"/>
      <c r="CW41" s="386"/>
      <c r="CX41" s="484" t="str">
        <f ca="1">OFFSET(Standardwerte!$N$54,CW37,0)</f>
        <v>corr. incrociate</v>
      </c>
      <c r="CY41" s="386"/>
      <c r="CZ41" s="434"/>
      <c r="DA41" s="487" t="s">
        <v>212</v>
      </c>
      <c r="DB41" s="386"/>
      <c r="DC41" s="386"/>
      <c r="DD41" s="541" t="s">
        <v>1014</v>
      </c>
      <c r="DE41" s="386"/>
      <c r="DF41" s="386"/>
      <c r="DG41" s="484" t="str">
        <f ca="1">OFFSET(Standardwerte!$N$54,DF37,0)</f>
        <v>nessun RC</v>
      </c>
      <c r="DH41" s="386"/>
      <c r="DI41" s="434"/>
    </row>
    <row r="42" spans="1:113" ht="13.8" hidden="1" thickBot="1">
      <c r="W42" s="10"/>
      <c r="X42" s="10"/>
      <c r="Y42" s="10"/>
      <c r="Z42" s="10"/>
      <c r="AA42" s="10"/>
      <c r="AB42" s="10"/>
      <c r="AC42" s="10"/>
      <c r="AD42" s="10"/>
      <c r="AE42" s="10"/>
      <c r="AF42" s="10"/>
      <c r="AG42" s="10"/>
      <c r="AH42" s="10"/>
      <c r="AI42" s="10"/>
      <c r="AJ42" s="10"/>
      <c r="AK42" s="10"/>
      <c r="AL42" s="10"/>
      <c r="AM42" s="10"/>
      <c r="AN42" s="10"/>
      <c r="AO42" s="487">
        <f ca="1"/>
        <v>0</v>
      </c>
      <c r="AP42" s="386">
        <f ca="1"/>
        <v>0</v>
      </c>
      <c r="AQ42" s="386">
        <f ca="1"/>
        <v>0</v>
      </c>
      <c r="AR42" s="386">
        <f ca="1"/>
        <v>0</v>
      </c>
      <c r="AS42" s="386">
        <f ca="1"/>
        <v>0</v>
      </c>
      <c r="AT42" s="386">
        <f ca="1"/>
        <v>0</v>
      </c>
      <c r="AU42" s="390">
        <f ca="1"/>
        <v>0</v>
      </c>
      <c r="AV42" s="386">
        <f ca="1"/>
        <v>0</v>
      </c>
      <c r="AW42" s="434">
        <f ca="1"/>
        <v>0</v>
      </c>
      <c r="AX42" s="10"/>
      <c r="AY42" s="487"/>
      <c r="AZ42" s="386"/>
      <c r="BA42" s="386"/>
      <c r="BB42" s="386"/>
      <c r="BC42" s="386"/>
      <c r="BD42" s="386"/>
      <c r="BE42" s="489"/>
      <c r="BF42" s="386"/>
      <c r="BG42" s="434"/>
      <c r="BH42" s="487" t="s">
        <v>1583</v>
      </c>
      <c r="BI42" s="386"/>
      <c r="BJ42" s="386"/>
      <c r="BK42" s="386"/>
      <c r="BL42" s="386"/>
      <c r="BM42" s="386"/>
      <c r="BN42" s="489" t="str">
        <f ca="1">OFFSET(Standardwerte!$N$54,BM38,0)</f>
        <v>controcorrente</v>
      </c>
      <c r="BO42" s="386"/>
      <c r="BP42" s="434"/>
      <c r="BQ42" s="487" t="s">
        <v>1583</v>
      </c>
      <c r="BR42" s="386"/>
      <c r="BS42" s="386"/>
      <c r="BT42" s="386"/>
      <c r="BU42" s="386"/>
      <c r="BV42" s="386"/>
      <c r="BW42" s="489" t="str">
        <f ca="1">OFFSET(Standardwerte!$N$54,BV38,0)</f>
        <v>corr. incrociate</v>
      </c>
      <c r="BX42" s="386"/>
      <c r="BY42" s="434"/>
      <c r="BZ42" s="539" t="s">
        <v>1581</v>
      </c>
      <c r="CA42" s="386"/>
      <c r="CB42" s="386"/>
      <c r="CC42" s="386"/>
      <c r="CD42" s="386"/>
      <c r="CE42" s="386"/>
      <c r="CF42" s="489" t="str">
        <f ca="1">OFFSET(Standardwerte!$N$54,CE38,0)</f>
        <v>nessun RC</v>
      </c>
      <c r="CG42" s="386"/>
      <c r="CH42" s="434"/>
      <c r="CI42" s="487" t="s">
        <v>1581</v>
      </c>
      <c r="CJ42" s="386"/>
      <c r="CK42" s="386"/>
      <c r="CL42" s="386"/>
      <c r="CM42" s="386"/>
      <c r="CN42" s="386"/>
      <c r="CO42" s="489" t="str">
        <f ca="1">OFFSET(Standardwerte!$N$54,CN38,0)</f>
        <v>nessun RC</v>
      </c>
      <c r="CP42" s="386"/>
      <c r="CQ42" s="434"/>
      <c r="CR42" s="487" t="s">
        <v>212</v>
      </c>
      <c r="CS42" s="386"/>
      <c r="CT42" s="386"/>
      <c r="CU42" s="386"/>
      <c r="CV42" s="386"/>
      <c r="CW42" s="386"/>
      <c r="CX42" s="489" t="str">
        <f ca="1">OFFSET(Standardwerte!$N$54,CW38,0)</f>
        <v>corr. incrociate</v>
      </c>
      <c r="CY42" s="386"/>
      <c r="CZ42" s="434"/>
      <c r="DA42" s="487" t="s">
        <v>212</v>
      </c>
      <c r="DB42" s="386"/>
      <c r="DC42" s="386"/>
      <c r="DD42" s="386"/>
      <c r="DE42" s="386"/>
      <c r="DF42" s="386"/>
      <c r="DG42" s="489" t="str">
        <f ca="1">OFFSET(Standardwerte!$N$54,DF38,0)</f>
        <v>nessun RC</v>
      </c>
      <c r="DH42" s="386"/>
      <c r="DI42" s="434"/>
    </row>
    <row r="43" spans="1:113" ht="13.8" hidden="1" thickBot="1">
      <c r="W43" s="10"/>
      <c r="X43" s="10"/>
      <c r="Y43" s="10"/>
      <c r="Z43" s="10"/>
      <c r="AA43" s="10"/>
      <c r="AB43" s="10"/>
      <c r="AC43" s="10"/>
      <c r="AD43" s="10"/>
      <c r="AE43" s="10"/>
      <c r="AF43" s="10"/>
      <c r="AG43" s="10"/>
      <c r="AH43" s="10"/>
      <c r="AI43" s="10"/>
      <c r="AJ43" s="10"/>
      <c r="AK43" s="10"/>
      <c r="AL43" s="10"/>
      <c r="AM43" s="10"/>
      <c r="AN43" s="10"/>
      <c r="AO43" s="495">
        <f ca="1"/>
        <v>0</v>
      </c>
      <c r="AP43" s="496">
        <f ca="1"/>
        <v>0</v>
      </c>
      <c r="AQ43" s="496">
        <f ca="1"/>
        <v>0</v>
      </c>
      <c r="AR43" s="496">
        <f ca="1"/>
        <v>0</v>
      </c>
      <c r="AS43" s="496">
        <f ca="1"/>
        <v>0</v>
      </c>
      <c r="AT43" s="496">
        <f ca="1"/>
        <v>0</v>
      </c>
      <c r="AU43" s="493">
        <f ca="1"/>
        <v>0</v>
      </c>
      <c r="AV43" s="496">
        <f ca="1"/>
        <v>0</v>
      </c>
      <c r="AW43" s="437">
        <f ca="1"/>
        <v>0</v>
      </c>
      <c r="AX43" s="10"/>
      <c r="AY43" s="495"/>
      <c r="AZ43" s="496"/>
      <c r="BA43" s="496"/>
      <c r="BB43" s="496"/>
      <c r="BC43" s="496"/>
      <c r="BD43" s="496"/>
      <c r="BE43" s="541"/>
      <c r="BF43" s="496"/>
      <c r="BG43" s="437"/>
      <c r="BH43" s="495" t="s">
        <v>474</v>
      </c>
      <c r="BI43" s="496"/>
      <c r="BJ43" s="496"/>
      <c r="BK43" s="496"/>
      <c r="BL43" s="496"/>
      <c r="BM43" s="496"/>
      <c r="BN43" s="541" t="str">
        <f ca="1">OFFSET(Standardwerte!$N$54,BM39,0)</f>
        <v>rotativo</v>
      </c>
      <c r="BO43" s="496"/>
      <c r="BP43" s="437"/>
      <c r="BQ43" s="495" t="s">
        <v>474</v>
      </c>
      <c r="BR43" s="496"/>
      <c r="BS43" s="496"/>
      <c r="BT43" s="496"/>
      <c r="BU43" s="496"/>
      <c r="BV43" s="496"/>
      <c r="BW43" s="541" t="str">
        <f ca="1">OFFSET(Standardwerte!$N$54,BV39,0)</f>
        <v>controcorrente</v>
      </c>
      <c r="BX43" s="496"/>
      <c r="BY43" s="437"/>
      <c r="BZ43" s="542" t="s">
        <v>1581</v>
      </c>
      <c r="CA43" s="543" t="s">
        <v>209</v>
      </c>
      <c r="CB43" s="543" t="s">
        <v>210</v>
      </c>
      <c r="CC43" s="496"/>
      <c r="CD43" s="496"/>
      <c r="CE43" s="496"/>
      <c r="CF43" s="541" t="str">
        <f ca="1">OFFSET(Standardwerte!$N$54,CE39,0)</f>
        <v>nessun RC</v>
      </c>
      <c r="CG43" s="496"/>
      <c r="CH43" s="437"/>
      <c r="CI43" s="495" t="s">
        <v>1581</v>
      </c>
      <c r="CJ43" s="543" t="s">
        <v>1579</v>
      </c>
      <c r="CK43" s="543" t="s">
        <v>210</v>
      </c>
      <c r="CL43" s="496"/>
      <c r="CM43" s="496"/>
      <c r="CN43" s="496"/>
      <c r="CO43" s="541" t="str">
        <f ca="1">OFFSET(Standardwerte!$N$54,CN39,0)</f>
        <v>nessun RC</v>
      </c>
      <c r="CP43" s="496"/>
      <c r="CQ43" s="437"/>
      <c r="CR43" s="544" t="s">
        <v>212</v>
      </c>
      <c r="CS43" s="543" t="s">
        <v>1579</v>
      </c>
      <c r="CT43" s="543" t="s">
        <v>213</v>
      </c>
      <c r="CU43" s="496"/>
      <c r="CV43" s="496"/>
      <c r="CW43" s="496"/>
      <c r="CX43" s="541" t="str">
        <f ca="1">OFFSET(Standardwerte!$N$54,CW39,0)</f>
        <v>corr. incrociate</v>
      </c>
      <c r="CY43" s="496"/>
      <c r="CZ43" s="437"/>
      <c r="DA43" s="544" t="s">
        <v>212</v>
      </c>
      <c r="DB43" s="543"/>
      <c r="DC43" s="543"/>
      <c r="DD43" s="496"/>
      <c r="DE43" s="496"/>
      <c r="DF43" s="496"/>
      <c r="DG43" s="541" t="str">
        <f ca="1">OFFSET(Standardwerte!$N$54,DF39,0)</f>
        <v>nessun RC</v>
      </c>
      <c r="DH43" s="496"/>
      <c r="DI43" s="437"/>
    </row>
    <row r="44" spans="1:113" ht="13.8" hidden="1" thickBot="1">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386"/>
      <c r="BI44" s="386"/>
      <c r="BJ44" s="386"/>
      <c r="BK44" s="386"/>
      <c r="BL44" s="386"/>
      <c r="BM44" s="386"/>
      <c r="BN44" s="386"/>
      <c r="BO44" s="386"/>
      <c r="BP44" s="386"/>
      <c r="BQ44" s="386"/>
      <c r="BR44" s="386"/>
      <c r="BS44" s="386"/>
      <c r="BT44" s="386"/>
      <c r="BU44" s="386"/>
      <c r="BV44" s="386"/>
      <c r="BW44" s="386"/>
      <c r="BX44" s="386"/>
      <c r="BY44" s="386"/>
      <c r="BZ44" s="386"/>
      <c r="CA44" s="386"/>
      <c r="CB44" s="386"/>
      <c r="CC44" s="386"/>
      <c r="CD44" s="386"/>
      <c r="CE44" s="386"/>
      <c r="CF44" s="386"/>
      <c r="CG44" s="386"/>
      <c r="CH44" s="386"/>
      <c r="CI44" s="386"/>
      <c r="CJ44" s="386"/>
      <c r="CK44" s="386"/>
      <c r="CL44" s="386"/>
      <c r="CM44" s="386"/>
      <c r="CN44" s="386"/>
      <c r="CO44" s="386"/>
      <c r="CP44" s="386"/>
      <c r="CQ44" s="386"/>
      <c r="CR44" s="386"/>
      <c r="CS44" s="386"/>
      <c r="CT44" s="386"/>
      <c r="CU44" s="386"/>
      <c r="CV44" s="386"/>
      <c r="CW44" s="386"/>
      <c r="CX44" s="386"/>
      <c r="CY44" s="386"/>
      <c r="CZ44" s="386"/>
      <c r="DA44" s="386"/>
      <c r="DB44" s="386"/>
      <c r="DC44" s="386"/>
      <c r="DD44" s="386"/>
      <c r="DE44" s="386"/>
      <c r="DF44" s="386"/>
      <c r="DG44" s="386"/>
      <c r="DH44" s="386"/>
      <c r="DI44" s="386"/>
    </row>
    <row r="45" spans="1:113" ht="15" hidden="1" customHeight="1">
      <c r="A45" s="624"/>
      <c r="B45" s="1132" t="s">
        <v>629</v>
      </c>
      <c r="C45" s="34"/>
      <c r="D45" s="34"/>
      <c r="E45" s="34"/>
      <c r="F45" s="34"/>
      <c r="G45" s="34"/>
      <c r="H45" s="34"/>
      <c r="I45" s="34"/>
      <c r="J45" s="342" t="s">
        <v>456</v>
      </c>
      <c r="K45" s="392"/>
      <c r="M45" s="387"/>
      <c r="N45" s="388" t="s">
        <v>399</v>
      </c>
      <c r="O45" s="388" t="s">
        <v>1393</v>
      </c>
      <c r="P45" s="10" t="s">
        <v>471</v>
      </c>
      <c r="Q45" s="10"/>
      <c r="R45" s="10"/>
      <c r="S45" s="10"/>
      <c r="X45" s="1840" t="s">
        <v>764</v>
      </c>
      <c r="Y45" s="1840" t="s">
        <v>765</v>
      </c>
      <c r="Z45" s="1840" t="s">
        <v>766</v>
      </c>
    </row>
    <row r="46" spans="1:113" ht="13.8" hidden="1" thickBot="1">
      <c r="A46" s="625"/>
      <c r="B46" s="1846">
        <f>Projekt1</f>
        <v>0</v>
      </c>
      <c r="C46" s="1847"/>
      <c r="D46" s="1847"/>
      <c r="E46" s="1847"/>
      <c r="F46" s="1847"/>
      <c r="G46" s="1847"/>
      <c r="H46" s="1847"/>
      <c r="I46" s="1847"/>
      <c r="J46" s="1848"/>
      <c r="K46" s="395"/>
      <c r="M46" s="501">
        <v>1</v>
      </c>
      <c r="N46" s="391" t="str">
        <f>IF($P$50,Standardwerte!$L35,"")</f>
        <v/>
      </c>
      <c r="O46" s="391" t="str">
        <f>IF($P$46,Standardwerte!$O35,"")</f>
        <v/>
      </c>
      <c r="P46" s="10" t="b">
        <f>AND(X50&lt;=5,X50&gt;1)</f>
        <v>0</v>
      </c>
      <c r="Q46" s="10"/>
      <c r="R46" s="10"/>
      <c r="S46" s="10"/>
      <c r="X46" s="1841"/>
      <c r="Y46" s="1841"/>
      <c r="Z46" s="1841"/>
    </row>
    <row r="47" spans="1:113" ht="13.8" hidden="1" thickBot="1">
      <c r="A47" s="625"/>
      <c r="B47" s="1849">
        <f>Projekt2</f>
        <v>0</v>
      </c>
      <c r="C47" s="1850"/>
      <c r="D47" s="1850"/>
      <c r="E47" s="1850"/>
      <c r="F47" s="1850"/>
      <c r="G47" s="1850"/>
      <c r="H47" s="1850"/>
      <c r="I47" s="1850"/>
      <c r="J47" s="1851"/>
      <c r="K47" s="395"/>
      <c r="M47" s="501">
        <v>2</v>
      </c>
      <c r="N47" s="393" t="str">
        <f>IF($P$50,Standardwerte!$L36,"")</f>
        <v/>
      </c>
      <c r="O47" s="393" t="str">
        <f>IF($P$46,Standardwerte!$O36,"")</f>
        <v/>
      </c>
      <c r="P47" s="10" t="s">
        <v>472</v>
      </c>
      <c r="Q47" s="10"/>
      <c r="R47" s="10"/>
      <c r="S47" s="10"/>
      <c r="X47" s="1841"/>
      <c r="Y47" s="1841"/>
      <c r="Z47" s="1841"/>
    </row>
    <row r="48" spans="1:113" ht="13.8" hidden="1" thickBot="1">
      <c r="A48" s="625"/>
      <c r="B48" s="1852">
        <f>Projekt3</f>
        <v>0</v>
      </c>
      <c r="C48" s="1853"/>
      <c r="D48" s="1853"/>
      <c r="E48" s="1853"/>
      <c r="F48" s="1853"/>
      <c r="G48" s="1853"/>
      <c r="H48" s="1853"/>
      <c r="I48" s="1853"/>
      <c r="J48" s="1854"/>
      <c r="K48" s="395"/>
      <c r="M48" s="501">
        <v>3</v>
      </c>
      <c r="N48" s="393" t="str">
        <f>IF($P$50,Standardwerte!$L37,"")</f>
        <v/>
      </c>
      <c r="O48" s="393" t="str">
        <f>IF($P$46,Standardwerte!$O37,"")</f>
        <v/>
      </c>
      <c r="P48" s="10" t="b">
        <f>IF(minergiep,FALSE,AND(Standardlüftung2=3, X50&lt;=3))</f>
        <v>0</v>
      </c>
      <c r="Q48" s="10"/>
      <c r="R48" s="10"/>
      <c r="S48" s="10"/>
      <c r="X48" s="1841"/>
      <c r="Y48" s="1841"/>
      <c r="Z48" s="1841"/>
      <c r="AA48" s="396" t="s">
        <v>767</v>
      </c>
      <c r="AB48" s="386"/>
      <c r="AC48" s="386" t="s">
        <v>768</v>
      </c>
      <c r="AD48" s="386"/>
      <c r="AE48" s="386"/>
      <c r="AF48" s="386"/>
      <c r="AG48" s="386"/>
      <c r="AH48" s="386"/>
      <c r="AI48" s="386"/>
      <c r="AJ48" s="386"/>
      <c r="AK48" s="386"/>
      <c r="AL48" s="386"/>
      <c r="AM48" s="386"/>
      <c r="AO48" s="397" t="s">
        <v>17</v>
      </c>
    </row>
    <row r="49" spans="1:72" ht="13.8" hidden="1" thickBot="1">
      <c r="A49" s="139"/>
      <c r="B49" s="340"/>
      <c r="C49" s="340"/>
      <c r="D49" s="340"/>
      <c r="E49" s="340"/>
      <c r="F49" s="340"/>
      <c r="G49" s="340"/>
      <c r="H49" s="340"/>
      <c r="I49" s="340"/>
      <c r="J49" s="340"/>
      <c r="K49" s="395"/>
      <c r="L49" s="387" t="s">
        <v>1472</v>
      </c>
      <c r="M49" s="501">
        <v>4</v>
      </c>
      <c r="N49" s="393" t="str">
        <f>IF($P$50,Standardwerte!$L38,"")</f>
        <v/>
      </c>
      <c r="O49" s="393" t="str">
        <f>IF($P$46,Standardwerte!$O38,"")</f>
        <v/>
      </c>
      <c r="P49" s="10"/>
      <c r="Q49" s="10"/>
      <c r="R49" s="10"/>
      <c r="S49" s="10"/>
      <c r="X49" s="1842"/>
      <c r="Y49" s="1842"/>
      <c r="Z49" s="1842"/>
      <c r="AA49" s="398"/>
      <c r="AB49" s="386"/>
      <c r="AC49" s="386"/>
      <c r="AD49" s="386"/>
      <c r="AE49" s="386"/>
      <c r="AF49" s="386"/>
      <c r="AG49" s="386"/>
      <c r="AH49" s="386"/>
      <c r="AI49" s="386"/>
      <c r="AJ49" s="386"/>
      <c r="AK49" s="386"/>
      <c r="AL49" s="386"/>
      <c r="AM49" s="386"/>
      <c r="BH49" s="397" t="s">
        <v>636</v>
      </c>
      <c r="BI49" s="386"/>
      <c r="BJ49" s="386"/>
      <c r="BK49" s="386"/>
      <c r="BL49" s="386"/>
      <c r="BM49" s="386"/>
      <c r="BN49" s="386"/>
      <c r="BO49" s="386"/>
      <c r="BP49" s="386"/>
      <c r="BQ49" s="386"/>
      <c r="BR49" s="386"/>
      <c r="BS49" s="386"/>
      <c r="BT49" s="386"/>
    </row>
    <row r="50" spans="1:72" ht="14.4" thickBot="1">
      <c r="A50" s="624" t="s">
        <v>658</v>
      </c>
      <c r="B50" s="1136" t="s">
        <v>574</v>
      </c>
      <c r="C50" s="1137"/>
      <c r="D50" s="1137"/>
      <c r="E50" s="1138" t="s">
        <v>1223</v>
      </c>
      <c r="F50" s="1138"/>
      <c r="G50" s="1137"/>
      <c r="H50" s="345">
        <f ca="1">AO51</f>
        <v>0</v>
      </c>
      <c r="I50" s="346"/>
      <c r="J50" s="347"/>
      <c r="K50" s="8"/>
      <c r="L50" s="493" t="b">
        <f>OR(X51=2,X51=3,X51=6)</f>
        <v>0</v>
      </c>
      <c r="M50" s="501">
        <v>5</v>
      </c>
      <c r="N50" s="393" t="str">
        <f>IF($P$50,Standardwerte!$L39,"")</f>
        <v/>
      </c>
      <c r="O50" s="393" t="str">
        <f>IF($P$46,Standardwerte!$O39,"")</f>
        <v/>
      </c>
      <c r="P50" s="10" t="b">
        <f>IF(minergiep,TRUE,AND(X50&lt;=5,X50&gt;1,OR(Kategorie2&gt;3,AND(Kategorie2&lt;4,Standardlüftung2&lt;3))))</f>
        <v>0</v>
      </c>
      <c r="Q50" s="10"/>
      <c r="R50" s="10"/>
      <c r="S50" s="10"/>
      <c r="W50" s="341" t="s">
        <v>658</v>
      </c>
      <c r="X50" s="12">
        <f>Kategorie2</f>
        <v>1</v>
      </c>
      <c r="Y50" s="12">
        <f>(X50-2)*9</f>
        <v>-9</v>
      </c>
      <c r="Z50" s="12">
        <f>(X50-2)*3</f>
        <v>-3</v>
      </c>
      <c r="AA50" s="387" t="s">
        <v>770</v>
      </c>
      <c r="AB50" s="386"/>
      <c r="AC50" s="386"/>
      <c r="AD50" s="386"/>
      <c r="AE50" s="386"/>
      <c r="AF50" s="386"/>
      <c r="AG50" s="386"/>
      <c r="AH50" s="386"/>
      <c r="AI50" s="386"/>
      <c r="AJ50" s="386"/>
      <c r="AK50" s="386"/>
      <c r="AL50" s="386"/>
      <c r="AM50" s="386"/>
      <c r="AO50" s="399" t="s">
        <v>1610</v>
      </c>
      <c r="AP50" s="400" t="s">
        <v>1611</v>
      </c>
      <c r="AQ50" s="400" t="s">
        <v>1612</v>
      </c>
      <c r="AR50" s="400" t="s">
        <v>1613</v>
      </c>
      <c r="AS50" s="400" t="s">
        <v>1307</v>
      </c>
      <c r="AT50" s="400" t="s">
        <v>1308</v>
      </c>
      <c r="AU50" s="400" t="s">
        <v>1309</v>
      </c>
      <c r="AV50" s="401" t="s">
        <v>774</v>
      </c>
      <c r="AW50" s="402" t="s">
        <v>1310</v>
      </c>
      <c r="BH50" s="386"/>
      <c r="BI50" s="386"/>
      <c r="BJ50" s="386"/>
      <c r="BK50" s="386"/>
      <c r="BL50" s="386"/>
      <c r="BM50" s="386"/>
      <c r="BN50" s="386"/>
      <c r="BO50" s="386"/>
      <c r="BP50" s="386"/>
      <c r="BQ50" s="386"/>
      <c r="BR50" s="386"/>
      <c r="BS50" s="386"/>
      <c r="BT50" s="386"/>
    </row>
    <row r="51" spans="1:72" ht="15.75" customHeight="1">
      <c r="A51" s="139" t="s">
        <v>659</v>
      </c>
      <c r="B51" s="1139" t="s">
        <v>1224</v>
      </c>
      <c r="C51" s="1140"/>
      <c r="D51" s="1140"/>
      <c r="E51" s="1140"/>
      <c r="F51" s="1141"/>
      <c r="G51" s="1142" t="str">
        <f>IF(AND(Lüftung2=7,OR(P48=FALSE,minergiep)),"Bedingungen prüfen, siehe Anwendungshilfe",IF(OR(X50=1,P46),IF(AND(X50=5,X51=7),"Bedingungen prüfen, siehe Anwendungshilfe",IF(AND(P48,minergiep=FALSE),"1)","")),"Errore! Calcolo semplice per tipo di edificio non permesso"))</f>
        <v/>
      </c>
      <c r="H51" s="348">
        <f ca="1">AO55</f>
        <v>0</v>
      </c>
      <c r="I51" s="349"/>
      <c r="J51" s="350"/>
      <c r="K51" s="407"/>
      <c r="L51" s="387" t="s">
        <v>402</v>
      </c>
      <c r="M51" s="501">
        <v>6</v>
      </c>
      <c r="N51" s="393" t="str">
        <f>IF($P$50,Standardwerte!$L40,"")</f>
        <v/>
      </c>
      <c r="O51" s="393" t="str">
        <f>IF($P$46,Standardwerte!$O40,"")</f>
        <v/>
      </c>
      <c r="P51" s="10"/>
      <c r="Q51" s="10"/>
      <c r="R51" s="10"/>
      <c r="S51" s="10"/>
      <c r="W51" s="343" t="s">
        <v>659</v>
      </c>
      <c r="X51" s="12">
        <f>IF(P46,Lüftung2,1)</f>
        <v>1</v>
      </c>
      <c r="Y51" s="12">
        <f>(X51-2)*9</f>
        <v>-9</v>
      </c>
      <c r="Z51" s="12">
        <f>X51-2</f>
        <v>-1</v>
      </c>
      <c r="AA51" s="12" t="s">
        <v>770</v>
      </c>
      <c r="AB51" s="408"/>
      <c r="AC51" s="12" t="s">
        <v>585</v>
      </c>
      <c r="AD51" s="12" t="s">
        <v>586</v>
      </c>
      <c r="AE51" s="12" t="s">
        <v>760</v>
      </c>
      <c r="AF51" s="10"/>
      <c r="AG51" s="12" t="s">
        <v>1311</v>
      </c>
      <c r="AH51" s="12" t="s">
        <v>1312</v>
      </c>
      <c r="AI51" s="386"/>
      <c r="AJ51" s="386"/>
      <c r="AK51" s="386"/>
      <c r="AL51" s="386"/>
      <c r="AM51" s="386"/>
      <c r="AN51" s="10"/>
      <c r="AO51" s="409">
        <f t="array" aca="1" ref="AO51:AW54" ca="1">OFFSET($BH$10,0,Y50,4,9)</f>
        <v>0</v>
      </c>
      <c r="AP51" s="410">
        <f ca="1"/>
        <v>0</v>
      </c>
      <c r="AQ51" s="410">
        <f ca="1"/>
        <v>0</v>
      </c>
      <c r="AR51" s="410">
        <f ca="1"/>
        <v>0</v>
      </c>
      <c r="AS51" s="410">
        <f ca="1"/>
        <v>0</v>
      </c>
      <c r="AT51" s="410">
        <f ca="1"/>
        <v>0</v>
      </c>
      <c r="AU51" s="410">
        <f ca="1"/>
        <v>0</v>
      </c>
      <c r="AV51" s="410">
        <f ca="1"/>
        <v>0</v>
      </c>
      <c r="AW51" s="411">
        <f ca="1"/>
        <v>0</v>
      </c>
      <c r="AX51" s="10"/>
      <c r="BH51" s="481" t="s">
        <v>1227</v>
      </c>
      <c r="BI51" s="386"/>
      <c r="BJ51" s="386"/>
      <c r="BK51" s="397" t="s">
        <v>1445</v>
      </c>
      <c r="BL51" s="386"/>
      <c r="BM51" s="386"/>
      <c r="BN51" s="386"/>
      <c r="BO51" s="386"/>
      <c r="BP51" s="386"/>
      <c r="BQ51" s="386"/>
      <c r="BR51" s="386"/>
      <c r="BS51" s="386"/>
      <c r="BT51" s="386"/>
    </row>
    <row r="52" spans="1:72">
      <c r="A52" s="139"/>
      <c r="B52" s="1205" t="s">
        <v>12</v>
      </c>
      <c r="C52" s="1143"/>
      <c r="D52" s="1143"/>
      <c r="E52" s="1143">
        <f ca="1">AR52</f>
        <v>0</v>
      </c>
      <c r="F52" s="1144"/>
      <c r="G52" s="1145"/>
      <c r="H52" s="1146">
        <f ca="1">AU52</f>
        <v>0</v>
      </c>
      <c r="I52" s="1147"/>
      <c r="J52" s="1148">
        <f>Raum2</f>
        <v>0</v>
      </c>
      <c r="K52" s="429"/>
      <c r="L52" s="390">
        <f ca="1">IF(L53&gt;0,ROUNDUP(EBFo2/L53,0),0)</f>
        <v>0</v>
      </c>
      <c r="M52" s="501">
        <v>7</v>
      </c>
      <c r="N52" s="393" t="str">
        <f>IF($P$50,Standardwerte!$L41,"")</f>
        <v/>
      </c>
      <c r="O52" s="393" t="str">
        <f>IF($P$46,Standardwerte!$O41,"")</f>
        <v/>
      </c>
      <c r="P52" s="10"/>
      <c r="Q52" s="10"/>
      <c r="R52" s="10"/>
      <c r="S52" s="10"/>
      <c r="V52" s="394"/>
      <c r="W52" s="343"/>
      <c r="X52" s="386"/>
      <c r="Y52" s="386"/>
      <c r="Z52" s="386"/>
      <c r="AA52" s="386"/>
      <c r="AB52" s="386"/>
      <c r="AC52" s="430">
        <f ca="1">OFFSET(BI$87,Z51,Z50)</f>
        <v>0</v>
      </c>
      <c r="AD52" s="430">
        <f ca="1">OFFSET(BJ$87,Z51,Z50)</f>
        <v>0</v>
      </c>
      <c r="AE52" s="430">
        <f ca="1">OFFSET(BK$87,Z51,Z50)</f>
        <v>0</v>
      </c>
      <c r="AF52" s="431" t="s">
        <v>1314</v>
      </c>
      <c r="AG52" s="12" t="str">
        <f ca="1">OFFSET($BI$110,Z51,0)</f>
        <v>v0</v>
      </c>
      <c r="AH52" s="12" t="str">
        <f ca="1">OFFSET($BJ$110,Z51,0)</f>
        <v>vx</v>
      </c>
      <c r="AI52" s="386"/>
      <c r="AJ52" s="386"/>
      <c r="AK52" s="386"/>
      <c r="AL52" s="386"/>
      <c r="AM52" s="386"/>
      <c r="AN52" s="10"/>
      <c r="AO52" s="412">
        <f ca="1"/>
        <v>0</v>
      </c>
      <c r="AP52" s="45">
        <f ca="1"/>
        <v>0</v>
      </c>
      <c r="AQ52" s="45">
        <f ca="1"/>
        <v>0</v>
      </c>
      <c r="AR52" s="45">
        <f ca="1"/>
        <v>0</v>
      </c>
      <c r="AS52" s="413">
        <f ca="1"/>
        <v>0</v>
      </c>
      <c r="AT52" s="414">
        <f ca="1"/>
        <v>0</v>
      </c>
      <c r="AU52" s="415">
        <f ca="1"/>
        <v>0</v>
      </c>
      <c r="AV52" s="416">
        <f ca="1"/>
        <v>0</v>
      </c>
      <c r="AW52" s="417">
        <f ca="1"/>
        <v>0</v>
      </c>
      <c r="AX52" s="10"/>
      <c r="BH52" s="1115" t="s">
        <v>1699</v>
      </c>
      <c r="BI52" s="396">
        <v>0</v>
      </c>
      <c r="BJ52" s="386"/>
      <c r="BK52" s="387">
        <f>Standardwerte!I9</f>
        <v>0</v>
      </c>
      <c r="BL52" s="387">
        <v>0</v>
      </c>
      <c r="BM52" s="386"/>
      <c r="BN52" s="386"/>
      <c r="BO52" s="386"/>
      <c r="BP52" s="386"/>
      <c r="BQ52" s="386"/>
      <c r="BR52" s="386"/>
      <c r="BS52" s="386"/>
      <c r="BT52" s="386"/>
    </row>
    <row r="53" spans="1:72" ht="12" customHeight="1">
      <c r="A53" s="139" t="s">
        <v>1444</v>
      </c>
      <c r="B53" s="1149"/>
      <c r="C53" s="1150"/>
      <c r="D53" s="1150"/>
      <c r="E53" s="1151" t="s">
        <v>1225</v>
      </c>
      <c r="F53" s="1152"/>
      <c r="G53" s="429"/>
      <c r="H53" s="1153" t="s">
        <v>1385</v>
      </c>
      <c r="I53" s="1154" t="s">
        <v>18</v>
      </c>
      <c r="J53" s="1155">
        <f ca="1">IF(ISNUMBER(AD52),MAX(J52*AD52,L52*AD52),0)</f>
        <v>0</v>
      </c>
      <c r="K53" s="432"/>
      <c r="L53" s="493">
        <f ca="1">OFFSET($BL$52,X50-1,0)</f>
        <v>0</v>
      </c>
      <c r="M53" s="501">
        <v>8</v>
      </c>
      <c r="N53" s="393" t="str">
        <f>IF($P$50,Standardwerte!$L42,"")</f>
        <v/>
      </c>
      <c r="O53" s="393" t="str">
        <f>IF($P$46,Standardwerte!$O42,"")</f>
        <v/>
      </c>
      <c r="P53" s="10"/>
      <c r="Q53" s="10"/>
      <c r="R53" s="10"/>
      <c r="S53" s="10"/>
      <c r="T53" s="10"/>
      <c r="U53" s="10"/>
      <c r="V53" s="394"/>
      <c r="W53" s="343" t="s">
        <v>1444</v>
      </c>
      <c r="X53" s="12">
        <f ca="1">J53</f>
        <v>0</v>
      </c>
      <c r="Y53" s="12">
        <f ca="1">IF(ISNUMBER(J53),IF(P48,J53,MAX(X53:X54)),0)*P46</f>
        <v>0</v>
      </c>
      <c r="Z53" s="12"/>
      <c r="AA53" s="12" t="s">
        <v>508</v>
      </c>
      <c r="AB53" s="433" t="s">
        <v>509</v>
      </c>
      <c r="AC53" s="430">
        <f ca="1">OFFSET(BI$76,Z51,Z50)</f>
        <v>0</v>
      </c>
      <c r="AD53" s="430">
        <f ca="1">OFFSET(BJ$76,Z51,Z50)</f>
        <v>0</v>
      </c>
      <c r="AE53" s="430">
        <f ca="1">OFFSET(BK$76,Z51,Z50)</f>
        <v>0</v>
      </c>
      <c r="AF53" s="12" t="s">
        <v>763</v>
      </c>
      <c r="AG53" s="386"/>
      <c r="AH53" s="386"/>
      <c r="AI53" s="386"/>
      <c r="AJ53" s="386"/>
      <c r="AK53" s="386"/>
      <c r="AL53" s="386"/>
      <c r="AM53" s="386"/>
      <c r="AN53" s="10"/>
      <c r="AO53" s="418">
        <f ca="1"/>
        <v>0</v>
      </c>
      <c r="AP53" s="140">
        <f ca="1"/>
        <v>0</v>
      </c>
      <c r="AQ53" s="140">
        <f ca="1"/>
        <v>0</v>
      </c>
      <c r="AR53" s="140">
        <f ca="1"/>
        <v>0</v>
      </c>
      <c r="AS53" s="419">
        <f ca="1"/>
        <v>0</v>
      </c>
      <c r="AT53" s="386">
        <f ca="1"/>
        <v>0</v>
      </c>
      <c r="AU53" s="420">
        <f ca="1"/>
        <v>0</v>
      </c>
      <c r="AV53" s="421">
        <f ca="1"/>
        <v>0</v>
      </c>
      <c r="AW53" s="422">
        <f ca="1"/>
        <v>0</v>
      </c>
      <c r="AX53" s="10"/>
      <c r="BH53" s="1116" t="s">
        <v>1700</v>
      </c>
      <c r="BI53" s="519">
        <v>0.06</v>
      </c>
      <c r="BJ53" s="386"/>
      <c r="BK53" s="390" t="str">
        <f>Standardwerte!I10</f>
        <v>Abit. plurif.</v>
      </c>
      <c r="BL53" s="390">
        <v>50</v>
      </c>
      <c r="BM53" s="386"/>
      <c r="BN53" s="386"/>
      <c r="BO53" s="386"/>
      <c r="BP53" s="386"/>
      <c r="BQ53" s="386"/>
      <c r="BR53" s="386"/>
      <c r="BS53" s="386"/>
      <c r="BT53" s="386"/>
    </row>
    <row r="54" spans="1:72" ht="13.8" thickBot="1">
      <c r="A54" s="139" t="s">
        <v>1446</v>
      </c>
      <c r="B54" s="1156"/>
      <c r="C54" s="1157"/>
      <c r="D54" s="1157"/>
      <c r="E54" s="1151" t="s">
        <v>337</v>
      </c>
      <c r="F54" s="1158"/>
      <c r="G54" s="1159" t="str">
        <f>IF(minergiep,"",IF(P48=TRUE,"1)",""))</f>
        <v/>
      </c>
      <c r="H54" s="1160"/>
      <c r="I54" s="1160"/>
      <c r="J54" s="1405"/>
      <c r="K54" s="435"/>
      <c r="L54" s="387" t="s">
        <v>1183</v>
      </c>
      <c r="M54" s="501">
        <v>9</v>
      </c>
      <c r="N54" s="393" t="str">
        <f>IF($P$50,Standardwerte!$L43,"")</f>
        <v/>
      </c>
      <c r="O54" s="393" t="str">
        <f>IF($P$46,Standardwerte!$O43,"")</f>
        <v/>
      </c>
      <c r="P54" s="10"/>
      <c r="Q54" s="10"/>
      <c r="R54" s="10"/>
      <c r="S54" s="10"/>
      <c r="T54" s="10"/>
      <c r="U54" s="10"/>
      <c r="V54" s="394"/>
      <c r="W54" s="343" t="s">
        <v>1446</v>
      </c>
      <c r="X54" s="12">
        <f>J54</f>
        <v>0</v>
      </c>
      <c r="Y54" s="12"/>
      <c r="Z54" s="12"/>
      <c r="AA54" s="12"/>
      <c r="AB54" s="386"/>
      <c r="AC54" s="436">
        <f ca="1">OFFSET(BI$99,Z51,Z50)</f>
        <v>0</v>
      </c>
      <c r="AD54" s="436">
        <f ca="1">OFFSET(BJ$99,Z51,Z50)</f>
        <v>0</v>
      </c>
      <c r="AE54" s="436">
        <f ca="1">OFFSET(BK$99,Z51,Z50)</f>
        <v>0</v>
      </c>
      <c r="AF54" s="12" t="s">
        <v>512</v>
      </c>
      <c r="AG54" s="386"/>
      <c r="AH54" s="386"/>
      <c r="AI54" s="386"/>
      <c r="AJ54" s="386"/>
      <c r="AK54" s="386"/>
      <c r="AL54" s="386"/>
      <c r="AM54" s="386"/>
      <c r="AN54" s="10"/>
      <c r="AO54" s="423">
        <f ca="1"/>
        <v>0</v>
      </c>
      <c r="AP54" s="50">
        <f ca="1"/>
        <v>0</v>
      </c>
      <c r="AQ54" s="50">
        <f ca="1"/>
        <v>0</v>
      </c>
      <c r="AR54" s="50">
        <f ca="1"/>
        <v>0</v>
      </c>
      <c r="AS54" s="424">
        <f ca="1"/>
        <v>0</v>
      </c>
      <c r="AT54" s="425">
        <f ca="1"/>
        <v>0</v>
      </c>
      <c r="AU54" s="426">
        <f ca="1"/>
        <v>0</v>
      </c>
      <c r="AV54" s="421">
        <f ca="1"/>
        <v>0</v>
      </c>
      <c r="AW54" s="427">
        <f ca="1"/>
        <v>0</v>
      </c>
      <c r="AX54" s="10"/>
      <c r="BH54" s="1116" t="s">
        <v>1580</v>
      </c>
      <c r="BI54" s="519">
        <v>0.12</v>
      </c>
      <c r="BJ54" s="386"/>
      <c r="BK54" s="390" t="str">
        <f>Standardwerte!I11</f>
        <v>Abit. monof.</v>
      </c>
      <c r="BL54" s="390">
        <v>50</v>
      </c>
      <c r="BM54" s="386"/>
      <c r="BN54" s="386"/>
      <c r="BO54" s="386"/>
      <c r="BP54" s="386"/>
      <c r="BQ54" s="386"/>
      <c r="BR54" s="386"/>
      <c r="BS54" s="386"/>
      <c r="BT54" s="386"/>
    </row>
    <row r="55" spans="1:72">
      <c r="A55" s="445"/>
      <c r="B55" s="1161" t="s">
        <v>1227</v>
      </c>
      <c r="C55" s="1162"/>
      <c r="D55" s="1162"/>
      <c r="E55" s="1162"/>
      <c r="F55" s="1162"/>
      <c r="G55" s="1162"/>
      <c r="H55" s="1162"/>
      <c r="I55" s="1162"/>
      <c r="J55" s="1163"/>
      <c r="K55" s="438"/>
      <c r="L55" s="1368">
        <f>IF(minergiep,Standardwerte!$BL$36,)</f>
        <v>0</v>
      </c>
      <c r="M55" s="501">
        <v>10</v>
      </c>
      <c r="N55" s="393" t="str">
        <f>IF($P$50,Standardwerte!$L44,"")</f>
        <v/>
      </c>
      <c r="O55" s="393" t="str">
        <f>IF($P$46,Standardwerte!$O44,"")</f>
        <v/>
      </c>
      <c r="P55" s="10"/>
      <c r="Q55" s="10"/>
      <c r="R55" s="10"/>
      <c r="S55" s="10"/>
      <c r="T55" s="10"/>
      <c r="U55" s="10"/>
      <c r="V55" s="394"/>
      <c r="W55" s="352"/>
      <c r="X55" s="386"/>
      <c r="Y55" s="386"/>
      <c r="Z55" s="386"/>
      <c r="AA55" s="386"/>
      <c r="AB55" s="386"/>
      <c r="AC55" s="10"/>
      <c r="AD55" s="10"/>
      <c r="AE55" s="10"/>
      <c r="AF55" s="10"/>
      <c r="AG55" s="386"/>
      <c r="AH55" s="386"/>
      <c r="AI55" s="386"/>
      <c r="AJ55" s="386"/>
      <c r="AK55" s="386"/>
      <c r="AL55" s="386"/>
      <c r="AM55" s="386"/>
      <c r="AN55" s="10"/>
      <c r="AO55" s="440">
        <f t="array" aca="1" ref="AO55:AW84" ca="1">OFFSET($BH$14,0,Y51,30,9)</f>
        <v>0</v>
      </c>
      <c r="AP55" s="441">
        <f ca="1"/>
        <v>0</v>
      </c>
      <c r="AQ55" s="441">
        <f ca="1"/>
        <v>0</v>
      </c>
      <c r="AR55" s="441">
        <f ca="1"/>
        <v>0</v>
      </c>
      <c r="AS55" s="441">
        <f ca="1"/>
        <v>0</v>
      </c>
      <c r="AT55" s="441">
        <f ca="1"/>
        <v>0</v>
      </c>
      <c r="AU55" s="441">
        <f ca="1"/>
        <v>0</v>
      </c>
      <c r="AV55" s="441">
        <f ca="1"/>
        <v>0</v>
      </c>
      <c r="AW55" s="442">
        <f ca="1"/>
        <v>0</v>
      </c>
      <c r="AX55" s="10"/>
      <c r="BH55" s="1116" t="s">
        <v>1581</v>
      </c>
      <c r="BI55" s="519">
        <v>0.18</v>
      </c>
      <c r="BJ55" s="386"/>
      <c r="BK55" s="390" t="str">
        <f>Standardwerte!I12</f>
        <v xml:space="preserve"> </v>
      </c>
      <c r="BL55" s="390">
        <v>20</v>
      </c>
      <c r="BM55" s="386"/>
      <c r="BN55" s="386"/>
      <c r="BO55" s="386"/>
      <c r="BP55" s="386"/>
      <c r="BQ55" s="386"/>
      <c r="BR55" s="386"/>
      <c r="BS55" s="386"/>
      <c r="BT55" s="386"/>
    </row>
    <row r="56" spans="1:72" ht="11.25" customHeight="1">
      <c r="A56" s="445"/>
      <c r="B56" s="1164">
        <f t="shared" ref="B56:B62" ca="1" si="2">AO56</f>
        <v>0</v>
      </c>
      <c r="C56" s="438"/>
      <c r="D56" s="438"/>
      <c r="E56" s="438"/>
      <c r="F56" s="438"/>
      <c r="G56" s="438"/>
      <c r="H56" s="1165" t="s">
        <v>647</v>
      </c>
      <c r="I56" s="1166"/>
      <c r="J56" s="1167"/>
      <c r="K56" s="498"/>
      <c r="L56" s="1368">
        <f>IF(minergiep,Standardwerte!$BL$37,)</f>
        <v>0</v>
      </c>
      <c r="M56" s="501">
        <v>11</v>
      </c>
      <c r="N56" s="393" t="str">
        <f>IF($P$50,Standardwerte!$L45,"")</f>
        <v/>
      </c>
      <c r="O56" s="393" t="str">
        <f>IF($P$46,Standardwerte!$O45,"")</f>
        <v/>
      </c>
      <c r="P56" s="10"/>
      <c r="Q56" s="10"/>
      <c r="R56" s="10"/>
      <c r="S56" s="10"/>
      <c r="T56" s="10"/>
      <c r="U56" s="10"/>
      <c r="V56" s="394"/>
      <c r="W56" s="352"/>
      <c r="X56" s="386"/>
      <c r="Y56" s="386"/>
      <c r="Z56" s="386"/>
      <c r="AA56" s="386"/>
      <c r="AB56" s="386"/>
      <c r="AC56" s="386" t="s">
        <v>1406</v>
      </c>
      <c r="AD56" s="386"/>
      <c r="AE56" s="386"/>
      <c r="AF56" s="386"/>
      <c r="AG56" s="386"/>
      <c r="AH56" s="386"/>
      <c r="AI56" s="386"/>
      <c r="AJ56" s="386"/>
      <c r="AK56" s="386"/>
      <c r="AL56" s="386"/>
      <c r="AM56" s="386"/>
      <c r="AN56" s="10"/>
      <c r="AO56" s="443">
        <f ca="1"/>
        <v>0</v>
      </c>
      <c r="AP56" s="444">
        <f ca="1"/>
        <v>0</v>
      </c>
      <c r="AQ56" s="444">
        <f ca="1"/>
        <v>0</v>
      </c>
      <c r="AR56" s="444">
        <f ca="1"/>
        <v>0</v>
      </c>
      <c r="AS56" s="444">
        <f ca="1"/>
        <v>0</v>
      </c>
      <c r="AT56" s="444">
        <f ca="1"/>
        <v>0</v>
      </c>
      <c r="AU56" s="445">
        <f ca="1"/>
        <v>0</v>
      </c>
      <c r="AV56" s="446">
        <f ca="1"/>
        <v>0</v>
      </c>
      <c r="AW56" s="434">
        <f ca="1"/>
        <v>0</v>
      </c>
      <c r="AX56" s="10"/>
      <c r="BH56" s="1116" t="s">
        <v>1582</v>
      </c>
      <c r="BI56" s="519">
        <v>0.24</v>
      </c>
      <c r="BJ56" s="386"/>
      <c r="BK56" s="390" t="str">
        <f>Standardwerte!I13</f>
        <v xml:space="preserve"> </v>
      </c>
      <c r="BL56" s="390">
        <v>10</v>
      </c>
      <c r="BM56" s="386"/>
      <c r="BN56" s="386"/>
      <c r="BO56" s="386"/>
      <c r="BP56" s="386"/>
      <c r="BQ56" s="386"/>
      <c r="BR56" s="386"/>
      <c r="BS56" s="386"/>
      <c r="BT56" s="386"/>
    </row>
    <row r="57" spans="1:72" ht="11.25" customHeight="1">
      <c r="A57" s="445" t="s">
        <v>19</v>
      </c>
      <c r="B57" s="1168">
        <f t="shared" ca="1" si="2"/>
        <v>0</v>
      </c>
      <c r="C57" s="438"/>
      <c r="D57" s="438"/>
      <c r="E57" s="438"/>
      <c r="F57" s="438"/>
      <c r="G57" s="438"/>
      <c r="H57" s="1169"/>
      <c r="I57" s="438"/>
      <c r="J57" s="1170"/>
      <c r="K57" s="438"/>
      <c r="L57" s="1369">
        <f>IF(E71=L56,2,1)</f>
        <v>2</v>
      </c>
      <c r="M57" s="501">
        <v>12</v>
      </c>
      <c r="N57" s="439" t="str">
        <f>IF($P$50,Standardwerte!$L46,"")</f>
        <v/>
      </c>
      <c r="O57" s="439" t="str">
        <f>IF($P$46,Standardwerte!$O46,"")</f>
        <v/>
      </c>
      <c r="P57" s="10"/>
      <c r="Q57" s="10"/>
      <c r="R57" s="10"/>
      <c r="S57" s="10"/>
      <c r="T57" s="10"/>
      <c r="U57" s="10"/>
      <c r="V57" s="394"/>
      <c r="W57" s="352" t="s">
        <v>589</v>
      </c>
      <c r="X57" s="12">
        <f>M58</f>
        <v>5</v>
      </c>
      <c r="Y57" s="12">
        <f ca="1">M61</f>
        <v>0</v>
      </c>
      <c r="Z57" s="12"/>
      <c r="AA57" s="12" t="s">
        <v>1328</v>
      </c>
      <c r="AB57" s="386"/>
      <c r="AC57" s="12">
        <f ca="1">OFFSET($BI$51,Y57,0)</f>
        <v>0</v>
      </c>
      <c r="AD57" s="386"/>
      <c r="AE57" s="386"/>
      <c r="AF57" s="386"/>
      <c r="AG57" s="386"/>
      <c r="AH57" s="386"/>
      <c r="AI57" s="386"/>
      <c r="AJ57" s="386"/>
      <c r="AK57" s="386"/>
      <c r="AL57" s="386"/>
      <c r="AM57" s="386"/>
      <c r="AN57" s="10"/>
      <c r="AO57" s="447">
        <f ca="1"/>
        <v>0</v>
      </c>
      <c r="AP57" s="444">
        <f ca="1"/>
        <v>0</v>
      </c>
      <c r="AQ57" s="444">
        <f ca="1"/>
        <v>0</v>
      </c>
      <c r="AR57" s="444">
        <f ca="1"/>
        <v>0</v>
      </c>
      <c r="AS57" s="444">
        <f ca="1"/>
        <v>0</v>
      </c>
      <c r="AT57" s="444">
        <f ca="1"/>
        <v>0</v>
      </c>
      <c r="AU57" s="444">
        <f ca="1"/>
        <v>0</v>
      </c>
      <c r="AV57" s="444">
        <f ca="1"/>
        <v>0</v>
      </c>
      <c r="AW57" s="434">
        <f ca="1"/>
        <v>0</v>
      </c>
      <c r="AX57" s="10"/>
      <c r="BH57" s="1116" t="s">
        <v>1583</v>
      </c>
      <c r="BI57" s="519">
        <v>0.3</v>
      </c>
      <c r="BJ57" s="386"/>
      <c r="BK57" s="390" t="str">
        <f>Standardwerte!I14</f>
        <v xml:space="preserve"> </v>
      </c>
      <c r="BL57" s="390">
        <v>0</v>
      </c>
      <c r="BM57" s="386"/>
      <c r="BN57" s="386"/>
      <c r="BO57" s="386"/>
      <c r="BP57" s="386"/>
      <c r="BQ57" s="386"/>
      <c r="BR57" s="386"/>
      <c r="BS57" s="386"/>
      <c r="BT57" s="386"/>
    </row>
    <row r="58" spans="1:72" ht="11.25" customHeight="1">
      <c r="A58" s="445"/>
      <c r="B58" s="1168">
        <f t="shared" ca="1" si="2"/>
        <v>0</v>
      </c>
      <c r="C58" s="438"/>
      <c r="D58" s="438"/>
      <c r="E58" s="438"/>
      <c r="F58" s="438"/>
      <c r="G58" s="1159" t="str">
        <f>IF(minergiep,"",IF(P48=TRUE,"1)",""))</f>
        <v/>
      </c>
      <c r="H58" s="1855" t="str">
        <f ca="1">OFFSET(N58,M61-1,0)</f>
        <v/>
      </c>
      <c r="I58" s="1856"/>
      <c r="J58" s="1857"/>
      <c r="K58" s="438"/>
      <c r="L58" s="499" t="s">
        <v>1405</v>
      </c>
      <c r="M58" s="590">
        <v>5</v>
      </c>
      <c r="N58" s="390" t="str">
        <f>IF($P$50,AO78,"")</f>
        <v/>
      </c>
      <c r="P58" s="10"/>
      <c r="Q58" s="10"/>
      <c r="R58" s="10"/>
      <c r="S58" s="10"/>
      <c r="T58" s="10"/>
      <c r="U58" s="10"/>
      <c r="V58" s="394"/>
      <c r="W58" s="352"/>
      <c r="X58" s="386"/>
      <c r="Y58" s="386"/>
      <c r="Z58" s="386"/>
      <c r="AA58" s="386"/>
      <c r="AB58" s="386"/>
      <c r="AC58" s="386"/>
      <c r="AD58" s="386"/>
      <c r="AE58" s="386"/>
      <c r="AF58" s="386"/>
      <c r="AG58" s="386"/>
      <c r="AH58" s="386"/>
      <c r="AI58" s="386"/>
      <c r="AJ58" s="386"/>
      <c r="AK58" s="386"/>
      <c r="AL58" s="386"/>
      <c r="AM58" s="386"/>
      <c r="AN58" s="10"/>
      <c r="AO58" s="447">
        <f ca="1"/>
        <v>0</v>
      </c>
      <c r="AP58" s="444">
        <f ca="1"/>
        <v>0</v>
      </c>
      <c r="AQ58" s="444">
        <f ca="1"/>
        <v>0</v>
      </c>
      <c r="AR58" s="444">
        <f ca="1"/>
        <v>0</v>
      </c>
      <c r="AS58" s="444">
        <f ca="1"/>
        <v>0</v>
      </c>
      <c r="AT58" s="444">
        <f ca="1"/>
        <v>0</v>
      </c>
      <c r="AU58" s="444">
        <f ca="1"/>
        <v>0</v>
      </c>
      <c r="AV58" s="448">
        <f ca="1"/>
        <v>0</v>
      </c>
      <c r="AW58" s="434">
        <f ca="1"/>
        <v>0</v>
      </c>
      <c r="AX58" s="10"/>
      <c r="BH58" s="1117" t="s">
        <v>474</v>
      </c>
      <c r="BI58" s="398">
        <v>0.36</v>
      </c>
      <c r="BJ58" s="386"/>
      <c r="BK58" s="390" t="str">
        <f>Standardwerte!I15</f>
        <v xml:space="preserve"> </v>
      </c>
      <c r="BL58" s="390">
        <v>0</v>
      </c>
      <c r="BM58" s="386"/>
      <c r="BN58" s="386"/>
      <c r="BO58" s="386"/>
      <c r="BP58" s="386"/>
      <c r="BQ58" s="386"/>
      <c r="BR58" s="386"/>
      <c r="BS58" s="386"/>
      <c r="BT58" s="386"/>
    </row>
    <row r="59" spans="1:72" ht="11.25" customHeight="1">
      <c r="A59" s="445"/>
      <c r="B59" s="1168">
        <f t="shared" ca="1" si="2"/>
        <v>0</v>
      </c>
      <c r="C59" s="438"/>
      <c r="D59" s="438"/>
      <c r="E59" s="438"/>
      <c r="F59" s="438"/>
      <c r="G59" s="438"/>
      <c r="H59" s="438"/>
      <c r="I59" s="438"/>
      <c r="J59" s="1170"/>
      <c r="K59" s="438"/>
      <c r="L59" s="501" t="s">
        <v>1407</v>
      </c>
      <c r="M59" s="390">
        <f ca="1">AO75</f>
        <v>0</v>
      </c>
      <c r="N59" s="390" t="str">
        <f t="shared" ref="N59:N64" si="3">IF($P$50,AO79,"")</f>
        <v/>
      </c>
      <c r="P59" s="10"/>
      <c r="Q59" s="10"/>
      <c r="R59" s="10"/>
      <c r="S59" s="10"/>
      <c r="T59" s="10"/>
      <c r="U59" s="10"/>
      <c r="V59" s="394"/>
      <c r="W59" s="352"/>
      <c r="X59" s="386"/>
      <c r="Y59" s="386"/>
      <c r="Z59" s="386"/>
      <c r="AA59" s="386"/>
      <c r="AB59" s="386"/>
      <c r="AC59" s="386"/>
      <c r="AD59" s="386"/>
      <c r="AE59" s="386"/>
      <c r="AF59" s="386"/>
      <c r="AG59" s="386"/>
      <c r="AH59" s="386"/>
      <c r="AI59" s="386"/>
      <c r="AJ59" s="386"/>
      <c r="AK59" s="386"/>
      <c r="AL59" s="386"/>
      <c r="AM59" s="386"/>
      <c r="AN59" s="10"/>
      <c r="AO59" s="447">
        <f ca="1"/>
        <v>0</v>
      </c>
      <c r="AP59" s="444">
        <f ca="1"/>
        <v>0</v>
      </c>
      <c r="AQ59" s="444">
        <f ca="1"/>
        <v>0</v>
      </c>
      <c r="AR59" s="444">
        <f ca="1"/>
        <v>0</v>
      </c>
      <c r="AS59" s="444">
        <f ca="1"/>
        <v>0</v>
      </c>
      <c r="AT59" s="444">
        <f ca="1"/>
        <v>0</v>
      </c>
      <c r="AU59" s="444">
        <f ca="1"/>
        <v>0</v>
      </c>
      <c r="AV59" s="444">
        <f ca="1"/>
        <v>0</v>
      </c>
      <c r="AW59" s="434">
        <f ca="1"/>
        <v>0</v>
      </c>
      <c r="AX59" s="10"/>
      <c r="BH59" s="386"/>
      <c r="BI59" s="386"/>
      <c r="BJ59" s="386"/>
      <c r="BK59" s="390" t="str">
        <f>Standardwerte!I16</f>
        <v xml:space="preserve"> </v>
      </c>
      <c r="BL59" s="390">
        <v>0</v>
      </c>
      <c r="BM59" s="386"/>
      <c r="BN59" s="386"/>
      <c r="BO59" s="386"/>
      <c r="BP59" s="386"/>
      <c r="BQ59" s="386"/>
      <c r="BR59" s="386"/>
      <c r="BS59" s="386"/>
      <c r="BT59" s="386"/>
    </row>
    <row r="60" spans="1:72" ht="11.25" customHeight="1">
      <c r="A60" s="445"/>
      <c r="B60" s="1168">
        <f t="shared" ca="1" si="2"/>
        <v>0</v>
      </c>
      <c r="C60" s="438"/>
      <c r="D60" s="438"/>
      <c r="E60" s="438"/>
      <c r="F60" s="438"/>
      <c r="G60" s="438"/>
      <c r="H60" s="438"/>
      <c r="I60" s="438"/>
      <c r="J60" s="1170"/>
      <c r="K60" s="438"/>
      <c r="L60" s="501" t="s">
        <v>473</v>
      </c>
      <c r="M60" s="390">
        <v>5</v>
      </c>
      <c r="N60" s="390" t="str">
        <f t="shared" si="3"/>
        <v/>
      </c>
      <c r="P60" s="10"/>
      <c r="Q60" s="10"/>
      <c r="R60" s="10"/>
      <c r="S60" s="10"/>
      <c r="T60" s="10"/>
      <c r="U60" s="10"/>
      <c r="V60" s="394"/>
      <c r="W60" s="352"/>
      <c r="X60" s="386"/>
      <c r="Y60" s="386"/>
      <c r="Z60" s="386"/>
      <c r="AA60" s="386"/>
      <c r="AB60" s="386"/>
      <c r="AC60" s="386"/>
      <c r="AD60" s="386"/>
      <c r="AE60" s="386"/>
      <c r="AF60" s="386"/>
      <c r="AG60" s="386"/>
      <c r="AH60" s="386"/>
      <c r="AI60" s="386"/>
      <c r="AJ60" s="386"/>
      <c r="AK60" s="386"/>
      <c r="AL60" s="386"/>
      <c r="AM60" s="386"/>
      <c r="AN60" s="10"/>
      <c r="AO60" s="447">
        <f ca="1"/>
        <v>0</v>
      </c>
      <c r="AP60" s="444">
        <f ca="1"/>
        <v>0</v>
      </c>
      <c r="AQ60" s="444">
        <f ca="1"/>
        <v>0</v>
      </c>
      <c r="AR60" s="444">
        <f ca="1"/>
        <v>0</v>
      </c>
      <c r="AS60" s="444">
        <f ca="1"/>
        <v>0</v>
      </c>
      <c r="AT60" s="444">
        <f ca="1"/>
        <v>0</v>
      </c>
      <c r="AU60" s="444">
        <f ca="1"/>
        <v>0</v>
      </c>
      <c r="AV60" s="444">
        <f ca="1"/>
        <v>0</v>
      </c>
      <c r="AW60" s="434">
        <f ca="1"/>
        <v>0</v>
      </c>
      <c r="AX60" s="10"/>
      <c r="BH60" s="481" t="s">
        <v>633</v>
      </c>
      <c r="BI60" s="386"/>
      <c r="BJ60" s="386"/>
      <c r="BK60" s="390" t="str">
        <f>Standardwerte!I17</f>
        <v xml:space="preserve"> </v>
      </c>
      <c r="BL60" s="390">
        <v>0</v>
      </c>
      <c r="BM60" s="386"/>
      <c r="BN60" s="386"/>
      <c r="BO60" s="386"/>
      <c r="BP60" s="386"/>
      <c r="BQ60" s="386"/>
      <c r="BR60" s="386"/>
      <c r="BS60" s="386"/>
      <c r="BT60" s="386"/>
    </row>
    <row r="61" spans="1:72" ht="11.25" customHeight="1">
      <c r="A61" s="445"/>
      <c r="B61" s="1168">
        <f t="shared" ca="1" si="2"/>
        <v>0</v>
      </c>
      <c r="C61" s="438"/>
      <c r="D61" s="438"/>
      <c r="E61" s="438"/>
      <c r="F61" s="438"/>
      <c r="G61" s="438"/>
      <c r="H61" s="438"/>
      <c r="I61" s="429"/>
      <c r="J61" s="1170"/>
      <c r="K61" s="438"/>
      <c r="L61" s="501" t="s">
        <v>582</v>
      </c>
      <c r="M61" s="390">
        <f ca="1">IF(P48,MIN(M59:M60),MIN(M58:M59))</f>
        <v>0</v>
      </c>
      <c r="N61" s="390" t="str">
        <f t="shared" si="3"/>
        <v/>
      </c>
      <c r="P61" s="10"/>
      <c r="Q61" s="10"/>
      <c r="R61" s="10"/>
      <c r="S61" s="10"/>
      <c r="T61" s="10"/>
      <c r="U61" s="10"/>
      <c r="V61" s="394"/>
      <c r="W61" s="352"/>
      <c r="X61" s="386"/>
      <c r="Y61" s="386"/>
      <c r="Z61" s="386"/>
      <c r="AA61" s="386"/>
      <c r="AB61" s="386"/>
      <c r="AC61" s="386"/>
      <c r="AD61" s="386"/>
      <c r="AE61" s="386"/>
      <c r="AF61" s="386"/>
      <c r="AG61" s="386"/>
      <c r="AH61" s="386"/>
      <c r="AI61" s="386"/>
      <c r="AJ61" s="386"/>
      <c r="AK61" s="386"/>
      <c r="AL61" s="386"/>
      <c r="AM61" s="386"/>
      <c r="AN61" s="10"/>
      <c r="AO61" s="449">
        <f ca="1"/>
        <v>0</v>
      </c>
      <c r="AP61" s="444">
        <f ca="1"/>
        <v>0</v>
      </c>
      <c r="AQ61" s="444">
        <f ca="1"/>
        <v>0</v>
      </c>
      <c r="AR61" s="444">
        <f ca="1"/>
        <v>0</v>
      </c>
      <c r="AS61" s="444">
        <f ca="1"/>
        <v>0</v>
      </c>
      <c r="AT61" s="444">
        <f ca="1"/>
        <v>0</v>
      </c>
      <c r="AU61" s="444">
        <f ca="1"/>
        <v>0</v>
      </c>
      <c r="AV61" s="386">
        <f ca="1"/>
        <v>0</v>
      </c>
      <c r="AW61" s="434">
        <f ca="1"/>
        <v>0</v>
      </c>
      <c r="AX61" s="10"/>
      <c r="BH61" s="1118" t="s">
        <v>619</v>
      </c>
      <c r="BI61" s="387">
        <v>0.8</v>
      </c>
      <c r="BJ61" s="467"/>
      <c r="BK61" s="390" t="str">
        <f>Standardwerte!I18</f>
        <v xml:space="preserve"> </v>
      </c>
      <c r="BL61" s="390">
        <v>0</v>
      </c>
      <c r="BM61" s="467"/>
      <c r="BN61" s="467"/>
      <c r="BO61" s="467"/>
      <c r="BP61" s="467"/>
      <c r="BQ61" s="467"/>
      <c r="BR61" s="467"/>
      <c r="BS61" s="467"/>
      <c r="BT61" s="467"/>
    </row>
    <row r="62" spans="1:72" ht="11.25" customHeight="1">
      <c r="A62" s="445"/>
      <c r="B62" s="1171">
        <f t="shared" ca="1" si="2"/>
        <v>0</v>
      </c>
      <c r="C62" s="1172"/>
      <c r="D62" s="1172"/>
      <c r="E62" s="1172"/>
      <c r="F62" s="1172"/>
      <c r="G62" s="1172"/>
      <c r="H62" s="1172"/>
      <c r="I62" s="1172"/>
      <c r="J62" s="1173"/>
      <c r="K62" s="438"/>
      <c r="L62" s="501"/>
      <c r="M62" s="390"/>
      <c r="N62" s="390" t="str">
        <f t="shared" si="3"/>
        <v/>
      </c>
      <c r="P62" s="10"/>
      <c r="Q62" s="10"/>
      <c r="R62" s="10"/>
      <c r="S62" s="10"/>
      <c r="T62" s="10"/>
      <c r="U62" s="10"/>
      <c r="V62" s="394"/>
      <c r="W62" s="352"/>
      <c r="X62" s="386"/>
      <c r="Y62" s="386"/>
      <c r="Z62" s="386"/>
      <c r="AA62" s="386"/>
      <c r="AB62" s="386"/>
      <c r="AC62" s="386" t="s">
        <v>1423</v>
      </c>
      <c r="AD62" s="386"/>
      <c r="AE62" s="386"/>
      <c r="AF62" s="386"/>
      <c r="AG62" s="386"/>
      <c r="AH62" s="386"/>
      <c r="AI62" s="386"/>
      <c r="AJ62" s="386"/>
      <c r="AK62" s="386"/>
      <c r="AL62" s="386"/>
      <c r="AM62" s="386"/>
      <c r="AN62" s="10"/>
      <c r="AO62" s="450">
        <f ca="1"/>
        <v>0</v>
      </c>
      <c r="AP62" s="451">
        <f ca="1"/>
        <v>0</v>
      </c>
      <c r="AQ62" s="451">
        <f ca="1"/>
        <v>0</v>
      </c>
      <c r="AR62" s="451">
        <f ca="1"/>
        <v>0</v>
      </c>
      <c r="AS62" s="451">
        <f ca="1"/>
        <v>0</v>
      </c>
      <c r="AT62" s="451">
        <f ca="1"/>
        <v>0</v>
      </c>
      <c r="AU62" s="451">
        <f ca="1"/>
        <v>0</v>
      </c>
      <c r="AV62" s="451">
        <f ca="1"/>
        <v>0</v>
      </c>
      <c r="AW62" s="452">
        <f ca="1"/>
        <v>0</v>
      </c>
      <c r="AX62" s="10"/>
      <c r="BH62" s="1119" t="s">
        <v>620</v>
      </c>
      <c r="BI62" s="545">
        <v>1</v>
      </c>
      <c r="BJ62" s="467"/>
      <c r="BK62" s="390" t="str">
        <f>Standardwerte!I19</f>
        <v xml:space="preserve"> </v>
      </c>
      <c r="BL62" s="898">
        <v>0</v>
      </c>
      <c r="BM62" s="467"/>
      <c r="BN62" s="467"/>
      <c r="BO62" s="467"/>
      <c r="BP62" s="467"/>
      <c r="BQ62" s="467"/>
      <c r="BR62" s="467"/>
      <c r="BS62" s="467"/>
      <c r="BT62" s="467"/>
    </row>
    <row r="63" spans="1:72" ht="15.75" customHeight="1">
      <c r="A63" s="626" t="s">
        <v>589</v>
      </c>
      <c r="B63" s="1206" t="s">
        <v>26</v>
      </c>
      <c r="C63" s="1162"/>
      <c r="D63" s="1162"/>
      <c r="E63" s="364"/>
      <c r="F63" s="364"/>
      <c r="G63" s="1159" t="str">
        <f>IF(minergiep,"",IF(P48=TRUE,"1)",""))</f>
        <v/>
      </c>
      <c r="H63" s="1843">
        <f>INDEX(Standardwerte!$BT$35:$BT$39,M65)</f>
        <v>1</v>
      </c>
      <c r="I63" s="1858"/>
      <c r="J63" s="1859"/>
      <c r="K63" s="506"/>
      <c r="L63" s="501"/>
      <c r="M63" s="390"/>
      <c r="N63" s="390" t="str">
        <f t="shared" si="3"/>
        <v/>
      </c>
      <c r="P63" s="10"/>
      <c r="Q63" s="10"/>
      <c r="R63" s="10"/>
      <c r="S63" s="10"/>
      <c r="T63" s="10"/>
      <c r="U63" s="10"/>
      <c r="V63" s="394"/>
      <c r="W63" s="363" t="s">
        <v>564</v>
      </c>
      <c r="X63" s="12">
        <f>M65</f>
        <v>1</v>
      </c>
      <c r="Y63" s="12">
        <f ca="1">M67</f>
        <v>0</v>
      </c>
      <c r="Z63" s="12"/>
      <c r="AA63" s="12" t="s">
        <v>1329</v>
      </c>
      <c r="AB63" s="386"/>
      <c r="AC63" s="892">
        <f ca="1">IF(AND(Y63=2,E65&gt;0),0.8,1)</f>
        <v>1</v>
      </c>
      <c r="AD63" s="386"/>
      <c r="AE63" s="386"/>
      <c r="AF63" s="386"/>
      <c r="AG63" s="386"/>
      <c r="AH63" s="386"/>
      <c r="AI63" s="386"/>
      <c r="AJ63" s="386"/>
      <c r="AK63" s="386"/>
      <c r="AL63" s="386"/>
      <c r="AM63" s="386"/>
      <c r="AN63" s="10"/>
      <c r="AO63" s="453">
        <f ca="1"/>
        <v>0</v>
      </c>
      <c r="AP63" s="454">
        <f ca="1"/>
        <v>0</v>
      </c>
      <c r="AQ63" s="454">
        <f ca="1"/>
        <v>0</v>
      </c>
      <c r="AR63" s="455">
        <f ca="1"/>
        <v>0</v>
      </c>
      <c r="AS63" s="455">
        <f ca="1"/>
        <v>0</v>
      </c>
      <c r="AT63" s="455">
        <f ca="1"/>
        <v>0</v>
      </c>
      <c r="AU63" s="414">
        <f ca="1"/>
        <v>0</v>
      </c>
      <c r="AV63" s="414">
        <f ca="1"/>
        <v>0</v>
      </c>
      <c r="AW63" s="417">
        <f ca="1"/>
        <v>0</v>
      </c>
      <c r="AX63" s="10"/>
      <c r="BH63" s="467"/>
      <c r="BI63" s="467"/>
      <c r="BJ63" s="467"/>
      <c r="BK63" s="390" t="str">
        <f>Standardwerte!I20</f>
        <v xml:space="preserve"> </v>
      </c>
      <c r="BL63" s="898">
        <v>0</v>
      </c>
      <c r="BM63" s="467"/>
      <c r="BN63" s="467"/>
      <c r="BO63" s="467"/>
      <c r="BP63" s="467"/>
      <c r="BQ63" s="467"/>
      <c r="BR63" s="467"/>
      <c r="BS63" s="467"/>
      <c r="BT63" s="467"/>
    </row>
    <row r="64" spans="1:72">
      <c r="A64" s="626"/>
      <c r="B64" s="443" t="str">
        <f>IF(M65=2,LER_Text1,"")</f>
        <v/>
      </c>
      <c r="C64" s="355"/>
      <c r="D64" s="355"/>
      <c r="E64" s="365"/>
      <c r="F64" s="365"/>
      <c r="G64" s="365"/>
      <c r="H64" s="1564"/>
      <c r="I64" s="365"/>
      <c r="J64" s="366"/>
      <c r="K64" s="506"/>
      <c r="L64" s="504"/>
      <c r="M64" s="493"/>
      <c r="N64" s="390" t="str">
        <f t="shared" si="3"/>
        <v/>
      </c>
      <c r="P64" s="10"/>
      <c r="Q64" s="10"/>
      <c r="R64" s="10"/>
      <c r="S64" s="10"/>
      <c r="T64" s="10"/>
      <c r="U64" s="10"/>
      <c r="V64" s="394"/>
      <c r="W64" s="363"/>
      <c r="X64" s="386"/>
      <c r="Y64" s="386"/>
      <c r="Z64" s="386"/>
      <c r="AA64" s="386"/>
      <c r="AB64" s="386"/>
      <c r="AC64" s="386"/>
      <c r="AD64" s="386"/>
      <c r="AE64" s="386"/>
      <c r="AF64" s="386"/>
      <c r="AG64" s="386"/>
      <c r="AH64" s="386"/>
      <c r="AI64" s="386"/>
      <c r="AJ64" s="386"/>
      <c r="AK64" s="386"/>
      <c r="AL64" s="386"/>
      <c r="AM64" s="386"/>
      <c r="AN64" s="10"/>
      <c r="AO64" s="443">
        <f ca="1"/>
        <v>0</v>
      </c>
      <c r="AP64" s="444">
        <f ca="1"/>
        <v>0</v>
      </c>
      <c r="AQ64" s="444">
        <f ca="1"/>
        <v>0</v>
      </c>
      <c r="AR64" s="456">
        <f ca="1"/>
        <v>0</v>
      </c>
      <c r="AS64" s="456">
        <f ca="1"/>
        <v>0</v>
      </c>
      <c r="AT64" s="456">
        <f ca="1"/>
        <v>0</v>
      </c>
      <c r="AU64" s="386">
        <f ca="1"/>
        <v>0</v>
      </c>
      <c r="AV64" s="386">
        <f ca="1"/>
        <v>0</v>
      </c>
      <c r="AW64" s="434">
        <f ca="1"/>
        <v>0</v>
      </c>
      <c r="AX64" s="10"/>
      <c r="BH64" s="397" t="s">
        <v>1472</v>
      </c>
      <c r="BI64" s="386"/>
      <c r="BJ64" s="386"/>
      <c r="BK64" s="493" t="str">
        <f>Standardwerte!I21</f>
        <v xml:space="preserve"> </v>
      </c>
      <c r="BL64" s="629">
        <v>0</v>
      </c>
      <c r="BM64" s="386"/>
      <c r="BN64" s="386"/>
      <c r="BO64" s="386"/>
      <c r="BP64" s="386"/>
      <c r="BQ64" s="386"/>
      <c r="BR64" s="386"/>
      <c r="BS64" s="386"/>
      <c r="BT64" s="386"/>
    </row>
    <row r="65" spans="1:72" ht="15.75" customHeight="1">
      <c r="A65" s="627"/>
      <c r="B65" s="1736" t="str">
        <f>IF(M65=1,LER_Text0,IF(M65=2,LER_Text2,LER_Text3))</f>
        <v>La protezione contro il giaccio deve essere garantita</v>
      </c>
      <c r="C65" s="361"/>
      <c r="D65" s="1566"/>
      <c r="E65" s="1567"/>
      <c r="F65" s="1738" t="str">
        <f>IF(M65=1,LER_Text6,IF(M65=2,"m","%"))</f>
        <v>Compilare la casella E25</v>
      </c>
      <c r="G65" s="361"/>
      <c r="H65" s="1568" t="str">
        <f>IF(M65&gt;2,LER_Text5,"")</f>
        <v/>
      </c>
      <c r="I65" s="361"/>
      <c r="J65" s="362"/>
      <c r="K65" s="438"/>
      <c r="L65" s="507" t="s">
        <v>1405</v>
      </c>
      <c r="M65" s="590">
        <v>1</v>
      </c>
      <c r="N65" s="508">
        <f ca="1">IF(minergiep,"no",AP78)</f>
        <v>0</v>
      </c>
      <c r="Q65" s="509"/>
      <c r="R65" s="10"/>
      <c r="S65" s="10"/>
      <c r="T65" s="10"/>
      <c r="U65" s="10"/>
      <c r="V65" s="394"/>
      <c r="W65" s="367"/>
      <c r="X65" s="386"/>
      <c r="Y65" s="386"/>
      <c r="Z65" s="386"/>
      <c r="AA65" s="386"/>
      <c r="AB65" s="386"/>
      <c r="AC65" s="10"/>
      <c r="AD65" s="10"/>
      <c r="AE65" s="10"/>
      <c r="AF65" s="386"/>
      <c r="AG65" s="386"/>
      <c r="AH65" s="386"/>
      <c r="AI65" s="386"/>
      <c r="AJ65" s="386"/>
      <c r="AK65" s="386"/>
      <c r="AL65" s="386"/>
      <c r="AM65" s="386"/>
      <c r="AN65" s="10"/>
      <c r="AO65" s="443">
        <f ca="1"/>
        <v>0</v>
      </c>
      <c r="AP65" s="444">
        <f ca="1"/>
        <v>0</v>
      </c>
      <c r="AQ65" s="446">
        <f ca="1"/>
        <v>0</v>
      </c>
      <c r="AR65" s="386">
        <f ca="1"/>
        <v>0</v>
      </c>
      <c r="AS65" s="445">
        <f ca="1"/>
        <v>0</v>
      </c>
      <c r="AT65" s="444">
        <f ca="1"/>
        <v>0</v>
      </c>
      <c r="AU65" s="386">
        <f ca="1"/>
        <v>0</v>
      </c>
      <c r="AV65" s="386">
        <f ca="1"/>
        <v>0</v>
      </c>
      <c r="AW65" s="434">
        <f ca="1"/>
        <v>0</v>
      </c>
      <c r="AX65" s="10"/>
      <c r="BH65" s="397" t="s">
        <v>542</v>
      </c>
      <c r="BI65" s="386"/>
      <c r="BJ65" s="386"/>
      <c r="BK65" s="386"/>
      <c r="BL65" s="386"/>
      <c r="BM65" s="386"/>
      <c r="BN65" s="386"/>
      <c r="BO65" s="386"/>
      <c r="BP65" s="386"/>
      <c r="BQ65" s="386"/>
      <c r="BR65" s="386"/>
      <c r="BS65" s="386"/>
      <c r="BT65" s="386"/>
    </row>
    <row r="66" spans="1:72" ht="15.75" customHeight="1">
      <c r="A66" s="628" t="s">
        <v>564</v>
      </c>
      <c r="B66" s="1207" t="s">
        <v>1109</v>
      </c>
      <c r="C66" s="364"/>
      <c r="D66" s="364"/>
      <c r="E66" s="1175" t="s">
        <v>753</v>
      </c>
      <c r="F66" s="1145"/>
      <c r="G66" s="364"/>
      <c r="H66" s="1860"/>
      <c r="I66" s="1861"/>
      <c r="J66" s="1862"/>
      <c r="K66" s="506"/>
      <c r="L66" s="390" t="s">
        <v>1407</v>
      </c>
      <c r="M66" s="390">
        <f ca="1">IF(P48,1,AP75)</f>
        <v>0</v>
      </c>
      <c r="N66" s="511">
        <f ca="1">IF(minergiep,"si",AP79)</f>
        <v>0</v>
      </c>
      <c r="W66" s="368" t="s">
        <v>565</v>
      </c>
      <c r="X66" s="12"/>
      <c r="Y66" s="12"/>
      <c r="Z66" s="12"/>
      <c r="AA66" s="12"/>
      <c r="AB66" s="386"/>
      <c r="AC66" s="386"/>
      <c r="AD66" s="386"/>
      <c r="AE66" s="386"/>
      <c r="AF66" s="386"/>
      <c r="AG66" s="386"/>
      <c r="AH66" s="386"/>
      <c r="AI66" s="386"/>
      <c r="AJ66" s="386"/>
      <c r="AK66" s="386"/>
      <c r="AL66" s="386"/>
      <c r="AM66" s="386"/>
      <c r="AN66" s="10"/>
      <c r="AO66" s="457">
        <f ca="1"/>
        <v>0</v>
      </c>
      <c r="AP66" s="455">
        <f ca="1"/>
        <v>0</v>
      </c>
      <c r="AQ66" s="455">
        <f ca="1"/>
        <v>0</v>
      </c>
      <c r="AR66" s="458">
        <f ca="1"/>
        <v>0</v>
      </c>
      <c r="AS66" s="414">
        <f ca="1"/>
        <v>0</v>
      </c>
      <c r="AT66" s="459">
        <f ca="1"/>
        <v>0</v>
      </c>
      <c r="AU66" s="460">
        <f ca="1"/>
        <v>0</v>
      </c>
      <c r="AV66" s="461">
        <f ca="1"/>
        <v>0</v>
      </c>
      <c r="AW66" s="462">
        <f ca="1"/>
        <v>0</v>
      </c>
      <c r="AX66" s="10"/>
      <c r="BH66" s="386"/>
      <c r="BI66" s="386"/>
      <c r="BJ66" s="386"/>
      <c r="BK66" s="386"/>
      <c r="BL66" s="386"/>
      <c r="BM66" s="386"/>
      <c r="BN66" s="386"/>
      <c r="BO66" s="386"/>
      <c r="BP66" s="386"/>
      <c r="BQ66" s="386"/>
      <c r="BR66" s="386"/>
      <c r="BS66" s="386"/>
      <c r="BT66" s="386"/>
    </row>
    <row r="67" spans="1:72" ht="15.75" customHeight="1">
      <c r="A67" s="445" t="s">
        <v>565</v>
      </c>
      <c r="B67" s="1149"/>
      <c r="C67" s="438"/>
      <c r="D67" s="438"/>
      <c r="E67" s="1203" t="s">
        <v>1214</v>
      </c>
      <c r="F67" s="429"/>
      <c r="G67" s="1176"/>
      <c r="H67" s="1864">
        <f ca="1">OFFSET(N69,M71-1,0)</f>
        <v>0</v>
      </c>
      <c r="I67" s="1865"/>
      <c r="J67" s="1866"/>
      <c r="K67" s="438"/>
      <c r="L67" s="493" t="s">
        <v>582</v>
      </c>
      <c r="M67" s="493">
        <f ca="1">MIN(M65:M66)</f>
        <v>0</v>
      </c>
      <c r="W67" s="352" t="s">
        <v>587</v>
      </c>
      <c r="X67" s="12">
        <f>M69</f>
        <v>1</v>
      </c>
      <c r="Y67" s="12">
        <f ca="1">M71</f>
        <v>0</v>
      </c>
      <c r="Z67" s="12"/>
      <c r="AA67" s="12"/>
      <c r="AB67" s="386"/>
      <c r="AC67" s="12">
        <f ca="1">MAX(IF(AND(Kategorie2&lt;4,Standardlüftung2=3),OFFSET(P69,Y67-1,0),OFFSET(P69,Y67-1,0)),0)</f>
        <v>0</v>
      </c>
      <c r="AD67" s="386"/>
      <c r="AE67" s="386"/>
      <c r="AF67" s="386"/>
      <c r="AG67" s="386"/>
      <c r="AH67" s="386"/>
      <c r="AI67" s="386"/>
      <c r="AJ67" s="386"/>
      <c r="AK67" s="386"/>
      <c r="AL67" s="386"/>
      <c r="AM67" s="386"/>
      <c r="AN67" s="10"/>
      <c r="AO67" s="418">
        <f ca="1"/>
        <v>0</v>
      </c>
      <c r="AP67" s="444">
        <f ca="1"/>
        <v>0</v>
      </c>
      <c r="AQ67" s="444">
        <f ca="1"/>
        <v>0</v>
      </c>
      <c r="AR67" s="444">
        <f ca="1"/>
        <v>0</v>
      </c>
      <c r="AS67" s="386">
        <f ca="1"/>
        <v>0</v>
      </c>
      <c r="AT67" s="444">
        <f ca="1"/>
        <v>0</v>
      </c>
      <c r="AU67" s="463">
        <f ca="1"/>
        <v>0</v>
      </c>
      <c r="AV67" s="464">
        <f ca="1"/>
        <v>0</v>
      </c>
      <c r="AW67" s="465">
        <f ca="1"/>
        <v>0</v>
      </c>
      <c r="AX67" s="10"/>
      <c r="BH67" s="481" t="s">
        <v>634</v>
      </c>
      <c r="BI67" s="386"/>
      <c r="BJ67" s="386"/>
      <c r="BK67" s="386"/>
      <c r="BL67" s="386"/>
      <c r="BM67" s="386"/>
      <c r="BN67" s="386"/>
      <c r="BO67" s="386"/>
      <c r="BP67" s="386"/>
      <c r="BQ67" s="386"/>
      <c r="BR67" s="386"/>
      <c r="BS67" s="386"/>
      <c r="BT67" s="386"/>
    </row>
    <row r="68" spans="1:72" ht="15.75" customHeight="1">
      <c r="A68" s="628" t="s">
        <v>587</v>
      </c>
      <c r="B68" s="1149"/>
      <c r="C68" s="438"/>
      <c r="D68" s="438"/>
      <c r="E68" s="438" t="s">
        <v>1411</v>
      </c>
      <c r="F68" s="429"/>
      <c r="G68" s="438"/>
      <c r="H68" s="1864">
        <f ca="1">OFFSET(N72,M74-1,0)</f>
        <v>0</v>
      </c>
      <c r="I68" s="1865"/>
      <c r="J68" s="1866"/>
      <c r="K68" s="438"/>
      <c r="L68" s="386" t="s">
        <v>1424</v>
      </c>
      <c r="M68" s="386">
        <f ca="1">INDEX(AT78:AT80,M69,1)</f>
        <v>0</v>
      </c>
      <c r="W68" s="352" t="s">
        <v>588</v>
      </c>
      <c r="X68" s="12">
        <f>M72</f>
        <v>1</v>
      </c>
      <c r="Y68" s="12">
        <f ca="1">M74</f>
        <v>0</v>
      </c>
      <c r="Z68" s="12"/>
      <c r="AA68" s="12"/>
      <c r="AB68" s="386"/>
      <c r="AC68" s="387">
        <f ca="1">IF(Y68=1,1,0.5)</f>
        <v>0.5</v>
      </c>
      <c r="AD68" s="386"/>
      <c r="AE68" s="386"/>
      <c r="AF68" s="386"/>
      <c r="AG68" s="386"/>
      <c r="AH68" s="386"/>
      <c r="AI68" s="386"/>
      <c r="AJ68" s="386"/>
      <c r="AK68" s="386"/>
      <c r="AL68" s="386"/>
      <c r="AM68" s="386"/>
      <c r="AN68" s="10"/>
      <c r="AO68" s="418">
        <f ca="1"/>
        <v>0</v>
      </c>
      <c r="AP68" s="444">
        <f ca="1"/>
        <v>0</v>
      </c>
      <c r="AQ68" s="444">
        <f ca="1"/>
        <v>0</v>
      </c>
      <c r="AR68" s="444">
        <f ca="1"/>
        <v>0</v>
      </c>
      <c r="AS68" s="386">
        <f ca="1"/>
        <v>0</v>
      </c>
      <c r="AT68" s="444">
        <f ca="1"/>
        <v>0</v>
      </c>
      <c r="AU68" s="463">
        <f ca="1"/>
        <v>0</v>
      </c>
      <c r="AV68" s="464">
        <f ca="1"/>
        <v>0</v>
      </c>
      <c r="AW68" s="466">
        <f ca="1"/>
        <v>0</v>
      </c>
      <c r="AX68" s="10"/>
      <c r="BH68" s="1120" t="s">
        <v>475</v>
      </c>
      <c r="BI68" s="546">
        <v>1</v>
      </c>
      <c r="BJ68" s="386"/>
      <c r="BK68" s="386"/>
      <c r="BL68" s="386"/>
      <c r="BM68" s="386"/>
      <c r="BN68" s="386"/>
      <c r="BO68" s="386"/>
      <c r="BP68" s="386"/>
      <c r="BQ68" s="386"/>
      <c r="BR68" s="386"/>
      <c r="BS68" s="386"/>
      <c r="BT68" s="386"/>
    </row>
    <row r="69" spans="1:72" ht="15.75" customHeight="1">
      <c r="A69" s="445" t="s">
        <v>588</v>
      </c>
      <c r="B69" s="1149"/>
      <c r="C69" s="1863">
        <f>IF(AND(M75=2,Lüftung2=3),"überprüfen:   V(Stufe1) &gt; Vmin,Anlage",)</f>
        <v>0</v>
      </c>
      <c r="D69" s="1863"/>
      <c r="E69" s="1203" t="s">
        <v>1215</v>
      </c>
      <c r="F69" s="1177"/>
      <c r="G69" s="1159" t="str">
        <f>IF(minergiep,"",IF(P48=TRUE,"1)",""))</f>
        <v/>
      </c>
      <c r="H69" s="1864">
        <f ca="1">OFFSET(N75,M77-1,0)</f>
        <v>0</v>
      </c>
      <c r="I69" s="1865"/>
      <c r="J69" s="1866"/>
      <c r="K69" s="438"/>
      <c r="L69" s="507" t="s">
        <v>1405</v>
      </c>
      <c r="M69" s="590">
        <f>WRGtyp2</f>
        <v>1</v>
      </c>
      <c r="N69" s="387">
        <f ca="1">AQ78</f>
        <v>0</v>
      </c>
      <c r="O69" s="387">
        <f ca="1">AU82</f>
        <v>0</v>
      </c>
      <c r="P69" s="514">
        <f ca="1">AV78</f>
        <v>0</v>
      </c>
      <c r="W69" s="352" t="s">
        <v>757</v>
      </c>
      <c r="X69" s="12">
        <f>M75</f>
        <v>1</v>
      </c>
      <c r="Y69" s="12">
        <f ca="1">M77</f>
        <v>0</v>
      </c>
      <c r="Z69" s="12"/>
      <c r="AA69" s="12"/>
      <c r="AB69" s="386"/>
      <c r="AC69" s="12" t="s">
        <v>585</v>
      </c>
      <c r="AD69" s="12" t="s">
        <v>586</v>
      </c>
      <c r="AE69" s="12" t="s">
        <v>760</v>
      </c>
      <c r="AF69" s="11" t="s">
        <v>1425</v>
      </c>
      <c r="AG69" s="386"/>
      <c r="AH69" s="386"/>
      <c r="AI69" s="386"/>
      <c r="AJ69" s="386"/>
      <c r="AK69" s="386"/>
      <c r="AL69" s="386"/>
      <c r="AM69" s="386"/>
      <c r="AN69" s="10"/>
      <c r="AO69" s="418">
        <f ca="1"/>
        <v>0</v>
      </c>
      <c r="AP69" s="444">
        <f ca="1"/>
        <v>0</v>
      </c>
      <c r="AQ69" s="444">
        <f ca="1"/>
        <v>0</v>
      </c>
      <c r="AR69" s="444">
        <f ca="1"/>
        <v>0</v>
      </c>
      <c r="AS69" s="386">
        <f ca="1"/>
        <v>0</v>
      </c>
      <c r="AT69" s="444">
        <f ca="1"/>
        <v>0</v>
      </c>
      <c r="AU69" s="463">
        <f ca="1"/>
        <v>0</v>
      </c>
      <c r="AV69" s="464">
        <f ca="1"/>
        <v>0</v>
      </c>
      <c r="AW69" s="466">
        <f ca="1"/>
        <v>0</v>
      </c>
      <c r="AX69" s="10"/>
      <c r="BH69" s="1117" t="s">
        <v>476</v>
      </c>
      <c r="BI69" s="547">
        <v>0.5</v>
      </c>
      <c r="BJ69" s="386"/>
      <c r="BK69" s="386"/>
      <c r="BL69" s="386"/>
      <c r="BM69" s="386"/>
      <c r="BN69" s="386"/>
      <c r="BO69" s="386"/>
      <c r="BP69" s="386"/>
      <c r="BQ69" s="386"/>
      <c r="BR69" s="386"/>
      <c r="BS69" s="386"/>
      <c r="BT69" s="386"/>
    </row>
    <row r="70" spans="1:72">
      <c r="A70" s="628" t="s">
        <v>757</v>
      </c>
      <c r="B70" s="1079"/>
      <c r="C70" s="1178">
        <f ca="1">AP70</f>
        <v>0</v>
      </c>
      <c r="D70" s="1178"/>
      <c r="E70" s="1080"/>
      <c r="F70" s="1179"/>
      <c r="G70" s="1180">
        <f ca="1">IF(minergiep,"Valore standard ",AT70)</f>
        <v>0</v>
      </c>
      <c r="H70" s="1181">
        <f ca="1">AU70</f>
        <v>0</v>
      </c>
      <c r="I70" s="1182">
        <f ca="1">AV70</f>
        <v>0</v>
      </c>
      <c r="J70" s="371">
        <f ca="1">Y70</f>
        <v>0</v>
      </c>
      <c r="K70" s="518"/>
      <c r="L70" s="390" t="s">
        <v>1407</v>
      </c>
      <c r="M70" s="390">
        <f ca="1">AQ75</f>
        <v>0</v>
      </c>
      <c r="N70" s="390">
        <f ca="1">AQ79</f>
        <v>0</v>
      </c>
      <c r="O70" s="390">
        <f ca="1">AU83</f>
        <v>0</v>
      </c>
      <c r="P70" s="516">
        <f ca="1">AV79</f>
        <v>0</v>
      </c>
      <c r="W70" s="352" t="s">
        <v>758</v>
      </c>
      <c r="X70" s="520">
        <f ca="1">P72</f>
        <v>0</v>
      </c>
      <c r="Y70" s="1574">
        <f ca="1">MAX(0,IF(ISBLANK(J71),IF(AND(minergiep,X70=70),X70,X70-10),MIN(IF(AND(Kategorie2&lt;4,Standardlüftung2=3,minergiep=FALSE),X70-10,X70),X71)))</f>
        <v>0</v>
      </c>
      <c r="Z70" s="430"/>
      <c r="AA70" s="521" t="s">
        <v>1426</v>
      </c>
      <c r="AB70" s="467"/>
      <c r="AC70" s="522">
        <f ca="1">IF($Y69=2,AC53,0)</f>
        <v>0</v>
      </c>
      <c r="AD70" s="522">
        <f ca="1">IF($Y69=2,AD53,$AC53+$AD53+$AE53)</f>
        <v>0</v>
      </c>
      <c r="AE70" s="522">
        <f ca="1">IF($Y69=2,AE53,0)</f>
        <v>0</v>
      </c>
      <c r="AF70" s="522">
        <f ca="1">SUM(AC70:AE70)</f>
        <v>0</v>
      </c>
      <c r="AG70" s="12" t="s">
        <v>481</v>
      </c>
      <c r="AH70" s="467"/>
      <c r="AI70" s="467"/>
      <c r="AJ70" s="467"/>
      <c r="AK70" s="467"/>
      <c r="AL70" s="467"/>
      <c r="AM70" s="467"/>
      <c r="AN70" s="369"/>
      <c r="AO70" s="443">
        <f ca="1"/>
        <v>0</v>
      </c>
      <c r="AP70" s="444">
        <f ca="1"/>
        <v>0</v>
      </c>
      <c r="AQ70" s="467">
        <f ca="1"/>
        <v>0</v>
      </c>
      <c r="AR70" s="444">
        <f ca="1"/>
        <v>0</v>
      </c>
      <c r="AS70" s="467">
        <f ca="1"/>
        <v>0</v>
      </c>
      <c r="AT70" s="468">
        <f ca="1"/>
        <v>0</v>
      </c>
      <c r="AU70" s="469">
        <f ca="1"/>
        <v>0</v>
      </c>
      <c r="AV70" s="470">
        <f ca="1"/>
        <v>0</v>
      </c>
      <c r="AW70" s="471">
        <f ca="1"/>
        <v>0</v>
      </c>
      <c r="AX70" s="369"/>
      <c r="BH70" s="386"/>
      <c r="BI70" s="386"/>
      <c r="BJ70" s="386"/>
      <c r="BK70" s="386"/>
      <c r="BL70" s="386"/>
      <c r="BM70" s="386"/>
      <c r="BN70" s="386"/>
      <c r="BO70" s="386"/>
      <c r="BP70" s="386"/>
      <c r="BQ70" s="386"/>
      <c r="BR70" s="386"/>
      <c r="BS70" s="386"/>
      <c r="BT70" s="386"/>
    </row>
    <row r="71" spans="1:72">
      <c r="A71" s="445"/>
      <c r="B71" s="1081"/>
      <c r="C71" s="1367" t="str">
        <f>IF(minergiep,"apparecchio di aerazione certificato?","")</f>
        <v/>
      </c>
      <c r="D71" s="1133"/>
      <c r="E71" s="1366"/>
      <c r="F71" s="1183"/>
      <c r="G71" s="1184">
        <f ca="1">AT71</f>
        <v>0</v>
      </c>
      <c r="H71" s="1185"/>
      <c r="I71" s="1186"/>
      <c r="J71" s="591"/>
      <c r="K71" s="518"/>
      <c r="L71" s="493" t="s">
        <v>582</v>
      </c>
      <c r="M71" s="493">
        <f ca="1">MIN(M69:M70)</f>
        <v>0</v>
      </c>
      <c r="N71" s="493">
        <f ca="1">AQ80</f>
        <v>0</v>
      </c>
      <c r="O71" s="493">
        <f ca="1">AU84</f>
        <v>0</v>
      </c>
      <c r="P71" s="516">
        <f ca="1">AV80</f>
        <v>0</v>
      </c>
      <c r="W71" s="352"/>
      <c r="X71" s="520">
        <f>J71</f>
        <v>0</v>
      </c>
      <c r="Y71" s="521"/>
      <c r="Z71" s="521"/>
      <c r="AA71" s="521"/>
      <c r="AB71" s="467"/>
      <c r="AC71" s="430" t="e">
        <f ca="1">AC52/AD52*AD71</f>
        <v>#DIV/0!</v>
      </c>
      <c r="AD71" s="430">
        <f ca="1">VSup2</f>
        <v>0</v>
      </c>
      <c r="AE71" s="430" t="e">
        <f ca="1">AE52/AD52*AD71</f>
        <v>#DIV/0!</v>
      </c>
      <c r="AF71" s="524" t="e">
        <f ca="1">(AC71*AC70+AD71*AD70+AE71*AE70)/AF70</f>
        <v>#DIV/0!</v>
      </c>
      <c r="AG71" s="12" t="s">
        <v>482</v>
      </c>
      <c r="AH71" s="467"/>
      <c r="AI71" s="467"/>
      <c r="AJ71" s="467"/>
      <c r="AK71" s="467"/>
      <c r="AL71" s="467"/>
      <c r="AM71" s="467"/>
      <c r="AN71" s="369"/>
      <c r="AO71" s="472">
        <f ca="1"/>
        <v>0</v>
      </c>
      <c r="AP71" s="467">
        <f ca="1"/>
        <v>0</v>
      </c>
      <c r="AQ71" s="444">
        <f ca="1"/>
        <v>0</v>
      </c>
      <c r="AR71" s="444">
        <f ca="1"/>
        <v>0</v>
      </c>
      <c r="AS71" s="467">
        <f ca="1"/>
        <v>0</v>
      </c>
      <c r="AT71" s="468">
        <f ca="1"/>
        <v>0</v>
      </c>
      <c r="AU71" s="469">
        <f ca="1"/>
        <v>0</v>
      </c>
      <c r="AV71" s="470">
        <f ca="1"/>
        <v>0</v>
      </c>
      <c r="AW71" s="473">
        <f ca="1"/>
        <v>0</v>
      </c>
      <c r="AX71" s="369"/>
      <c r="BH71" s="386"/>
      <c r="BI71" s="386"/>
      <c r="BJ71" s="386"/>
      <c r="BK71" s="386"/>
      <c r="BL71" s="386"/>
      <c r="BM71" s="386"/>
      <c r="BN71" s="386"/>
      <c r="BO71" s="386"/>
      <c r="BP71" s="386"/>
      <c r="BQ71" s="386"/>
      <c r="BR71" s="386"/>
      <c r="BS71" s="386"/>
      <c r="BT71" s="386"/>
    </row>
    <row r="72" spans="1:72" ht="15">
      <c r="A72" s="445" t="s">
        <v>758</v>
      </c>
      <c r="B72" s="1570" t="s">
        <v>338</v>
      </c>
      <c r="D72" s="438"/>
      <c r="E72" s="369"/>
      <c r="F72" s="498"/>
      <c r="G72" s="1112" t="s">
        <v>1225</v>
      </c>
      <c r="H72" s="374" t="s">
        <v>1453</v>
      </c>
      <c r="I72" s="1187" t="s">
        <v>761</v>
      </c>
      <c r="J72" s="376">
        <f ca="1">IF(ISERROR(AD72),0,AD72)</f>
        <v>0</v>
      </c>
      <c r="K72" s="527"/>
      <c r="L72" s="507" t="s">
        <v>1405</v>
      </c>
      <c r="M72" s="590">
        <f>ACDC2</f>
        <v>1</v>
      </c>
      <c r="N72" s="519">
        <f ca="1">AR78</f>
        <v>0</v>
      </c>
      <c r="O72" s="1572">
        <f ca="1">AR81</f>
        <v>0</v>
      </c>
      <c r="P72" s="1573">
        <f ca="1">IF(AND(minergiep,Zertifikat2),IF(J71&gt;0,MIN(95,J71),J71),AC67*100)</f>
        <v>0</v>
      </c>
      <c r="Q72" s="467"/>
      <c r="R72" s="467"/>
      <c r="S72" s="467"/>
      <c r="T72" s="467"/>
      <c r="U72" s="467"/>
      <c r="V72" s="467"/>
      <c r="W72" s="352" t="s">
        <v>759</v>
      </c>
      <c r="X72" s="520">
        <f ca="1">J72</f>
        <v>0</v>
      </c>
      <c r="Y72" s="12">
        <f ca="1">MAX(X72:X73)</f>
        <v>0</v>
      </c>
      <c r="Z72" s="12"/>
      <c r="AA72" s="521" t="s">
        <v>484</v>
      </c>
      <c r="AB72" s="467"/>
      <c r="AC72" s="430" t="e">
        <f ca="1">AC54/AD54*AD72</f>
        <v>#DIV/0!</v>
      </c>
      <c r="AD72" s="430">
        <f ca="1">AD71*(AD54+AC57)*AC68</f>
        <v>0</v>
      </c>
      <c r="AE72" s="430" t="e">
        <f ca="1">AE54/AD54*AD72</f>
        <v>#DIV/0!</v>
      </c>
      <c r="AF72" s="369" t="s">
        <v>776</v>
      </c>
      <c r="AG72" s="12" t="s">
        <v>485</v>
      </c>
      <c r="AH72" s="467"/>
      <c r="AI72" s="467"/>
      <c r="AJ72" s="467"/>
      <c r="AK72" s="467"/>
      <c r="AL72" s="467"/>
      <c r="AM72" s="467"/>
      <c r="AN72" s="369"/>
      <c r="AO72" s="443">
        <f ca="1"/>
        <v>0</v>
      </c>
      <c r="AP72" s="444">
        <f ca="1"/>
        <v>0</v>
      </c>
      <c r="AQ72" s="444">
        <f ca="1"/>
        <v>0</v>
      </c>
      <c r="AR72" s="444">
        <f ca="1"/>
        <v>0</v>
      </c>
      <c r="AS72" s="467">
        <f ca="1"/>
        <v>0</v>
      </c>
      <c r="AT72" s="474">
        <f ca="1"/>
        <v>0</v>
      </c>
      <c r="AU72" s="475">
        <f ca="1"/>
        <v>0</v>
      </c>
      <c r="AV72" s="470">
        <f ca="1"/>
        <v>0</v>
      </c>
      <c r="AW72" s="473">
        <f ca="1"/>
        <v>0</v>
      </c>
      <c r="AX72" s="369"/>
      <c r="BH72" s="397"/>
      <c r="BI72" s="386"/>
      <c r="BJ72" s="386"/>
      <c r="BK72" s="386"/>
      <c r="BL72" s="386"/>
      <c r="BM72" s="386"/>
      <c r="BN72" s="386"/>
      <c r="BO72" s="386"/>
      <c r="BP72" s="386"/>
      <c r="BQ72" s="386"/>
      <c r="BR72" s="386"/>
      <c r="BS72" s="386"/>
      <c r="BT72" s="386"/>
    </row>
    <row r="73" spans="1:72">
      <c r="A73" s="445"/>
      <c r="B73" s="1565" t="str">
        <f>IF(OR(M65=4,M65=5),LER_Text4,"")</f>
        <v/>
      </c>
      <c r="C73" s="1172"/>
      <c r="D73" s="1172"/>
      <c r="E73" s="1172"/>
      <c r="F73" s="1174"/>
      <c r="G73" s="925" t="s">
        <v>1226</v>
      </c>
      <c r="H73" s="377"/>
      <c r="I73" s="1188"/>
      <c r="J73" s="592"/>
      <c r="K73" s="527"/>
      <c r="L73" s="390" t="s">
        <v>1407</v>
      </c>
      <c r="M73" s="390">
        <f ca="1">AR75</f>
        <v>0</v>
      </c>
      <c r="N73" s="398">
        <f ca="1">AR79</f>
        <v>0</v>
      </c>
      <c r="O73" s="629">
        <f ca="1">AR82</f>
        <v>0</v>
      </c>
      <c r="P73" s="467"/>
      <c r="Q73" s="467"/>
      <c r="R73" s="467"/>
      <c r="S73" s="467"/>
      <c r="T73" s="467"/>
      <c r="U73" s="467"/>
      <c r="V73" s="467"/>
      <c r="W73" s="352"/>
      <c r="X73" s="520">
        <f>J73</f>
        <v>0</v>
      </c>
      <c r="Y73" s="521"/>
      <c r="Z73" s="521"/>
      <c r="AA73" s="521"/>
      <c r="AB73" s="467"/>
      <c r="AC73" s="430" t="e">
        <f ca="1">AC72/AD72*AD73</f>
        <v>#DIV/0!</v>
      </c>
      <c r="AD73" s="430">
        <f ca="1">Y72</f>
        <v>0</v>
      </c>
      <c r="AE73" s="430" t="e">
        <f ca="1">AE72/AD72*AD73</f>
        <v>#DIV/0!</v>
      </c>
      <c r="AF73" s="522" t="s">
        <v>776</v>
      </c>
      <c r="AG73" s="522" t="s">
        <v>487</v>
      </c>
      <c r="AH73" s="467"/>
      <c r="AI73" s="467"/>
      <c r="AJ73" s="467"/>
      <c r="AK73" s="467"/>
      <c r="AL73" s="467"/>
      <c r="AM73" s="467"/>
      <c r="AN73" s="369"/>
      <c r="AO73" s="472">
        <f ca="1"/>
        <v>0</v>
      </c>
      <c r="AP73" s="444">
        <f ca="1"/>
        <v>0</v>
      </c>
      <c r="AQ73" s="444">
        <f ca="1"/>
        <v>0</v>
      </c>
      <c r="AR73" s="444">
        <f ca="1"/>
        <v>0</v>
      </c>
      <c r="AS73" s="467">
        <f ca="1"/>
        <v>0</v>
      </c>
      <c r="AT73" s="474">
        <f ca="1"/>
        <v>0</v>
      </c>
      <c r="AU73" s="476">
        <f ca="1"/>
        <v>0</v>
      </c>
      <c r="AV73" s="477">
        <f ca="1"/>
        <v>0</v>
      </c>
      <c r="AW73" s="473">
        <f ca="1"/>
        <v>0</v>
      </c>
      <c r="AX73" s="369"/>
      <c r="BH73" s="397" t="s">
        <v>543</v>
      </c>
      <c r="BI73" s="386"/>
      <c r="BJ73" s="386"/>
      <c r="BK73" s="386"/>
      <c r="BL73" s="386"/>
      <c r="BM73" s="386"/>
      <c r="BN73" s="386"/>
      <c r="BO73" s="386"/>
      <c r="BP73" s="386"/>
      <c r="BQ73" s="386"/>
      <c r="BR73" s="386"/>
      <c r="BS73" s="386"/>
      <c r="BT73" s="386"/>
    </row>
    <row r="74" spans="1:72" ht="13.8">
      <c r="A74" s="624" t="s">
        <v>759</v>
      </c>
      <c r="B74" s="379" t="s">
        <v>572</v>
      </c>
      <c r="C74" s="380" t="s">
        <v>1455</v>
      </c>
      <c r="D74" s="369"/>
      <c r="E74" s="1208" t="s">
        <v>1216</v>
      </c>
      <c r="F74" s="438"/>
      <c r="G74" s="1189"/>
      <c r="H74" s="657" t="s">
        <v>1200</v>
      </c>
      <c r="I74" s="1186" t="s">
        <v>568</v>
      </c>
      <c r="J74" s="381">
        <f ca="1">IF(ISERROR(AF74),0,AF74)*LER_Reduktion2</f>
        <v>0</v>
      </c>
      <c r="K74" s="530"/>
      <c r="L74" s="493" t="s">
        <v>582</v>
      </c>
      <c r="M74" s="493">
        <f ca="1">MIN(M72:M73)</f>
        <v>0</v>
      </c>
      <c r="N74" s="369"/>
      <c r="O74" s="528"/>
      <c r="P74" s="528"/>
      <c r="Q74" s="529"/>
      <c r="R74" s="467"/>
      <c r="S74" s="467"/>
      <c r="T74" s="467"/>
      <c r="U74" s="467"/>
      <c r="V74" s="467"/>
      <c r="W74" s="341" t="s">
        <v>1454</v>
      </c>
      <c r="X74" s="12"/>
      <c r="Y74" s="12"/>
      <c r="Z74" s="12"/>
      <c r="AA74" s="12"/>
      <c r="AB74" s="386"/>
      <c r="AC74" s="532"/>
      <c r="AD74" s="532"/>
      <c r="AE74" s="533"/>
      <c r="AF74" s="534" t="e">
        <f ca="1">AG52*(1-AF70/8760)+(AH52+AF71/EBFo2*(1-Y70/100)*AC63)*AF70/8760</f>
        <v>#VALUE!</v>
      </c>
      <c r="AG74" s="408"/>
      <c r="AH74" s="386"/>
      <c r="AI74" s="386"/>
      <c r="AJ74" s="386"/>
      <c r="AK74" s="386"/>
      <c r="AL74" s="386"/>
      <c r="AM74" s="386"/>
      <c r="AN74" s="10"/>
      <c r="AO74" s="478">
        <f ca="1"/>
        <v>0</v>
      </c>
      <c r="AP74" s="414">
        <f ca="1"/>
        <v>0</v>
      </c>
      <c r="AQ74" s="414">
        <f ca="1"/>
        <v>0</v>
      </c>
      <c r="AR74" s="414">
        <f ca="1"/>
        <v>0</v>
      </c>
      <c r="AS74" s="414">
        <f ca="1"/>
        <v>0</v>
      </c>
      <c r="AT74" s="414">
        <f ca="1"/>
        <v>0</v>
      </c>
      <c r="AU74" s="414">
        <f ca="1"/>
        <v>0</v>
      </c>
      <c r="AV74" s="414">
        <f ca="1"/>
        <v>0</v>
      </c>
      <c r="AW74" s="417">
        <f ca="1"/>
        <v>0</v>
      </c>
      <c r="AX74" s="10"/>
      <c r="BH74" s="396" t="s">
        <v>544</v>
      </c>
      <c r="BI74" s="535" t="s">
        <v>1313</v>
      </c>
      <c r="BJ74" s="414"/>
      <c r="BK74" s="396"/>
      <c r="BL74" s="535" t="s">
        <v>1381</v>
      </c>
      <c r="BM74" s="414"/>
      <c r="BN74" s="396"/>
      <c r="BO74" s="535" t="s">
        <v>1382</v>
      </c>
      <c r="BP74" s="414"/>
      <c r="BQ74" s="396"/>
      <c r="BR74" s="548" t="s">
        <v>762</v>
      </c>
      <c r="BS74" s="414"/>
      <c r="BT74" s="396"/>
    </row>
    <row r="75" spans="1:72" ht="15.6" thickBot="1">
      <c r="A75" s="624" t="s">
        <v>1454</v>
      </c>
      <c r="B75" s="1190"/>
      <c r="C75" s="382" t="str">
        <f>IF(minergiea,"Verifica Minergie-A",IF(minergiep,"Verifica Minergie-P","Verifica Minergie"))</f>
        <v>Verifica Minergie-A</v>
      </c>
      <c r="D75" s="1191"/>
      <c r="E75" s="1192" t="s">
        <v>573</v>
      </c>
      <c r="F75" s="1191"/>
      <c r="G75" s="1193"/>
      <c r="H75" s="1194" t="s">
        <v>1373</v>
      </c>
      <c r="I75" s="1195" t="s">
        <v>1812</v>
      </c>
      <c r="J75" s="385">
        <f ca="1">IF(ISERROR(AF75/_EBF2),0,AF75/_EBF2)</f>
        <v>0</v>
      </c>
      <c r="K75" s="530"/>
      <c r="L75" s="507" t="s">
        <v>1405</v>
      </c>
      <c r="M75" s="590">
        <v>1</v>
      </c>
      <c r="N75" s="396">
        <f ca="1">AS78</f>
        <v>0</v>
      </c>
      <c r="O75" s="528"/>
      <c r="P75" s="528"/>
      <c r="Q75" s="529"/>
      <c r="R75" s="467"/>
      <c r="S75" s="467"/>
      <c r="T75" s="467"/>
      <c r="U75" s="467"/>
      <c r="V75" s="467"/>
      <c r="W75" s="341" t="s">
        <v>569</v>
      </c>
      <c r="X75" s="12"/>
      <c r="Y75" s="12"/>
      <c r="Z75" s="12"/>
      <c r="AA75" s="12"/>
      <c r="AB75" s="386"/>
      <c r="AC75" s="536" t="e">
        <f ca="1">AC70*AC73/1000</f>
        <v>#DIV/0!</v>
      </c>
      <c r="AD75" s="536">
        <f ca="1">AD70*AD73/1000</f>
        <v>0</v>
      </c>
      <c r="AE75" s="536" t="e">
        <f ca="1">AE70*AE73/1000</f>
        <v>#DIV/0!</v>
      </c>
      <c r="AF75" s="524" t="e">
        <f ca="1">SUM(AC75:AE75)</f>
        <v>#DIV/0!</v>
      </c>
      <c r="AG75" s="12" t="s">
        <v>632</v>
      </c>
      <c r="AH75" s="386"/>
      <c r="AI75" s="386"/>
      <c r="AJ75" s="386"/>
      <c r="AK75" s="386"/>
      <c r="AL75" s="386"/>
      <c r="AM75" s="386"/>
      <c r="AN75" s="10"/>
      <c r="AO75" s="423">
        <f ca="1"/>
        <v>0</v>
      </c>
      <c r="AP75" s="425">
        <f ca="1"/>
        <v>0</v>
      </c>
      <c r="AQ75" s="425">
        <f ca="1"/>
        <v>0</v>
      </c>
      <c r="AR75" s="425">
        <f ca="1"/>
        <v>0</v>
      </c>
      <c r="AS75" s="425">
        <f ca="1"/>
        <v>0</v>
      </c>
      <c r="AT75" s="425">
        <f ca="1"/>
        <v>0</v>
      </c>
      <c r="AU75" s="425">
        <f ca="1"/>
        <v>0</v>
      </c>
      <c r="AV75" s="425">
        <f ca="1"/>
        <v>0</v>
      </c>
      <c r="AW75" s="452">
        <f ca="1"/>
        <v>0</v>
      </c>
      <c r="AX75" s="10"/>
      <c r="BH75" s="398"/>
      <c r="BI75" s="549" t="s">
        <v>585</v>
      </c>
      <c r="BJ75" s="550" t="s">
        <v>586</v>
      </c>
      <c r="BK75" s="551" t="s">
        <v>760</v>
      </c>
      <c r="BL75" s="549" t="s">
        <v>585</v>
      </c>
      <c r="BM75" s="550" t="s">
        <v>586</v>
      </c>
      <c r="BN75" s="551" t="s">
        <v>760</v>
      </c>
      <c r="BO75" s="549" t="s">
        <v>585</v>
      </c>
      <c r="BP75" s="550" t="s">
        <v>586</v>
      </c>
      <c r="BQ75" s="551" t="s">
        <v>760</v>
      </c>
      <c r="BR75" s="550" t="s">
        <v>585</v>
      </c>
      <c r="BS75" s="550" t="s">
        <v>586</v>
      </c>
      <c r="BT75" s="551" t="s">
        <v>760</v>
      </c>
    </row>
    <row r="76" spans="1:72" ht="13.8" thickBot="1">
      <c r="B76" s="1196" t="str">
        <f>IF(minergiep,"",IF(P48=TRUE,$P$2,""))</f>
        <v/>
      </c>
      <c r="C76" s="1177"/>
      <c r="D76" s="1177"/>
      <c r="E76" s="1177"/>
      <c r="F76" s="1177"/>
      <c r="G76" s="1177"/>
      <c r="H76" s="1177"/>
      <c r="I76" s="1177"/>
      <c r="J76" s="1177"/>
      <c r="L76" s="390" t="s">
        <v>1407</v>
      </c>
      <c r="M76" s="390">
        <f ca="1">IF(P48,1,AS75)</f>
        <v>0</v>
      </c>
      <c r="N76" s="531">
        <f ca="1">AS79</f>
        <v>0</v>
      </c>
      <c r="AO76" s="479">
        <f ca="1"/>
        <v>0</v>
      </c>
      <c r="AP76" s="397">
        <f ca="1"/>
        <v>0</v>
      </c>
      <c r="AQ76" s="397">
        <f ca="1"/>
        <v>0</v>
      </c>
      <c r="AR76" s="397">
        <f ca="1"/>
        <v>0</v>
      </c>
      <c r="AS76" s="397">
        <f ca="1"/>
        <v>0</v>
      </c>
      <c r="AT76" s="389">
        <f ca="1"/>
        <v>0</v>
      </c>
      <c r="AU76" s="389">
        <f ca="1"/>
        <v>0</v>
      </c>
      <c r="AV76" s="389">
        <f ca="1"/>
        <v>0</v>
      </c>
      <c r="AW76" s="480">
        <f ca="1"/>
        <v>0</v>
      </c>
      <c r="BH76" s="552" t="str">
        <f>Standardwerte!O37</f>
        <v>Aeraz.+PAC</v>
      </c>
      <c r="BI76" s="553">
        <v>4368</v>
      </c>
      <c r="BJ76" s="554">
        <v>3640</v>
      </c>
      <c r="BK76" s="555">
        <v>728</v>
      </c>
      <c r="BL76" s="553">
        <v>4368</v>
      </c>
      <c r="BM76" s="554">
        <v>3640</v>
      </c>
      <c r="BN76" s="555">
        <v>728</v>
      </c>
      <c r="BO76" s="556">
        <v>750</v>
      </c>
      <c r="BP76" s="557">
        <v>2000</v>
      </c>
      <c r="BQ76" s="558"/>
      <c r="BR76" s="557">
        <v>1200</v>
      </c>
      <c r="BS76" s="557">
        <v>800</v>
      </c>
      <c r="BT76" s="558"/>
    </row>
    <row r="77" spans="1:72" ht="13.8" hidden="1" thickBot="1">
      <c r="B77" s="1177"/>
      <c r="C77" s="1177"/>
      <c r="D77" s="1177"/>
      <c r="E77" s="1177"/>
      <c r="F77" s="1177"/>
      <c r="G77" s="1177"/>
      <c r="H77" s="1177"/>
      <c r="I77" s="1177"/>
      <c r="J77" s="1177"/>
      <c r="L77" s="493" t="s">
        <v>582</v>
      </c>
      <c r="M77" s="493">
        <f ca="1">MIN(M75:M76)</f>
        <v>0</v>
      </c>
      <c r="N77" s="10"/>
      <c r="AO77" s="479">
        <f ca="1"/>
        <v>0</v>
      </c>
      <c r="AP77" s="397">
        <f ca="1"/>
        <v>0</v>
      </c>
      <c r="AQ77" s="397">
        <f ca="1"/>
        <v>0</v>
      </c>
      <c r="AR77" s="481">
        <f ca="1"/>
        <v>0</v>
      </c>
      <c r="AS77" s="481">
        <f ca="1"/>
        <v>0</v>
      </c>
      <c r="AT77" s="389">
        <f ca="1"/>
        <v>0</v>
      </c>
      <c r="AU77" s="397">
        <f ca="1"/>
        <v>0</v>
      </c>
      <c r="AV77" s="481">
        <f ca="1"/>
        <v>0</v>
      </c>
      <c r="AW77" s="480">
        <f ca="1"/>
        <v>0</v>
      </c>
      <c r="BH77" s="559" t="s">
        <v>514</v>
      </c>
      <c r="BI77" s="560">
        <v>4368</v>
      </c>
      <c r="BJ77" s="341">
        <v>3640</v>
      </c>
      <c r="BK77" s="558">
        <v>728</v>
      </c>
      <c r="BL77" s="560">
        <v>4368</v>
      </c>
      <c r="BM77" s="341">
        <v>3640</v>
      </c>
      <c r="BN77" s="558">
        <v>728</v>
      </c>
      <c r="BO77" s="556">
        <v>750</v>
      </c>
      <c r="BP77" s="557">
        <v>2000</v>
      </c>
      <c r="BQ77" s="558"/>
      <c r="BR77" s="557">
        <v>1200</v>
      </c>
      <c r="BS77" s="557">
        <v>800</v>
      </c>
      <c r="BT77" s="558"/>
    </row>
    <row r="78" spans="1:72" ht="13.8" hidden="1" thickBot="1">
      <c r="B78" s="1177"/>
      <c r="C78" s="1177"/>
      <c r="D78" s="1177"/>
      <c r="E78" s="1177"/>
      <c r="F78" s="1177"/>
      <c r="G78" s="1177"/>
      <c r="H78" s="1197"/>
      <c r="I78" s="1197"/>
      <c r="J78" s="1197"/>
      <c r="W78" s="10"/>
      <c r="X78" s="10"/>
      <c r="Y78" s="10"/>
      <c r="Z78" s="10"/>
      <c r="AA78" s="10"/>
      <c r="AB78" s="10"/>
      <c r="AC78" s="10"/>
      <c r="AD78" s="10"/>
      <c r="AE78" s="10"/>
      <c r="AF78" s="10"/>
      <c r="AG78" s="10"/>
      <c r="AH78" s="10"/>
      <c r="AI78" s="10"/>
      <c r="AJ78" s="10"/>
      <c r="AK78" s="10"/>
      <c r="AL78" s="10"/>
      <c r="AM78" s="10"/>
      <c r="AN78" s="10"/>
      <c r="AO78" s="482">
        <f ca="1"/>
        <v>0</v>
      </c>
      <c r="AP78" s="483">
        <f ca="1"/>
        <v>0</v>
      </c>
      <c r="AQ78" s="484">
        <f ca="1"/>
        <v>0</v>
      </c>
      <c r="AR78" s="485">
        <f ca="1"/>
        <v>0</v>
      </c>
      <c r="AS78" s="400">
        <f ca="1"/>
        <v>0</v>
      </c>
      <c r="AT78" s="387">
        <f ca="1"/>
        <v>0</v>
      </c>
      <c r="AU78" s="484">
        <f ca="1"/>
        <v>0</v>
      </c>
      <c r="AV78" s="486">
        <f ca="1"/>
        <v>0</v>
      </c>
      <c r="AW78" s="434">
        <f ca="1"/>
        <v>0</v>
      </c>
      <c r="AX78" s="10"/>
      <c r="BH78" s="561" t="s">
        <v>545</v>
      </c>
      <c r="BI78" s="560">
        <v>4368</v>
      </c>
      <c r="BJ78" s="341">
        <v>3640</v>
      </c>
      <c r="BK78" s="558">
        <v>728</v>
      </c>
      <c r="BL78" s="560">
        <v>4368</v>
      </c>
      <c r="BM78" s="341">
        <v>3640</v>
      </c>
      <c r="BN78" s="558">
        <v>728</v>
      </c>
      <c r="BO78" s="556">
        <v>750</v>
      </c>
      <c r="BP78" s="557">
        <v>2000</v>
      </c>
      <c r="BQ78" s="558"/>
      <c r="BR78" s="557">
        <v>1200</v>
      </c>
      <c r="BS78" s="557">
        <v>800</v>
      </c>
      <c r="BT78" s="558"/>
    </row>
    <row r="79" spans="1:72" ht="13.8" hidden="1" thickBot="1">
      <c r="B79" s="1177"/>
      <c r="C79" s="1177"/>
      <c r="D79" s="1177"/>
      <c r="E79" s="1177"/>
      <c r="F79" s="1177"/>
      <c r="G79" s="1177"/>
      <c r="H79" s="1197"/>
      <c r="I79" s="1197"/>
      <c r="J79" s="1197"/>
      <c r="W79" s="10"/>
      <c r="X79" s="10"/>
      <c r="Y79" s="10"/>
      <c r="Z79" s="10"/>
      <c r="AA79" s="10"/>
      <c r="AB79" s="10"/>
      <c r="AC79" s="10"/>
      <c r="AD79" s="10"/>
      <c r="AE79" s="10"/>
      <c r="AF79" s="10"/>
      <c r="AG79" s="10"/>
      <c r="AH79" s="10"/>
      <c r="AI79" s="10"/>
      <c r="AJ79" s="10"/>
      <c r="AK79" s="10"/>
      <c r="AL79" s="10"/>
      <c r="AM79" s="10"/>
      <c r="AN79" s="10"/>
      <c r="AO79" s="487">
        <f ca="1"/>
        <v>0</v>
      </c>
      <c r="AP79" s="488">
        <f ca="1"/>
        <v>0</v>
      </c>
      <c r="AQ79" s="489">
        <f ca="1"/>
        <v>0</v>
      </c>
      <c r="AR79" s="490">
        <f ca="1"/>
        <v>0</v>
      </c>
      <c r="AS79" s="601">
        <f ca="1"/>
        <v>0</v>
      </c>
      <c r="AT79" s="390">
        <f ca="1"/>
        <v>0</v>
      </c>
      <c r="AU79" s="489">
        <f ca="1"/>
        <v>0</v>
      </c>
      <c r="AV79" s="492">
        <f ca="1"/>
        <v>0</v>
      </c>
      <c r="AW79" s="434">
        <f ca="1"/>
        <v>0</v>
      </c>
      <c r="AX79" s="10"/>
      <c r="BH79" s="561" t="s">
        <v>546</v>
      </c>
      <c r="BI79" s="560">
        <v>4368</v>
      </c>
      <c r="BJ79" s="341">
        <v>3640</v>
      </c>
      <c r="BK79" s="558">
        <v>728</v>
      </c>
      <c r="BL79" s="560">
        <v>4368</v>
      </c>
      <c r="BM79" s="341">
        <v>3640</v>
      </c>
      <c r="BN79" s="558">
        <v>728</v>
      </c>
      <c r="BO79" s="556">
        <v>750</v>
      </c>
      <c r="BP79" s="557">
        <v>2000</v>
      </c>
      <c r="BQ79" s="558"/>
      <c r="BR79" s="557">
        <v>1200</v>
      </c>
      <c r="BS79" s="557">
        <v>800</v>
      </c>
      <c r="BT79" s="558"/>
    </row>
    <row r="80" spans="1:72" ht="13.8" hidden="1" thickBot="1">
      <c r="B80" s="1177"/>
      <c r="C80" s="1177"/>
      <c r="D80" s="1177"/>
      <c r="E80" s="1177"/>
      <c r="F80" s="1177"/>
      <c r="G80" s="1177"/>
      <c r="H80" s="1197"/>
      <c r="I80" s="1197"/>
      <c r="J80" s="1197"/>
      <c r="W80" s="10"/>
      <c r="X80" s="10"/>
      <c r="Y80" s="10"/>
      <c r="Z80" s="10"/>
      <c r="AA80" s="10"/>
      <c r="AB80" s="10"/>
      <c r="AC80" s="10"/>
      <c r="AD80" s="10"/>
      <c r="AE80" s="10"/>
      <c r="AF80" s="10"/>
      <c r="AG80" s="10"/>
      <c r="AH80" s="10"/>
      <c r="AI80" s="10"/>
      <c r="AJ80" s="10"/>
      <c r="AK80" s="10"/>
      <c r="AL80" s="10"/>
      <c r="AM80" s="10"/>
      <c r="AN80" s="10"/>
      <c r="AO80" s="487">
        <f ca="1"/>
        <v>0</v>
      </c>
      <c r="AP80" s="386">
        <f ca="1"/>
        <v>0</v>
      </c>
      <c r="AQ80" s="493">
        <f ca="1"/>
        <v>0</v>
      </c>
      <c r="AR80" s="397">
        <f ca="1"/>
        <v>0</v>
      </c>
      <c r="AS80" s="386">
        <f ca="1"/>
        <v>0</v>
      </c>
      <c r="AT80" s="493">
        <f ca="1"/>
        <v>0</v>
      </c>
      <c r="AU80" s="493">
        <f ca="1"/>
        <v>0</v>
      </c>
      <c r="AV80" s="494">
        <f ca="1"/>
        <v>0</v>
      </c>
      <c r="AW80" s="434">
        <f ca="1"/>
        <v>0</v>
      </c>
      <c r="AX80" s="10"/>
      <c r="BH80" s="561" t="s">
        <v>1395</v>
      </c>
      <c r="BI80" s="560">
        <v>4368</v>
      </c>
      <c r="BJ80" s="341">
        <v>3640</v>
      </c>
      <c r="BK80" s="558">
        <v>728</v>
      </c>
      <c r="BL80" s="560">
        <v>4368</v>
      </c>
      <c r="BM80" s="341">
        <v>3640</v>
      </c>
      <c r="BN80" s="558">
        <v>728</v>
      </c>
      <c r="BO80" s="556">
        <v>750</v>
      </c>
      <c r="BP80" s="557">
        <v>2000</v>
      </c>
      <c r="BQ80" s="558"/>
      <c r="BR80" s="557">
        <v>1200</v>
      </c>
      <c r="BS80" s="557">
        <v>800</v>
      </c>
      <c r="BT80" s="558"/>
    </row>
    <row r="81" spans="1:72" ht="13.8" hidden="1" thickBot="1">
      <c r="B81" s="1177"/>
      <c r="C81" s="1177"/>
      <c r="D81" s="1177"/>
      <c r="E81" s="1177"/>
      <c r="F81" s="1177"/>
      <c r="G81" s="1177"/>
      <c r="H81" s="1197"/>
      <c r="I81" s="1197"/>
      <c r="J81" s="1197"/>
      <c r="W81" s="10"/>
      <c r="X81" s="10"/>
      <c r="Y81" s="10"/>
      <c r="Z81" s="10"/>
      <c r="AA81" s="10"/>
      <c r="AB81" s="10"/>
      <c r="AC81" s="10"/>
      <c r="AD81" s="10"/>
      <c r="AE81" s="10"/>
      <c r="AF81" s="10"/>
      <c r="AG81" s="10"/>
      <c r="AH81" s="10"/>
      <c r="AI81" s="10"/>
      <c r="AJ81" s="10"/>
      <c r="AK81" s="10"/>
      <c r="AL81" s="10"/>
      <c r="AM81" s="10"/>
      <c r="AN81" s="10"/>
      <c r="AO81" s="487">
        <f ca="1"/>
        <v>0</v>
      </c>
      <c r="AP81" s="386">
        <f ca="1"/>
        <v>0</v>
      </c>
      <c r="AQ81" s="386">
        <f ca="1"/>
        <v>0</v>
      </c>
      <c r="AR81" s="387">
        <f ca="1"/>
        <v>0</v>
      </c>
      <c r="AS81" s="386">
        <f ca="1"/>
        <v>0</v>
      </c>
      <c r="AT81" s="386">
        <f ca="1"/>
        <v>0</v>
      </c>
      <c r="AU81" s="397">
        <f ca="1"/>
        <v>0</v>
      </c>
      <c r="AV81" s="386">
        <f ca="1"/>
        <v>0</v>
      </c>
      <c r="AW81" s="434">
        <f ca="1"/>
        <v>0</v>
      </c>
      <c r="AX81" s="10"/>
      <c r="BH81" s="562" t="s">
        <v>547</v>
      </c>
      <c r="BI81" s="549"/>
      <c r="BJ81" s="550">
        <v>8736</v>
      </c>
      <c r="BK81" s="551"/>
      <c r="BL81" s="549"/>
      <c r="BM81" s="550">
        <v>8736</v>
      </c>
      <c r="BN81" s="551"/>
      <c r="BO81" s="563"/>
      <c r="BP81" s="564">
        <v>2750</v>
      </c>
      <c r="BQ81" s="551"/>
      <c r="BR81" s="564"/>
      <c r="BS81" s="564" t="s">
        <v>776</v>
      </c>
      <c r="BT81" s="551"/>
    </row>
    <row r="82" spans="1:72" ht="13.8" hidden="1" thickBot="1">
      <c r="B82" s="1177"/>
      <c r="C82" s="1177"/>
      <c r="D82" s="1177"/>
      <c r="E82" s="1177"/>
      <c r="F82" s="1177"/>
      <c r="G82" s="1177"/>
      <c r="H82" s="1197"/>
      <c r="I82" s="1197"/>
      <c r="J82" s="1197"/>
      <c r="W82" s="10"/>
      <c r="X82" s="10"/>
      <c r="Y82" s="10"/>
      <c r="Z82" s="10"/>
      <c r="AA82" s="10"/>
      <c r="AB82" s="10"/>
      <c r="AC82" s="10"/>
      <c r="AD82" s="10"/>
      <c r="AE82" s="10"/>
      <c r="AF82" s="10"/>
      <c r="AG82" s="10"/>
      <c r="AH82" s="10"/>
      <c r="AI82" s="10"/>
      <c r="AJ82" s="10"/>
      <c r="AK82" s="10"/>
      <c r="AL82" s="10"/>
      <c r="AM82" s="10"/>
      <c r="AN82" s="10"/>
      <c r="AO82" s="487">
        <f ca="1"/>
        <v>0</v>
      </c>
      <c r="AP82" s="386">
        <f ca="1"/>
        <v>0</v>
      </c>
      <c r="AQ82" s="386">
        <f ca="1"/>
        <v>0</v>
      </c>
      <c r="AR82" s="493">
        <f ca="1"/>
        <v>0</v>
      </c>
      <c r="AS82" s="386">
        <f ca="1"/>
        <v>0</v>
      </c>
      <c r="AT82" s="386">
        <f ca="1"/>
        <v>0</v>
      </c>
      <c r="AU82" s="387">
        <f ca="1"/>
        <v>0</v>
      </c>
      <c r="AV82" s="386">
        <f ca="1"/>
        <v>0</v>
      </c>
      <c r="AW82" s="434">
        <f ca="1"/>
        <v>0</v>
      </c>
      <c r="AX82" s="10"/>
      <c r="BH82" s="386"/>
      <c r="BI82" s="386"/>
      <c r="BJ82" s="386"/>
      <c r="BK82" s="386"/>
      <c r="BL82" s="386"/>
      <c r="BM82" s="386"/>
      <c r="BN82" s="386"/>
      <c r="BO82" s="386"/>
      <c r="BP82" s="386"/>
      <c r="BQ82" s="386"/>
      <c r="BR82" s="386"/>
      <c r="BS82" s="386"/>
      <c r="BT82" s="386"/>
    </row>
    <row r="83" spans="1:72" ht="13.8" hidden="1" thickBot="1">
      <c r="B83" s="1177"/>
      <c r="C83" s="1177"/>
      <c r="D83" s="1177"/>
      <c r="E83" s="1177"/>
      <c r="F83" s="1177"/>
      <c r="G83" s="1177"/>
      <c r="H83" s="1177"/>
      <c r="I83" s="1177"/>
      <c r="J83" s="1177"/>
      <c r="W83" s="10"/>
      <c r="X83" s="10"/>
      <c r="Y83" s="10"/>
      <c r="Z83" s="10"/>
      <c r="AA83" s="10"/>
      <c r="AB83" s="10"/>
      <c r="AC83" s="10"/>
      <c r="AD83" s="10"/>
      <c r="AE83" s="10"/>
      <c r="AF83" s="10"/>
      <c r="AG83" s="10"/>
      <c r="AH83" s="10"/>
      <c r="AI83" s="10"/>
      <c r="AJ83" s="10"/>
      <c r="AK83" s="10"/>
      <c r="AL83" s="10"/>
      <c r="AM83" s="10"/>
      <c r="AN83" s="10"/>
      <c r="AO83" s="487">
        <f ca="1"/>
        <v>0</v>
      </c>
      <c r="AP83" s="386">
        <f ca="1"/>
        <v>0</v>
      </c>
      <c r="AQ83" s="386">
        <f ca="1"/>
        <v>0</v>
      </c>
      <c r="AR83" s="386">
        <f ca="1"/>
        <v>0</v>
      </c>
      <c r="AS83" s="386">
        <f ca="1"/>
        <v>0</v>
      </c>
      <c r="AT83" s="386">
        <f ca="1"/>
        <v>0</v>
      </c>
      <c r="AU83" s="390">
        <f ca="1"/>
        <v>0</v>
      </c>
      <c r="AV83" s="386">
        <f ca="1"/>
        <v>0</v>
      </c>
      <c r="AW83" s="434">
        <f ca="1"/>
        <v>0</v>
      </c>
      <c r="AX83" s="10"/>
      <c r="BH83" s="386"/>
      <c r="BI83" s="386"/>
      <c r="BJ83" s="386"/>
      <c r="BK83" s="386"/>
      <c r="BL83" s="386"/>
      <c r="BM83" s="386"/>
      <c r="BN83" s="386"/>
      <c r="BO83" s="386"/>
      <c r="BP83" s="386"/>
      <c r="BQ83" s="386"/>
      <c r="BR83" s="386"/>
      <c r="BS83" s="386"/>
      <c r="BT83" s="386"/>
    </row>
    <row r="84" spans="1:72" ht="13.8" hidden="1" thickBot="1">
      <c r="B84" s="1177"/>
      <c r="C84" s="1177"/>
      <c r="D84" s="1177"/>
      <c r="E84" s="1177"/>
      <c r="F84" s="1177"/>
      <c r="G84" s="1177"/>
      <c r="H84" s="1177"/>
      <c r="I84" s="1177"/>
      <c r="J84" s="1177"/>
      <c r="W84" s="10"/>
      <c r="X84" s="10"/>
      <c r="Y84" s="10"/>
      <c r="Z84" s="10"/>
      <c r="AA84" s="10"/>
      <c r="AB84" s="10"/>
      <c r="AC84" s="10"/>
      <c r="AD84" s="10"/>
      <c r="AE84" s="10"/>
      <c r="AF84" s="10"/>
      <c r="AG84" s="10"/>
      <c r="AH84" s="10"/>
      <c r="AI84" s="10"/>
      <c r="AJ84" s="10"/>
      <c r="AK84" s="10"/>
      <c r="AL84" s="10"/>
      <c r="AM84" s="10"/>
      <c r="AN84" s="10"/>
      <c r="AO84" s="495">
        <f ca="1"/>
        <v>0</v>
      </c>
      <c r="AP84" s="496">
        <f ca="1"/>
        <v>0</v>
      </c>
      <c r="AQ84" s="496">
        <f ca="1"/>
        <v>0</v>
      </c>
      <c r="AR84" s="496">
        <f ca="1"/>
        <v>0</v>
      </c>
      <c r="AS84" s="496">
        <f ca="1"/>
        <v>0</v>
      </c>
      <c r="AT84" s="496">
        <f ca="1"/>
        <v>0</v>
      </c>
      <c r="AU84" s="493">
        <f ca="1"/>
        <v>0</v>
      </c>
      <c r="AV84" s="496">
        <f ca="1"/>
        <v>0</v>
      </c>
      <c r="AW84" s="437">
        <f ca="1"/>
        <v>0</v>
      </c>
      <c r="AX84" s="10"/>
      <c r="BH84" s="565" t="s">
        <v>491</v>
      </c>
      <c r="BI84" s="386"/>
      <c r="BJ84" s="386"/>
      <c r="BK84" s="386"/>
      <c r="BL84" s="386"/>
      <c r="BM84" s="386"/>
      <c r="BN84" s="386"/>
      <c r="BO84" s="386"/>
      <c r="BP84" s="386"/>
      <c r="BQ84" s="386"/>
      <c r="BR84" s="386"/>
      <c r="BS84" s="386"/>
      <c r="BT84" s="386"/>
    </row>
    <row r="85" spans="1:72" ht="13.8" hidden="1" thickBot="1">
      <c r="B85" s="1177"/>
      <c r="C85" s="1177"/>
      <c r="D85" s="1177"/>
      <c r="E85" s="1177"/>
      <c r="F85" s="1177"/>
      <c r="G85" s="1177"/>
      <c r="H85" s="1177"/>
      <c r="I85" s="1177"/>
      <c r="J85" s="1177"/>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BH85" s="396" t="s">
        <v>544</v>
      </c>
      <c r="BI85" s="535" t="s">
        <v>1313</v>
      </c>
      <c r="BJ85" s="414"/>
      <c r="BK85" s="396"/>
      <c r="BL85" s="535" t="s">
        <v>1381</v>
      </c>
      <c r="BM85" s="414"/>
      <c r="BN85" s="396"/>
      <c r="BO85" s="535" t="s">
        <v>1382</v>
      </c>
      <c r="BP85" s="414"/>
      <c r="BQ85" s="396"/>
      <c r="BR85" s="548" t="s">
        <v>762</v>
      </c>
      <c r="BS85" s="414"/>
      <c r="BT85" s="396"/>
    </row>
    <row r="86" spans="1:72" ht="14.4" hidden="1" thickBot="1">
      <c r="A86" s="624"/>
      <c r="B86" s="1198" t="s">
        <v>661</v>
      </c>
      <c r="C86" s="1150"/>
      <c r="D86" s="1150"/>
      <c r="E86" s="1150"/>
      <c r="F86" s="1150"/>
      <c r="G86" s="1150"/>
      <c r="H86" s="1150"/>
      <c r="I86" s="1150"/>
      <c r="J86" s="392" t="s">
        <v>456</v>
      </c>
      <c r="K86" s="392"/>
      <c r="M86" s="387"/>
      <c r="N86" s="388" t="s">
        <v>399</v>
      </c>
      <c r="O86" s="388" t="s">
        <v>1393</v>
      </c>
      <c r="P86" s="10" t="s">
        <v>471</v>
      </c>
      <c r="Q86" s="10"/>
      <c r="R86" s="10"/>
      <c r="S86" s="10"/>
      <c r="X86" s="1840" t="s">
        <v>764</v>
      </c>
      <c r="Y86" s="1840" t="s">
        <v>765</v>
      </c>
      <c r="Z86" s="1840" t="s">
        <v>766</v>
      </c>
      <c r="BH86" s="398"/>
      <c r="BI86" s="504" t="s">
        <v>585</v>
      </c>
      <c r="BJ86" s="425" t="s">
        <v>586</v>
      </c>
      <c r="BK86" s="398" t="s">
        <v>760</v>
      </c>
      <c r="BL86" s="504" t="s">
        <v>585</v>
      </c>
      <c r="BM86" s="425" t="s">
        <v>586</v>
      </c>
      <c r="BN86" s="398" t="s">
        <v>760</v>
      </c>
      <c r="BO86" s="504" t="s">
        <v>585</v>
      </c>
      <c r="BP86" s="425" t="s">
        <v>586</v>
      </c>
      <c r="BQ86" s="398" t="s">
        <v>760</v>
      </c>
      <c r="BR86" s="425" t="s">
        <v>585</v>
      </c>
      <c r="BS86" s="425" t="s">
        <v>586</v>
      </c>
      <c r="BT86" s="398" t="s">
        <v>760</v>
      </c>
    </row>
    <row r="87" spans="1:72" ht="13.8" hidden="1" thickBot="1">
      <c r="A87" s="625"/>
      <c r="B87" s="1846">
        <f>Projekt1</f>
        <v>0</v>
      </c>
      <c r="C87" s="1847"/>
      <c r="D87" s="1847"/>
      <c r="E87" s="1847"/>
      <c r="F87" s="1847"/>
      <c r="G87" s="1847"/>
      <c r="H87" s="1847"/>
      <c r="I87" s="1847"/>
      <c r="J87" s="1848"/>
      <c r="K87" s="395"/>
      <c r="M87" s="501">
        <v>1</v>
      </c>
      <c r="N87" s="391" t="str">
        <f>IF($P$91,Standardwerte!$L35,"")</f>
        <v/>
      </c>
      <c r="O87" s="391" t="str">
        <f>IF($P$87,Standardwerte!$O35,"")</f>
        <v/>
      </c>
      <c r="P87" s="10" t="b">
        <f>AND(X91&lt;=5,X91&gt;1)</f>
        <v>0</v>
      </c>
      <c r="Q87" s="10"/>
      <c r="R87" s="10"/>
      <c r="S87" s="10"/>
      <c r="X87" s="1841"/>
      <c r="Y87" s="1841"/>
      <c r="Z87" s="1841"/>
      <c r="BH87" s="552" t="s">
        <v>1404</v>
      </c>
      <c r="BI87" s="566">
        <v>20</v>
      </c>
      <c r="BJ87" s="567">
        <v>30</v>
      </c>
      <c r="BK87" s="568">
        <v>45</v>
      </c>
      <c r="BL87" s="566">
        <v>20</v>
      </c>
      <c r="BM87" s="567">
        <v>30</v>
      </c>
      <c r="BN87" s="568">
        <v>45</v>
      </c>
      <c r="BO87" s="566">
        <v>20</v>
      </c>
      <c r="BP87" s="567">
        <v>30</v>
      </c>
      <c r="BQ87" s="568"/>
      <c r="BR87" s="566">
        <v>16.666666666666664</v>
      </c>
      <c r="BS87" s="567">
        <v>25</v>
      </c>
      <c r="BT87" s="568"/>
    </row>
    <row r="88" spans="1:72" ht="13.8" hidden="1" thickBot="1">
      <c r="A88" s="625"/>
      <c r="B88" s="1849">
        <f>Projekt2</f>
        <v>0</v>
      </c>
      <c r="C88" s="1850"/>
      <c r="D88" s="1850"/>
      <c r="E88" s="1850"/>
      <c r="F88" s="1850"/>
      <c r="G88" s="1850"/>
      <c r="H88" s="1850"/>
      <c r="I88" s="1850"/>
      <c r="J88" s="1851"/>
      <c r="K88" s="395"/>
      <c r="M88" s="501">
        <v>2</v>
      </c>
      <c r="N88" s="393" t="str">
        <f>IF($P$91,Standardwerte!$L36,"")</f>
        <v/>
      </c>
      <c r="O88" s="393" t="str">
        <f>IF($P$87,Standardwerte!$O36,"")</f>
        <v/>
      </c>
      <c r="P88" s="10" t="s">
        <v>472</v>
      </c>
      <c r="Q88" s="10"/>
      <c r="R88" s="10"/>
      <c r="S88" s="10"/>
      <c r="X88" s="1841"/>
      <c r="Y88" s="1841"/>
      <c r="Z88" s="1841"/>
      <c r="BH88" s="559" t="s">
        <v>514</v>
      </c>
      <c r="BI88" s="556">
        <f>IF(minergiep,20,27)</f>
        <v>27</v>
      </c>
      <c r="BJ88" s="557">
        <f>IF(minergiep,30,40)</f>
        <v>40</v>
      </c>
      <c r="BK88" s="556">
        <f>IF(minergiep,45,60)</f>
        <v>60</v>
      </c>
      <c r="BL88" s="556">
        <f>IF(minergiep,20,27)</f>
        <v>27</v>
      </c>
      <c r="BM88" s="557">
        <f>IF(minergiep,30,40)</f>
        <v>40</v>
      </c>
      <c r="BN88" s="556">
        <f>IF(minergiep,45,60)</f>
        <v>60</v>
      </c>
      <c r="BO88" s="556">
        <v>20</v>
      </c>
      <c r="BP88" s="557">
        <v>30</v>
      </c>
      <c r="BQ88" s="569"/>
      <c r="BR88" s="556">
        <v>16.666666666666664</v>
      </c>
      <c r="BS88" s="557">
        <v>25</v>
      </c>
      <c r="BT88" s="569"/>
    </row>
    <row r="89" spans="1:72" ht="13.8" hidden="1" thickBot="1">
      <c r="A89" s="625"/>
      <c r="B89" s="1852">
        <f>Projekt3</f>
        <v>0</v>
      </c>
      <c r="C89" s="1853"/>
      <c r="D89" s="1853"/>
      <c r="E89" s="1853"/>
      <c r="F89" s="1853"/>
      <c r="G89" s="1853"/>
      <c r="H89" s="1853"/>
      <c r="I89" s="1853"/>
      <c r="J89" s="1854"/>
      <c r="K89" s="395"/>
      <c r="M89" s="501">
        <v>3</v>
      </c>
      <c r="N89" s="393" t="str">
        <f>IF($P$91,Standardwerte!$L37,"")</f>
        <v/>
      </c>
      <c r="O89" s="393" t="str">
        <f>IF($P$87,Standardwerte!$O37,"")</f>
        <v/>
      </c>
      <c r="P89" s="10" t="b">
        <f>IF(minergiep,FALSE,AND(Standardlüftung3=3, X91&lt;=3))</f>
        <v>0</v>
      </c>
      <c r="Q89" s="10"/>
      <c r="R89" s="10"/>
      <c r="S89" s="10"/>
      <c r="X89" s="1841"/>
      <c r="Y89" s="1841"/>
      <c r="Z89" s="1841"/>
      <c r="AA89" s="396" t="s">
        <v>767</v>
      </c>
      <c r="AB89" s="386"/>
      <c r="AC89" s="386" t="s">
        <v>768</v>
      </c>
      <c r="AD89" s="386"/>
      <c r="AE89" s="386"/>
      <c r="AF89" s="386"/>
      <c r="AG89" s="386"/>
      <c r="AH89" s="386"/>
      <c r="AI89" s="386"/>
      <c r="AJ89" s="386"/>
      <c r="AK89" s="386"/>
      <c r="AL89" s="386"/>
      <c r="AM89" s="386"/>
      <c r="AO89" s="397" t="s">
        <v>17</v>
      </c>
      <c r="BH89" s="561" t="s">
        <v>545</v>
      </c>
      <c r="BI89" s="556">
        <v>26.666666666666664</v>
      </c>
      <c r="BJ89" s="557">
        <v>40</v>
      </c>
      <c r="BK89" s="569">
        <v>60</v>
      </c>
      <c r="BL89" s="556">
        <v>26.666666666666664</v>
      </c>
      <c r="BM89" s="557">
        <v>40</v>
      </c>
      <c r="BN89" s="569">
        <v>60</v>
      </c>
      <c r="BO89" s="556">
        <v>26.666666666666664</v>
      </c>
      <c r="BP89" s="557">
        <v>40</v>
      </c>
      <c r="BQ89" s="569"/>
      <c r="BR89" s="556">
        <v>22.222222222222218</v>
      </c>
      <c r="BS89" s="557">
        <v>33.333333333333329</v>
      </c>
      <c r="BT89" s="569"/>
    </row>
    <row r="90" spans="1:72" ht="13.8" hidden="1" thickBot="1">
      <c r="A90" s="139"/>
      <c r="B90" s="395"/>
      <c r="C90" s="395"/>
      <c r="D90" s="395"/>
      <c r="E90" s="395"/>
      <c r="F90" s="395"/>
      <c r="G90" s="395"/>
      <c r="H90" s="395"/>
      <c r="I90" s="395"/>
      <c r="J90" s="395"/>
      <c r="K90" s="395"/>
      <c r="L90" s="387" t="s">
        <v>1472</v>
      </c>
      <c r="M90" s="501">
        <v>4</v>
      </c>
      <c r="N90" s="393" t="str">
        <f>IF($P$91,Standardwerte!$L38,"")</f>
        <v/>
      </c>
      <c r="O90" s="393" t="str">
        <f>IF($P$87,Standardwerte!$O38,"")</f>
        <v/>
      </c>
      <c r="P90" s="10"/>
      <c r="Q90" s="10"/>
      <c r="R90" s="10"/>
      <c r="S90" s="10"/>
      <c r="X90" s="1842"/>
      <c r="Y90" s="1842"/>
      <c r="Z90" s="1842"/>
      <c r="AA90" s="398"/>
      <c r="AB90" s="386"/>
      <c r="AC90" s="386"/>
      <c r="AD90" s="386"/>
      <c r="AE90" s="386"/>
      <c r="AF90" s="386"/>
      <c r="AG90" s="386"/>
      <c r="AH90" s="386"/>
      <c r="AI90" s="386"/>
      <c r="AJ90" s="386"/>
      <c r="AK90" s="386"/>
      <c r="AL90" s="386"/>
      <c r="AM90" s="386"/>
      <c r="BH90" s="561" t="s">
        <v>546</v>
      </c>
      <c r="BI90" s="556">
        <v>26.666666666666664</v>
      </c>
      <c r="BJ90" s="570">
        <v>40</v>
      </c>
      <c r="BK90" s="569">
        <v>60</v>
      </c>
      <c r="BL90" s="556">
        <v>26.666666666666664</v>
      </c>
      <c r="BM90" s="570">
        <v>40</v>
      </c>
      <c r="BN90" s="569">
        <v>60</v>
      </c>
      <c r="BO90" s="556">
        <v>26.666666666666664</v>
      </c>
      <c r="BP90" s="570">
        <v>40</v>
      </c>
      <c r="BQ90" s="569"/>
      <c r="BR90" s="556">
        <v>22.222222222222218</v>
      </c>
      <c r="BS90" s="557">
        <v>33.333333333333329</v>
      </c>
      <c r="BT90" s="569"/>
    </row>
    <row r="91" spans="1:72" ht="14.4" thickBot="1">
      <c r="A91" s="624" t="s">
        <v>658</v>
      </c>
      <c r="B91" s="1136" t="s">
        <v>339</v>
      </c>
      <c r="C91" s="1137"/>
      <c r="D91" s="1137"/>
      <c r="E91" s="1138" t="s">
        <v>1223</v>
      </c>
      <c r="F91" s="1138"/>
      <c r="G91" s="1137"/>
      <c r="H91" s="345">
        <f ca="1">AO92</f>
        <v>0</v>
      </c>
      <c r="I91" s="346"/>
      <c r="J91" s="347"/>
      <c r="K91" s="8"/>
      <c r="L91" s="493" t="b">
        <f>OR(X92=2,X92=3,X92=6)</f>
        <v>0</v>
      </c>
      <c r="M91" s="501">
        <v>5</v>
      </c>
      <c r="N91" s="393" t="str">
        <f>IF($P$91,Standardwerte!$L39,"")</f>
        <v/>
      </c>
      <c r="O91" s="393" t="str">
        <f>IF($P$87,Standardwerte!$O39,"")</f>
        <v/>
      </c>
      <c r="P91" s="10" t="b">
        <f>IF(minergiep,TRUE,AND(X91&lt;=5,X91&gt;1,OR(Kategorie3&gt;3,AND(Kategorie3&lt;4,Standardlüftung3&lt;3))))</f>
        <v>0</v>
      </c>
      <c r="Q91" s="10"/>
      <c r="R91" s="10"/>
      <c r="S91" s="10"/>
      <c r="W91" s="341" t="s">
        <v>658</v>
      </c>
      <c r="X91" s="12">
        <f>Kategorie3</f>
        <v>1</v>
      </c>
      <c r="Y91" s="12">
        <f>(X91-2)*9</f>
        <v>-9</v>
      </c>
      <c r="Z91" s="12">
        <f>(X91-2)*3</f>
        <v>-3</v>
      </c>
      <c r="AA91" s="387" t="s">
        <v>770</v>
      </c>
      <c r="AB91" s="386"/>
      <c r="AC91" s="386"/>
      <c r="AD91" s="386"/>
      <c r="AE91" s="386"/>
      <c r="AF91" s="386"/>
      <c r="AG91" s="386"/>
      <c r="AH91" s="386"/>
      <c r="AI91" s="386"/>
      <c r="AJ91" s="386"/>
      <c r="AK91" s="386"/>
      <c r="AL91" s="386"/>
      <c r="AM91" s="386"/>
      <c r="AO91" s="399" t="s">
        <v>1610</v>
      </c>
      <c r="AP91" s="400" t="s">
        <v>1611</v>
      </c>
      <c r="AQ91" s="400" t="s">
        <v>1612</v>
      </c>
      <c r="AR91" s="400" t="s">
        <v>1613</v>
      </c>
      <c r="AS91" s="400" t="s">
        <v>1307</v>
      </c>
      <c r="AT91" s="400" t="s">
        <v>1308</v>
      </c>
      <c r="AU91" s="400" t="s">
        <v>1309</v>
      </c>
      <c r="AV91" s="401" t="s">
        <v>774</v>
      </c>
      <c r="AW91" s="402" t="s">
        <v>1310</v>
      </c>
      <c r="BH91" s="561" t="str">
        <f>Standardwerte!O40</f>
        <v>Aer. singola</v>
      </c>
      <c r="BI91" s="556">
        <v>20</v>
      </c>
      <c r="BJ91" s="570">
        <v>30</v>
      </c>
      <c r="BK91" s="569">
        <v>45</v>
      </c>
      <c r="BL91" s="556">
        <v>20</v>
      </c>
      <c r="BM91" s="570">
        <v>30</v>
      </c>
      <c r="BN91" s="569">
        <v>45</v>
      </c>
      <c r="BO91" s="556">
        <v>20</v>
      </c>
      <c r="BP91" s="570">
        <v>30</v>
      </c>
      <c r="BQ91" s="569"/>
      <c r="BR91" s="556">
        <v>16.666666666666664</v>
      </c>
      <c r="BS91" s="570">
        <v>25</v>
      </c>
      <c r="BT91" s="569"/>
    </row>
    <row r="92" spans="1:72" ht="15.75" customHeight="1">
      <c r="A92" s="139" t="s">
        <v>659</v>
      </c>
      <c r="B92" s="1139" t="s">
        <v>1224</v>
      </c>
      <c r="C92" s="1140"/>
      <c r="D92" s="1140"/>
      <c r="E92" s="1140"/>
      <c r="F92" s="1141"/>
      <c r="G92" s="1142" t="str">
        <f>IF(AND(Lüftung3=7,OR(P89=FALSE,minergiep)),"Bedingungen prüfen, siehe Anwendungshilfe",IF(OR(X91=1,P87),IF(AND(X91=5,X92=7),"Bedingungen prüfen, siehe Anwendungshilfe",IF(AND(P89,minergiep=FALSE),"1)","")),"Errore! Calcolo semplice per tipo di edificio non permesso"))</f>
        <v/>
      </c>
      <c r="H92" s="348">
        <f ca="1">AO96</f>
        <v>0</v>
      </c>
      <c r="I92" s="349"/>
      <c r="J92" s="350"/>
      <c r="K92" s="407"/>
      <c r="L92" s="387" t="s">
        <v>402</v>
      </c>
      <c r="M92" s="501">
        <v>6</v>
      </c>
      <c r="N92" s="393" t="str">
        <f>IF($P$91,Standardwerte!$L40,"")</f>
        <v/>
      </c>
      <c r="O92" s="393" t="str">
        <f>IF($P$87,Standardwerte!$O40,"")</f>
        <v/>
      </c>
      <c r="P92" s="10"/>
      <c r="Q92" s="10"/>
      <c r="R92" s="10"/>
      <c r="S92" s="10"/>
      <c r="W92" s="343" t="s">
        <v>659</v>
      </c>
      <c r="X92" s="12">
        <f>IF(P87,Lüftung3,1)</f>
        <v>1</v>
      </c>
      <c r="Y92" s="12">
        <f>(X92-2)*9</f>
        <v>-9</v>
      </c>
      <c r="Z92" s="12">
        <f>X92-2</f>
        <v>-1</v>
      </c>
      <c r="AA92" s="12" t="s">
        <v>770</v>
      </c>
      <c r="AB92" s="408"/>
      <c r="AC92" s="12" t="s">
        <v>585</v>
      </c>
      <c r="AD92" s="12" t="s">
        <v>586</v>
      </c>
      <c r="AE92" s="12" t="s">
        <v>760</v>
      </c>
      <c r="AF92" s="10"/>
      <c r="AG92" s="12" t="s">
        <v>1311</v>
      </c>
      <c r="AH92" s="12" t="s">
        <v>1312</v>
      </c>
      <c r="AI92" s="386"/>
      <c r="AJ92" s="386"/>
      <c r="AK92" s="386"/>
      <c r="AL92" s="386"/>
      <c r="AM92" s="386"/>
      <c r="AN92" s="10"/>
      <c r="AO92" s="409">
        <f t="array" aca="1" ref="AO92:AW95" ca="1">OFFSET($BH$10,0,Y91,4,9)</f>
        <v>0</v>
      </c>
      <c r="AP92" s="410">
        <f ca="1"/>
        <v>0</v>
      </c>
      <c r="AQ92" s="410">
        <f ca="1"/>
        <v>0</v>
      </c>
      <c r="AR92" s="410">
        <f ca="1"/>
        <v>0</v>
      </c>
      <c r="AS92" s="410">
        <f ca="1"/>
        <v>0</v>
      </c>
      <c r="AT92" s="410">
        <f ca="1"/>
        <v>0</v>
      </c>
      <c r="AU92" s="410">
        <f ca="1"/>
        <v>0</v>
      </c>
      <c r="AV92" s="410">
        <f ca="1"/>
        <v>0</v>
      </c>
      <c r="AW92" s="411">
        <f ca="1"/>
        <v>0</v>
      </c>
      <c r="BH92" s="562" t="str">
        <f>Standardwerte!O41</f>
        <v>Aer.finestre</v>
      </c>
      <c r="BI92" s="556"/>
      <c r="BJ92" s="564">
        <v>50</v>
      </c>
      <c r="BK92" s="569"/>
      <c r="BL92" s="556"/>
      <c r="BM92" s="564">
        <v>50</v>
      </c>
      <c r="BN92" s="569"/>
      <c r="BO92" s="563"/>
      <c r="BP92" s="564">
        <v>50</v>
      </c>
      <c r="BQ92" s="571"/>
      <c r="BR92" s="563"/>
      <c r="BS92" s="564" t="s">
        <v>776</v>
      </c>
      <c r="BT92" s="571"/>
    </row>
    <row r="93" spans="1:72">
      <c r="A93" s="139"/>
      <c r="B93" s="1205" t="s">
        <v>12</v>
      </c>
      <c r="C93" s="1143"/>
      <c r="D93" s="1143"/>
      <c r="E93" s="1143">
        <f ca="1">AR93</f>
        <v>0</v>
      </c>
      <c r="F93" s="1144"/>
      <c r="G93" s="1145"/>
      <c r="H93" s="1146">
        <f ca="1">AU93</f>
        <v>0</v>
      </c>
      <c r="I93" s="1147"/>
      <c r="J93" s="1148">
        <f>Raum3</f>
        <v>0</v>
      </c>
      <c r="K93" s="429"/>
      <c r="L93" s="390">
        <f ca="1">IF(L94&gt;0,ROUNDUP(EBFo3/L94,0),0)</f>
        <v>0</v>
      </c>
      <c r="M93" s="501">
        <v>7</v>
      </c>
      <c r="N93" s="393" t="str">
        <f>IF($P$91,Standardwerte!$L41,"")</f>
        <v/>
      </c>
      <c r="O93" s="393" t="str">
        <f>IF($P$87,Standardwerte!$O41,"")</f>
        <v/>
      </c>
      <c r="P93" s="10"/>
      <c r="Q93" s="10"/>
      <c r="R93" s="10"/>
      <c r="S93" s="10"/>
      <c r="V93" s="394"/>
      <c r="W93" s="343"/>
      <c r="X93" s="386"/>
      <c r="Y93" s="386"/>
      <c r="Z93" s="386"/>
      <c r="AA93" s="386"/>
      <c r="AB93" s="386"/>
      <c r="AC93" s="430">
        <f ca="1">OFFSET(BI$87,Z92,Z91)</f>
        <v>0</v>
      </c>
      <c r="AD93" s="430">
        <f ca="1">OFFSET(BJ$87,Z92,Z91)</f>
        <v>0</v>
      </c>
      <c r="AE93" s="430">
        <f ca="1">OFFSET(BK$87,Z92,Z91)</f>
        <v>0</v>
      </c>
      <c r="AF93" s="431" t="s">
        <v>1314</v>
      </c>
      <c r="AG93" s="12" t="str">
        <f ca="1">OFFSET($BI$110,Z92,0)</f>
        <v>v0</v>
      </c>
      <c r="AH93" s="12" t="str">
        <f ca="1">OFFSET($BJ$110,Z92,0)</f>
        <v>vx</v>
      </c>
      <c r="AI93" s="386"/>
      <c r="AJ93" s="386"/>
      <c r="AK93" s="386"/>
      <c r="AL93" s="386"/>
      <c r="AM93" s="386"/>
      <c r="AN93" s="10"/>
      <c r="AO93" s="412">
        <f ca="1"/>
        <v>0</v>
      </c>
      <c r="AP93" s="45">
        <f ca="1"/>
        <v>0</v>
      </c>
      <c r="AQ93" s="45">
        <f ca="1"/>
        <v>0</v>
      </c>
      <c r="AR93" s="45">
        <f ca="1"/>
        <v>0</v>
      </c>
      <c r="AS93" s="413">
        <f ca="1"/>
        <v>0</v>
      </c>
      <c r="AT93" s="414">
        <f ca="1"/>
        <v>0</v>
      </c>
      <c r="AU93" s="415">
        <f ca="1"/>
        <v>0</v>
      </c>
      <c r="AV93" s="416">
        <f ca="1"/>
        <v>0</v>
      </c>
      <c r="AW93" s="417">
        <f ca="1"/>
        <v>0</v>
      </c>
      <c r="BH93" s="386"/>
      <c r="BI93" s="572">
        <v>0.66666666666666663</v>
      </c>
      <c r="BJ93" s="573">
        <v>1</v>
      </c>
      <c r="BK93" s="574">
        <v>1.5</v>
      </c>
      <c r="BL93" s="572">
        <v>0.66666666666666663</v>
      </c>
      <c r="BM93" s="573">
        <v>1</v>
      </c>
      <c r="BN93" s="574">
        <v>1.5</v>
      </c>
      <c r="BO93" s="572">
        <v>0.66666666666666663</v>
      </c>
      <c r="BP93" s="573">
        <v>1</v>
      </c>
      <c r="BQ93" s="574"/>
      <c r="BR93" s="572">
        <v>0.66666666666666663</v>
      </c>
      <c r="BS93" s="573">
        <v>1</v>
      </c>
      <c r="BT93" s="574"/>
    </row>
    <row r="94" spans="1:72" ht="13.8">
      <c r="A94" s="139" t="s">
        <v>1444</v>
      </c>
      <c r="B94" s="1149"/>
      <c r="C94" s="1150"/>
      <c r="D94" s="1150"/>
      <c r="E94" s="1151" t="s">
        <v>1225</v>
      </c>
      <c r="F94" s="1152"/>
      <c r="G94" s="429"/>
      <c r="H94" s="1153" t="s">
        <v>1385</v>
      </c>
      <c r="I94" s="1154" t="s">
        <v>18</v>
      </c>
      <c r="J94" s="1155">
        <f ca="1">IF(ISNUMBER(AD93),MAX(J93*AD93,L93*AD93),0)</f>
        <v>0</v>
      </c>
      <c r="K94" s="432"/>
      <c r="L94" s="493">
        <f ca="1">OFFSET($BL$52,X91-1,0)</f>
        <v>0</v>
      </c>
      <c r="M94" s="501">
        <v>8</v>
      </c>
      <c r="N94" s="393" t="str">
        <f>IF($P$91,Standardwerte!$L42,"")</f>
        <v/>
      </c>
      <c r="O94" s="393" t="str">
        <f>IF($P$87,Standardwerte!$O42,"")</f>
        <v/>
      </c>
      <c r="P94" s="10"/>
      <c r="Q94" s="10"/>
      <c r="R94" s="10"/>
      <c r="S94" s="10"/>
      <c r="T94" s="10"/>
      <c r="U94" s="10"/>
      <c r="V94" s="394"/>
      <c r="W94" s="343" t="s">
        <v>1444</v>
      </c>
      <c r="X94" s="12">
        <f ca="1">J94</f>
        <v>0</v>
      </c>
      <c r="Y94" s="12">
        <f ca="1">IF(ISNUMBER(J94),IF(P89,J94,MAX(X94:X95)),0)*P87</f>
        <v>0</v>
      </c>
      <c r="Z94" s="12"/>
      <c r="AA94" s="12" t="s">
        <v>508</v>
      </c>
      <c r="AB94" s="433" t="s">
        <v>509</v>
      </c>
      <c r="AC94" s="430">
        <f ca="1">OFFSET(BI$76,Z92,Z91)</f>
        <v>0</v>
      </c>
      <c r="AD94" s="430">
        <f ca="1">OFFSET(BJ$76,Z92,Z91)</f>
        <v>0</v>
      </c>
      <c r="AE94" s="430">
        <f ca="1">OFFSET(BK$76,Z92,Z91)</f>
        <v>0</v>
      </c>
      <c r="AF94" s="12" t="s">
        <v>763</v>
      </c>
      <c r="AG94" s="386"/>
      <c r="AH94" s="386"/>
      <c r="AI94" s="386"/>
      <c r="AJ94" s="386"/>
      <c r="AK94" s="386"/>
      <c r="AL94" s="386"/>
      <c r="AM94" s="386"/>
      <c r="AN94" s="10"/>
      <c r="AO94" s="418">
        <f ca="1"/>
        <v>0</v>
      </c>
      <c r="AP94" s="140">
        <f ca="1"/>
        <v>0</v>
      </c>
      <c r="AQ94" s="140">
        <f ca="1"/>
        <v>0</v>
      </c>
      <c r="AR94" s="140">
        <f ca="1"/>
        <v>0</v>
      </c>
      <c r="AS94" s="419">
        <f ca="1"/>
        <v>0</v>
      </c>
      <c r="AT94" s="386">
        <f ca="1"/>
        <v>0</v>
      </c>
      <c r="AU94" s="420">
        <f ca="1"/>
        <v>0</v>
      </c>
      <c r="AV94" s="421">
        <f ca="1"/>
        <v>0</v>
      </c>
      <c r="AW94" s="422">
        <f ca="1"/>
        <v>0</v>
      </c>
      <c r="BH94" s="386"/>
      <c r="BI94" s="386"/>
      <c r="BJ94" s="386"/>
      <c r="BK94" s="386"/>
      <c r="BL94" s="386"/>
      <c r="BM94" s="386"/>
      <c r="BN94" s="386"/>
      <c r="BO94" s="386"/>
      <c r="BP94" s="386"/>
      <c r="BQ94" s="386"/>
      <c r="BR94" s="386"/>
      <c r="BS94" s="386"/>
      <c r="BT94" s="386"/>
    </row>
    <row r="95" spans="1:72" ht="13.8" thickBot="1">
      <c r="A95" s="139" t="s">
        <v>1446</v>
      </c>
      <c r="B95" s="1156"/>
      <c r="C95" s="1157"/>
      <c r="D95" s="1157"/>
      <c r="E95" s="1151" t="s">
        <v>1226</v>
      </c>
      <c r="F95" s="1158"/>
      <c r="G95" s="1159" t="str">
        <f>IF(minergiep,"",IF(P89=TRUE,"1)",""))</f>
        <v/>
      </c>
      <c r="H95" s="1160"/>
      <c r="I95" s="1160"/>
      <c r="J95" s="1405"/>
      <c r="K95" s="435"/>
      <c r="L95" s="387" t="s">
        <v>1183</v>
      </c>
      <c r="M95" s="501">
        <v>9</v>
      </c>
      <c r="N95" s="393" t="str">
        <f>IF($P$91,Standardwerte!$L43,"")</f>
        <v/>
      </c>
      <c r="O95" s="393" t="str">
        <f>IF($P$87,Standardwerte!$O43,"")</f>
        <v/>
      </c>
      <c r="P95" s="10"/>
      <c r="Q95" s="10"/>
      <c r="R95" s="10"/>
      <c r="S95" s="10"/>
      <c r="T95" s="10"/>
      <c r="U95" s="10"/>
      <c r="V95" s="394"/>
      <c r="W95" s="343" t="s">
        <v>1446</v>
      </c>
      <c r="X95" s="12">
        <f>J95</f>
        <v>0</v>
      </c>
      <c r="Y95" s="12"/>
      <c r="Z95" s="12"/>
      <c r="AA95" s="12"/>
      <c r="AB95" s="386"/>
      <c r="AC95" s="436">
        <f ca="1">OFFSET(BI$99,Z92,Z91)</f>
        <v>0</v>
      </c>
      <c r="AD95" s="436">
        <f ca="1">OFFSET(BJ$99,Z92,Z91)</f>
        <v>0</v>
      </c>
      <c r="AE95" s="436">
        <f ca="1">OFFSET(BK$99,Z92,Z91)</f>
        <v>0</v>
      </c>
      <c r="AF95" s="12" t="s">
        <v>512</v>
      </c>
      <c r="AG95" s="386"/>
      <c r="AH95" s="386"/>
      <c r="AI95" s="386"/>
      <c r="AJ95" s="386"/>
      <c r="AK95" s="386"/>
      <c r="AL95" s="386"/>
      <c r="AM95" s="386"/>
      <c r="AN95" s="10"/>
      <c r="AO95" s="423">
        <f ca="1"/>
        <v>0</v>
      </c>
      <c r="AP95" s="50">
        <f ca="1"/>
        <v>0</v>
      </c>
      <c r="AQ95" s="50">
        <f ca="1"/>
        <v>0</v>
      </c>
      <c r="AR95" s="50">
        <f ca="1"/>
        <v>0</v>
      </c>
      <c r="AS95" s="424">
        <f ca="1"/>
        <v>0</v>
      </c>
      <c r="AT95" s="425">
        <f ca="1"/>
        <v>0</v>
      </c>
      <c r="AU95" s="426">
        <f ca="1"/>
        <v>0</v>
      </c>
      <c r="AV95" s="421">
        <f ca="1"/>
        <v>0</v>
      </c>
      <c r="AW95" s="427">
        <f ca="1"/>
        <v>0</v>
      </c>
      <c r="BH95" s="386"/>
      <c r="BI95" s="386"/>
      <c r="BJ95" s="386"/>
      <c r="BK95" s="386"/>
      <c r="BL95" s="386"/>
      <c r="BM95" s="386"/>
      <c r="BN95" s="386"/>
      <c r="BO95" s="386"/>
      <c r="BP95" s="386"/>
      <c r="BQ95" s="386"/>
      <c r="BR95" s="386"/>
      <c r="BS95" s="386"/>
      <c r="BT95" s="386"/>
    </row>
    <row r="96" spans="1:72">
      <c r="A96" s="445"/>
      <c r="B96" s="1161" t="s">
        <v>1227</v>
      </c>
      <c r="C96" s="1162"/>
      <c r="D96" s="1162"/>
      <c r="E96" s="1162"/>
      <c r="F96" s="1162"/>
      <c r="G96" s="1162"/>
      <c r="H96" s="1162"/>
      <c r="I96" s="1162"/>
      <c r="J96" s="1163"/>
      <c r="K96" s="438"/>
      <c r="L96" s="1368">
        <f>IF(minergiep,Standardwerte!$BL$36,)</f>
        <v>0</v>
      </c>
      <c r="M96" s="501">
        <v>10</v>
      </c>
      <c r="N96" s="393" t="str">
        <f>IF($P$91,Standardwerte!$L44,"")</f>
        <v/>
      </c>
      <c r="O96" s="393" t="str">
        <f>IF($P$87,Standardwerte!$O44,"")</f>
        <v/>
      </c>
      <c r="P96" s="10"/>
      <c r="Q96" s="10"/>
      <c r="R96" s="10"/>
      <c r="S96" s="10"/>
      <c r="T96" s="10"/>
      <c r="U96" s="10"/>
      <c r="V96" s="394"/>
      <c r="W96" s="352"/>
      <c r="X96" s="386"/>
      <c r="Y96" s="386"/>
      <c r="Z96" s="386"/>
      <c r="AA96" s="386"/>
      <c r="AB96" s="386"/>
      <c r="AC96" s="10"/>
      <c r="AD96" s="10"/>
      <c r="AE96" s="10"/>
      <c r="AF96" s="10"/>
      <c r="AG96" s="386"/>
      <c r="AH96" s="386"/>
      <c r="AI96" s="386"/>
      <c r="AJ96" s="386"/>
      <c r="AK96" s="386"/>
      <c r="AL96" s="386"/>
      <c r="AM96" s="386"/>
      <c r="AN96" s="10"/>
      <c r="AO96" s="440">
        <f t="array" aca="1" ref="AO96:AW125" ca="1">OFFSET($BH$14,0,Y92,30,9)</f>
        <v>0</v>
      </c>
      <c r="AP96" s="441">
        <f ca="1"/>
        <v>0</v>
      </c>
      <c r="AQ96" s="441">
        <f ca="1"/>
        <v>0</v>
      </c>
      <c r="AR96" s="441">
        <f ca="1"/>
        <v>0</v>
      </c>
      <c r="AS96" s="441">
        <f ca="1"/>
        <v>0</v>
      </c>
      <c r="AT96" s="441">
        <f ca="1"/>
        <v>0</v>
      </c>
      <c r="AU96" s="441">
        <f ca="1"/>
        <v>0</v>
      </c>
      <c r="AV96" s="441">
        <f ca="1"/>
        <v>0</v>
      </c>
      <c r="AW96" s="442">
        <f ca="1"/>
        <v>0</v>
      </c>
      <c r="BH96" s="397" t="s">
        <v>1196</v>
      </c>
      <c r="BI96" s="386"/>
      <c r="BJ96" s="386"/>
      <c r="BK96" s="386"/>
      <c r="BL96" s="386"/>
      <c r="BM96" s="386"/>
      <c r="BN96" s="386"/>
      <c r="BO96" s="386"/>
      <c r="BP96" s="386"/>
      <c r="BQ96" s="386"/>
      <c r="BR96" s="386"/>
      <c r="BS96" s="386"/>
      <c r="BT96" s="386"/>
    </row>
    <row r="97" spans="1:72">
      <c r="A97" s="445"/>
      <c r="B97" s="1164">
        <f t="shared" ref="B97:B103" ca="1" si="4">AO97</f>
        <v>0</v>
      </c>
      <c r="C97" s="438"/>
      <c r="D97" s="438"/>
      <c r="E97" s="438"/>
      <c r="F97" s="438"/>
      <c r="G97" s="438"/>
      <c r="H97" s="1165" t="s">
        <v>647</v>
      </c>
      <c r="I97" s="1166"/>
      <c r="J97" s="1167"/>
      <c r="K97" s="498"/>
      <c r="L97" s="1368">
        <f>IF(minergiep,Standardwerte!$BL$37,)</f>
        <v>0</v>
      </c>
      <c r="M97" s="501">
        <v>11</v>
      </c>
      <c r="N97" s="393" t="str">
        <f>IF($P$91,Standardwerte!$L45,"")</f>
        <v/>
      </c>
      <c r="O97" s="393" t="str">
        <f>IF($P$87,Standardwerte!$O45,"")</f>
        <v/>
      </c>
      <c r="P97" s="10"/>
      <c r="Q97" s="10"/>
      <c r="R97" s="10"/>
      <c r="S97" s="10"/>
      <c r="T97" s="10"/>
      <c r="U97" s="10"/>
      <c r="V97" s="394"/>
      <c r="W97" s="352"/>
      <c r="X97" s="386"/>
      <c r="Y97" s="386"/>
      <c r="Z97" s="386"/>
      <c r="AA97" s="386"/>
      <c r="AB97" s="386"/>
      <c r="AC97" s="386" t="s">
        <v>1406</v>
      </c>
      <c r="AD97" s="386"/>
      <c r="AE97" s="386"/>
      <c r="AF97" s="386"/>
      <c r="AG97" s="386"/>
      <c r="AH97" s="386"/>
      <c r="AI97" s="386"/>
      <c r="AJ97" s="386"/>
      <c r="AK97" s="386"/>
      <c r="AL97" s="386"/>
      <c r="AM97" s="386"/>
      <c r="AN97" s="10"/>
      <c r="AO97" s="443">
        <f ca="1"/>
        <v>0</v>
      </c>
      <c r="AP97" s="444">
        <f ca="1"/>
        <v>0</v>
      </c>
      <c r="AQ97" s="444">
        <f ca="1"/>
        <v>0</v>
      </c>
      <c r="AR97" s="444">
        <f ca="1"/>
        <v>0</v>
      </c>
      <c r="AS97" s="444">
        <f ca="1"/>
        <v>0</v>
      </c>
      <c r="AT97" s="444">
        <f ca="1"/>
        <v>0</v>
      </c>
      <c r="AU97" s="445">
        <f ca="1"/>
        <v>0</v>
      </c>
      <c r="AV97" s="446">
        <f ca="1"/>
        <v>0</v>
      </c>
      <c r="AW97" s="434">
        <f ca="1"/>
        <v>0</v>
      </c>
      <c r="BH97" s="396" t="s">
        <v>544</v>
      </c>
      <c r="BI97" s="535" t="s">
        <v>1313</v>
      </c>
      <c r="BJ97" s="414"/>
      <c r="BK97" s="396"/>
      <c r="BL97" s="535" t="s">
        <v>1381</v>
      </c>
      <c r="BM97" s="414"/>
      <c r="BN97" s="396"/>
      <c r="BO97" s="535" t="s">
        <v>1382</v>
      </c>
      <c r="BP97" s="414"/>
      <c r="BQ97" s="396"/>
      <c r="BR97" s="548" t="s">
        <v>762</v>
      </c>
      <c r="BS97" s="414"/>
      <c r="BT97" s="396"/>
    </row>
    <row r="98" spans="1:72" ht="11.25" customHeight="1">
      <c r="A98" s="445" t="s">
        <v>19</v>
      </c>
      <c r="B98" s="1168">
        <f t="shared" ca="1" si="4"/>
        <v>0</v>
      </c>
      <c r="C98" s="438"/>
      <c r="D98" s="438"/>
      <c r="E98" s="438"/>
      <c r="F98" s="438"/>
      <c r="G98" s="438"/>
      <c r="H98" s="1169"/>
      <c r="I98" s="438"/>
      <c r="J98" s="1170"/>
      <c r="K98" s="438"/>
      <c r="L98" s="1369">
        <f>IF(E112=L97,2,1)</f>
        <v>2</v>
      </c>
      <c r="M98" s="501">
        <v>12</v>
      </c>
      <c r="N98" s="439" t="str">
        <f>IF($P$91,Standardwerte!$L46,"")</f>
        <v/>
      </c>
      <c r="O98" s="439" t="str">
        <f>IF($P$87,Standardwerte!$O46,"")</f>
        <v/>
      </c>
      <c r="P98" s="10"/>
      <c r="Q98" s="10"/>
      <c r="R98" s="10"/>
      <c r="S98" s="10"/>
      <c r="T98" s="10"/>
      <c r="U98" s="10"/>
      <c r="V98" s="394"/>
      <c r="W98" s="352" t="s">
        <v>589</v>
      </c>
      <c r="X98" s="12">
        <f>M99</f>
        <v>5</v>
      </c>
      <c r="Y98" s="12">
        <f ca="1">M102</f>
        <v>0</v>
      </c>
      <c r="Z98" s="12"/>
      <c r="AA98" s="12" t="s">
        <v>1328</v>
      </c>
      <c r="AB98" s="386"/>
      <c r="AC98" s="12">
        <f ca="1">OFFSET($BI$51,Y98,0)</f>
        <v>0</v>
      </c>
      <c r="AD98" s="386"/>
      <c r="AE98" s="386"/>
      <c r="AF98" s="386"/>
      <c r="AG98" s="386"/>
      <c r="AH98" s="386"/>
      <c r="AI98" s="386"/>
      <c r="AJ98" s="386"/>
      <c r="AK98" s="386"/>
      <c r="AL98" s="386"/>
      <c r="AM98" s="386"/>
      <c r="AN98" s="10"/>
      <c r="AO98" s="447">
        <f ca="1"/>
        <v>0</v>
      </c>
      <c r="AP98" s="444">
        <f ca="1"/>
        <v>0</v>
      </c>
      <c r="AQ98" s="444">
        <f ca="1"/>
        <v>0</v>
      </c>
      <c r="AR98" s="444">
        <f ca="1"/>
        <v>0</v>
      </c>
      <c r="AS98" s="444">
        <f ca="1"/>
        <v>0</v>
      </c>
      <c r="AT98" s="444">
        <f ca="1"/>
        <v>0</v>
      </c>
      <c r="AU98" s="444">
        <f ca="1"/>
        <v>0</v>
      </c>
      <c r="AV98" s="444">
        <f ca="1"/>
        <v>0</v>
      </c>
      <c r="AW98" s="434">
        <f ca="1"/>
        <v>0</v>
      </c>
      <c r="BH98" s="398"/>
      <c r="BI98" s="504" t="s">
        <v>585</v>
      </c>
      <c r="BJ98" s="425" t="s">
        <v>586</v>
      </c>
      <c r="BK98" s="398" t="s">
        <v>760</v>
      </c>
      <c r="BL98" s="504" t="s">
        <v>585</v>
      </c>
      <c r="BM98" s="425" t="s">
        <v>586</v>
      </c>
      <c r="BN98" s="398" t="s">
        <v>760</v>
      </c>
      <c r="BO98" s="504" t="s">
        <v>585</v>
      </c>
      <c r="BP98" s="425" t="s">
        <v>586</v>
      </c>
      <c r="BQ98" s="398" t="s">
        <v>760</v>
      </c>
      <c r="BR98" s="425" t="s">
        <v>585</v>
      </c>
      <c r="BS98" s="425" t="s">
        <v>586</v>
      </c>
      <c r="BT98" s="398" t="s">
        <v>760</v>
      </c>
    </row>
    <row r="99" spans="1:72" ht="11.25" customHeight="1">
      <c r="A99" s="445"/>
      <c r="B99" s="1168">
        <f t="shared" ca="1" si="4"/>
        <v>0</v>
      </c>
      <c r="C99" s="438"/>
      <c r="D99" s="438"/>
      <c r="E99" s="438"/>
      <c r="F99" s="438"/>
      <c r="G99" s="1159" t="str">
        <f>IF(minergiep,"",IF(P89=TRUE,"1)",""))</f>
        <v/>
      </c>
      <c r="H99" s="1855" t="str">
        <f ca="1">OFFSET(N99,M102-1,0)</f>
        <v/>
      </c>
      <c r="I99" s="1856"/>
      <c r="J99" s="1857"/>
      <c r="K99" s="438"/>
      <c r="L99" s="499" t="s">
        <v>1405</v>
      </c>
      <c r="M99" s="590">
        <v>5</v>
      </c>
      <c r="N99" s="390" t="str">
        <f>IF($P$91,AO119,"")</f>
        <v/>
      </c>
      <c r="P99" s="10"/>
      <c r="Q99" s="10"/>
      <c r="R99" s="10"/>
      <c r="S99" s="10"/>
      <c r="T99" s="10"/>
      <c r="U99" s="10"/>
      <c r="V99" s="394"/>
      <c r="W99" s="352"/>
      <c r="X99" s="386"/>
      <c r="Y99" s="386"/>
      <c r="Z99" s="386"/>
      <c r="AA99" s="386"/>
      <c r="AB99" s="386"/>
      <c r="AC99" s="386"/>
      <c r="AD99" s="386"/>
      <c r="AE99" s="386"/>
      <c r="AF99" s="386"/>
      <c r="AG99" s="386"/>
      <c r="AH99" s="386"/>
      <c r="AI99" s="386"/>
      <c r="AJ99" s="386"/>
      <c r="AK99" s="386"/>
      <c r="AL99" s="386"/>
      <c r="AM99" s="386"/>
      <c r="AN99" s="10"/>
      <c r="AO99" s="447">
        <f ca="1"/>
        <v>0</v>
      </c>
      <c r="AP99" s="444">
        <f ca="1"/>
        <v>0</v>
      </c>
      <c r="AQ99" s="444">
        <f ca="1"/>
        <v>0</v>
      </c>
      <c r="AR99" s="444">
        <f ca="1"/>
        <v>0</v>
      </c>
      <c r="AS99" s="444">
        <f ca="1"/>
        <v>0</v>
      </c>
      <c r="AT99" s="444">
        <f ca="1"/>
        <v>0</v>
      </c>
      <c r="AU99" s="444">
        <f ca="1"/>
        <v>0</v>
      </c>
      <c r="AV99" s="448">
        <f ca="1"/>
        <v>0</v>
      </c>
      <c r="AW99" s="434">
        <f ca="1"/>
        <v>0</v>
      </c>
      <c r="BH99" s="552" t="str">
        <f>Standardwerte!O37</f>
        <v>Aeraz.+PAC</v>
      </c>
      <c r="BI99" s="575">
        <v>0.31111111111111106</v>
      </c>
      <c r="BJ99" s="576">
        <v>0.7</v>
      </c>
      <c r="BK99" s="577">
        <v>1.575</v>
      </c>
      <c r="BL99" s="575">
        <v>0.31111111111111106</v>
      </c>
      <c r="BM99" s="576">
        <v>0.7</v>
      </c>
      <c r="BN99" s="577">
        <v>1.575</v>
      </c>
      <c r="BO99" s="575">
        <v>0.31111111111111106</v>
      </c>
      <c r="BP99" s="576">
        <v>0.7</v>
      </c>
      <c r="BQ99" s="577"/>
      <c r="BR99" s="575">
        <v>0.31111111111111106</v>
      </c>
      <c r="BS99" s="576">
        <v>0.7</v>
      </c>
      <c r="BT99" s="577"/>
    </row>
    <row r="100" spans="1:72">
      <c r="A100" s="445"/>
      <c r="B100" s="1168">
        <f t="shared" ca="1" si="4"/>
        <v>0</v>
      </c>
      <c r="C100" s="438"/>
      <c r="D100" s="438"/>
      <c r="E100" s="438"/>
      <c r="F100" s="438"/>
      <c r="G100" s="438"/>
      <c r="H100" s="438"/>
      <c r="I100" s="438"/>
      <c r="J100" s="1170"/>
      <c r="K100" s="438"/>
      <c r="L100" s="501" t="s">
        <v>1407</v>
      </c>
      <c r="M100" s="390">
        <f ca="1">AO116</f>
        <v>0</v>
      </c>
      <c r="N100" s="390" t="str">
        <f t="shared" ref="N100:N105" si="5">IF($P$91,AO120,"")</f>
        <v/>
      </c>
      <c r="P100" s="10"/>
      <c r="Q100" s="10"/>
      <c r="R100" s="10"/>
      <c r="S100" s="10"/>
      <c r="T100" s="10"/>
      <c r="U100" s="10"/>
      <c r="V100" s="394"/>
      <c r="W100" s="352"/>
      <c r="X100" s="386"/>
      <c r="Y100" s="386"/>
      <c r="Z100" s="386"/>
      <c r="AA100" s="386"/>
      <c r="AB100" s="386"/>
      <c r="AC100" s="386"/>
      <c r="AD100" s="386"/>
      <c r="AE100" s="386"/>
      <c r="AF100" s="386"/>
      <c r="AG100" s="386"/>
      <c r="AH100" s="386"/>
      <c r="AI100" s="386"/>
      <c r="AJ100" s="386"/>
      <c r="AK100" s="386"/>
      <c r="AL100" s="386"/>
      <c r="AM100" s="386"/>
      <c r="AN100" s="10"/>
      <c r="AO100" s="447">
        <f ca="1"/>
        <v>0</v>
      </c>
      <c r="AP100" s="444">
        <f ca="1"/>
        <v>0</v>
      </c>
      <c r="AQ100" s="444">
        <f ca="1"/>
        <v>0</v>
      </c>
      <c r="AR100" s="444">
        <f ca="1"/>
        <v>0</v>
      </c>
      <c r="AS100" s="444">
        <f ca="1"/>
        <v>0</v>
      </c>
      <c r="AT100" s="444">
        <f ca="1"/>
        <v>0</v>
      </c>
      <c r="AU100" s="444">
        <f ca="1"/>
        <v>0</v>
      </c>
      <c r="AV100" s="444">
        <f ca="1"/>
        <v>0</v>
      </c>
      <c r="AW100" s="434">
        <f ca="1"/>
        <v>0</v>
      </c>
      <c r="BH100" s="559" t="str">
        <f>Standardwerte!O36</f>
        <v>Aeraz.+RC</v>
      </c>
      <c r="BI100" s="578">
        <v>0.4</v>
      </c>
      <c r="BJ100" s="579">
        <v>0.9</v>
      </c>
      <c r="BK100" s="580">
        <v>2.0249999999999999</v>
      </c>
      <c r="BL100" s="578">
        <v>0.4</v>
      </c>
      <c r="BM100" s="579">
        <v>0.9</v>
      </c>
      <c r="BN100" s="580">
        <v>2.0249999999999999</v>
      </c>
      <c r="BO100" s="578">
        <v>0.35555555555555557</v>
      </c>
      <c r="BP100" s="579">
        <v>0.8</v>
      </c>
      <c r="BQ100" s="580"/>
      <c r="BR100" s="578">
        <v>0.31111111111111106</v>
      </c>
      <c r="BS100" s="579">
        <v>0.7</v>
      </c>
      <c r="BT100" s="580"/>
    </row>
    <row r="101" spans="1:72">
      <c r="A101" s="445"/>
      <c r="B101" s="1168">
        <f t="shared" ca="1" si="4"/>
        <v>0</v>
      </c>
      <c r="C101" s="438"/>
      <c r="D101" s="438"/>
      <c r="E101" s="438"/>
      <c r="F101" s="438"/>
      <c r="G101" s="438"/>
      <c r="H101" s="438"/>
      <c r="I101" s="438"/>
      <c r="J101" s="1170"/>
      <c r="K101" s="438"/>
      <c r="L101" s="501" t="s">
        <v>473</v>
      </c>
      <c r="M101" s="390">
        <v>5</v>
      </c>
      <c r="N101" s="390" t="str">
        <f t="shared" si="5"/>
        <v/>
      </c>
      <c r="P101" s="10"/>
      <c r="Q101" s="10"/>
      <c r="R101" s="10"/>
      <c r="S101" s="10"/>
      <c r="T101" s="10"/>
      <c r="U101" s="10"/>
      <c r="V101" s="394"/>
      <c r="W101" s="352"/>
      <c r="X101" s="386"/>
      <c r="Y101" s="386"/>
      <c r="Z101" s="386"/>
      <c r="AA101" s="386"/>
      <c r="AB101" s="386"/>
      <c r="AC101" s="386"/>
      <c r="AD101" s="386"/>
      <c r="AE101" s="386"/>
      <c r="AF101" s="386"/>
      <c r="AG101" s="386"/>
      <c r="AH101" s="386"/>
      <c r="AI101" s="386"/>
      <c r="AJ101" s="386"/>
      <c r="AK101" s="386"/>
      <c r="AL101" s="386"/>
      <c r="AM101" s="386"/>
      <c r="AN101" s="10"/>
      <c r="AO101" s="447">
        <f ca="1"/>
        <v>0</v>
      </c>
      <c r="AP101" s="444">
        <f ca="1"/>
        <v>0</v>
      </c>
      <c r="AQ101" s="444">
        <f ca="1"/>
        <v>0</v>
      </c>
      <c r="AR101" s="444">
        <f ca="1"/>
        <v>0</v>
      </c>
      <c r="AS101" s="444">
        <f ca="1"/>
        <v>0</v>
      </c>
      <c r="AT101" s="444">
        <f ca="1"/>
        <v>0</v>
      </c>
      <c r="AU101" s="444">
        <f ca="1"/>
        <v>0</v>
      </c>
      <c r="AV101" s="444">
        <f ca="1"/>
        <v>0</v>
      </c>
      <c r="AW101" s="434">
        <f ca="1"/>
        <v>0</v>
      </c>
      <c r="BH101" s="561" t="str">
        <f>Standardwerte!O39</f>
        <v>Estraz.+PAC</v>
      </c>
      <c r="BI101" s="578">
        <v>0.17777777777777778</v>
      </c>
      <c r="BJ101" s="579">
        <v>0.4</v>
      </c>
      <c r="BK101" s="580">
        <v>0.9</v>
      </c>
      <c r="BL101" s="578">
        <v>0.17777777777777778</v>
      </c>
      <c r="BM101" s="579">
        <v>0.4</v>
      </c>
      <c r="BN101" s="580">
        <v>0.9</v>
      </c>
      <c r="BO101" s="578">
        <v>0.17777777777777778</v>
      </c>
      <c r="BP101" s="579">
        <v>0.4</v>
      </c>
      <c r="BQ101" s="580"/>
      <c r="BR101" s="578">
        <v>0.17777777777777778</v>
      </c>
      <c r="BS101" s="579">
        <v>0.4</v>
      </c>
      <c r="BT101" s="580"/>
    </row>
    <row r="102" spans="1:72">
      <c r="A102" s="445"/>
      <c r="B102" s="1168">
        <f t="shared" ca="1" si="4"/>
        <v>0</v>
      </c>
      <c r="C102" s="438"/>
      <c r="D102" s="438"/>
      <c r="E102" s="438"/>
      <c r="F102" s="438"/>
      <c r="G102" s="438"/>
      <c r="H102" s="438"/>
      <c r="I102" s="429"/>
      <c r="J102" s="1170"/>
      <c r="K102" s="438"/>
      <c r="L102" s="501" t="s">
        <v>582</v>
      </c>
      <c r="M102" s="390">
        <f ca="1">IF(P89,MIN(M100:M101),MIN(M99:M100))</f>
        <v>0</v>
      </c>
      <c r="N102" s="390" t="str">
        <f t="shared" si="5"/>
        <v/>
      </c>
      <c r="P102" s="10"/>
      <c r="Q102" s="10"/>
      <c r="R102" s="10"/>
      <c r="S102" s="10"/>
      <c r="T102" s="10"/>
      <c r="U102" s="10"/>
      <c r="V102" s="394"/>
      <c r="W102" s="352"/>
      <c r="X102" s="386"/>
      <c r="Y102" s="386"/>
      <c r="Z102" s="386"/>
      <c r="AA102" s="386"/>
      <c r="AB102" s="386"/>
      <c r="AC102" s="386"/>
      <c r="AD102" s="386"/>
      <c r="AE102" s="386"/>
      <c r="AF102" s="386"/>
      <c r="AG102" s="386"/>
      <c r="AH102" s="386"/>
      <c r="AI102" s="386"/>
      <c r="AJ102" s="386"/>
      <c r="AK102" s="386"/>
      <c r="AL102" s="386"/>
      <c r="AM102" s="386"/>
      <c r="AN102" s="10"/>
      <c r="AO102" s="449">
        <f ca="1"/>
        <v>0</v>
      </c>
      <c r="AP102" s="444">
        <f ca="1"/>
        <v>0</v>
      </c>
      <c r="AQ102" s="444">
        <f ca="1"/>
        <v>0</v>
      </c>
      <c r="AR102" s="444">
        <f ca="1"/>
        <v>0</v>
      </c>
      <c r="AS102" s="444">
        <f ca="1"/>
        <v>0</v>
      </c>
      <c r="AT102" s="444">
        <f ca="1"/>
        <v>0</v>
      </c>
      <c r="AU102" s="444">
        <f ca="1"/>
        <v>0</v>
      </c>
      <c r="AV102" s="386">
        <f ca="1"/>
        <v>0</v>
      </c>
      <c r="AW102" s="434">
        <f ca="1"/>
        <v>0</v>
      </c>
      <c r="BH102" s="561" t="str">
        <f>Standardwerte!O38</f>
        <v>Estrazione</v>
      </c>
      <c r="BI102" s="578">
        <v>0.22222222222222221</v>
      </c>
      <c r="BJ102" s="581">
        <v>0.5</v>
      </c>
      <c r="BK102" s="580">
        <v>1.125</v>
      </c>
      <c r="BL102" s="578">
        <v>0.22222222222222221</v>
      </c>
      <c r="BM102" s="581">
        <v>0.5</v>
      </c>
      <c r="BN102" s="580">
        <v>1.125</v>
      </c>
      <c r="BO102" s="578">
        <v>0.22222222222222221</v>
      </c>
      <c r="BP102" s="581">
        <v>0.5</v>
      </c>
      <c r="BQ102" s="580"/>
      <c r="BR102" s="578">
        <v>0.22222222222222221</v>
      </c>
      <c r="BS102" s="579">
        <v>0.5</v>
      </c>
      <c r="BT102" s="580"/>
    </row>
    <row r="103" spans="1:72">
      <c r="A103" s="445"/>
      <c r="B103" s="1171">
        <f t="shared" ca="1" si="4"/>
        <v>0</v>
      </c>
      <c r="C103" s="1172"/>
      <c r="D103" s="1172"/>
      <c r="E103" s="1172"/>
      <c r="F103" s="1172"/>
      <c r="G103" s="1172"/>
      <c r="H103" s="1172"/>
      <c r="I103" s="1172"/>
      <c r="J103" s="1173"/>
      <c r="K103" s="438"/>
      <c r="L103" s="501"/>
      <c r="M103" s="390"/>
      <c r="N103" s="390" t="str">
        <f t="shared" si="5"/>
        <v/>
      </c>
      <c r="P103" s="10"/>
      <c r="Q103" s="10"/>
      <c r="R103" s="10"/>
      <c r="S103" s="10"/>
      <c r="T103" s="10"/>
      <c r="U103" s="10"/>
      <c r="V103" s="394"/>
      <c r="W103" s="352"/>
      <c r="X103" s="386"/>
      <c r="Y103" s="386"/>
      <c r="Z103" s="386"/>
      <c r="AA103" s="386"/>
      <c r="AB103" s="386"/>
      <c r="AC103" s="386" t="s">
        <v>1423</v>
      </c>
      <c r="AD103" s="386"/>
      <c r="AE103" s="386"/>
      <c r="AF103" s="386"/>
      <c r="AG103" s="386"/>
      <c r="AH103" s="386"/>
      <c r="AI103" s="386"/>
      <c r="AJ103" s="386"/>
      <c r="AK103" s="386"/>
      <c r="AL103" s="386"/>
      <c r="AM103" s="386"/>
      <c r="AN103" s="10"/>
      <c r="AO103" s="450">
        <f ca="1"/>
        <v>0</v>
      </c>
      <c r="AP103" s="451">
        <f ca="1"/>
        <v>0</v>
      </c>
      <c r="AQ103" s="451">
        <f ca="1"/>
        <v>0</v>
      </c>
      <c r="AR103" s="451">
        <f ca="1"/>
        <v>0</v>
      </c>
      <c r="AS103" s="451">
        <f ca="1"/>
        <v>0</v>
      </c>
      <c r="AT103" s="451">
        <f ca="1"/>
        <v>0</v>
      </c>
      <c r="AU103" s="451">
        <f ca="1"/>
        <v>0</v>
      </c>
      <c r="AV103" s="451">
        <f ca="1"/>
        <v>0</v>
      </c>
      <c r="AW103" s="452">
        <f ca="1"/>
        <v>0</v>
      </c>
      <c r="BH103" s="561" t="str">
        <f>Standardwerte!O40</f>
        <v>Aer. singola</v>
      </c>
      <c r="BI103" s="578">
        <v>0.31111111111111106</v>
      </c>
      <c r="BJ103" s="581">
        <v>0.7</v>
      </c>
      <c r="BK103" s="580">
        <v>1.575</v>
      </c>
      <c r="BL103" s="578">
        <v>0.31111111111111106</v>
      </c>
      <c r="BM103" s="581">
        <v>0.7</v>
      </c>
      <c r="BN103" s="580">
        <v>1.575</v>
      </c>
      <c r="BO103" s="578">
        <v>0.31111111111111106</v>
      </c>
      <c r="BP103" s="581">
        <v>0.7</v>
      </c>
      <c r="BQ103" s="580"/>
      <c r="BR103" s="578">
        <v>0.31111111111111106</v>
      </c>
      <c r="BS103" s="581">
        <v>0.7</v>
      </c>
      <c r="BT103" s="580"/>
    </row>
    <row r="104" spans="1:72">
      <c r="A104" s="626" t="s">
        <v>589</v>
      </c>
      <c r="B104" s="1206" t="s">
        <v>26</v>
      </c>
      <c r="C104" s="1162"/>
      <c r="D104" s="1162"/>
      <c r="E104" s="364"/>
      <c r="F104" s="364"/>
      <c r="G104" s="1159" t="str">
        <f>IF(minergiep,"",IF(P89=TRUE,"1)",""))</f>
        <v/>
      </c>
      <c r="H104" s="1843">
        <f>INDEX(Standardwerte!$BT$35:$BT$39,M106)</f>
        <v>1</v>
      </c>
      <c r="I104" s="1858"/>
      <c r="J104" s="1859"/>
      <c r="K104" s="506"/>
      <c r="L104" s="501"/>
      <c r="M104" s="390"/>
      <c r="N104" s="390" t="str">
        <f t="shared" si="5"/>
        <v/>
      </c>
      <c r="P104" s="10"/>
      <c r="Q104" s="10"/>
      <c r="R104" s="10"/>
      <c r="S104" s="10"/>
      <c r="T104" s="10"/>
      <c r="U104" s="10"/>
      <c r="V104" s="394"/>
      <c r="W104" s="363" t="s">
        <v>564</v>
      </c>
      <c r="X104" s="12">
        <f>M106</f>
        <v>1</v>
      </c>
      <c r="Y104" s="12">
        <f ca="1">M108</f>
        <v>0</v>
      </c>
      <c r="Z104" s="12"/>
      <c r="AA104" s="12" t="s">
        <v>1329</v>
      </c>
      <c r="AB104" s="386"/>
      <c r="AC104" s="892">
        <f ca="1">IF(AND(Y104=2,E106&gt;0),0.8,1)</f>
        <v>1</v>
      </c>
      <c r="AD104" s="386"/>
      <c r="AE104" s="386"/>
      <c r="AF104" s="386"/>
      <c r="AG104" s="386"/>
      <c r="AH104" s="386"/>
      <c r="AI104" s="386"/>
      <c r="AJ104" s="386"/>
      <c r="AK104" s="386"/>
      <c r="AL104" s="386"/>
      <c r="AM104" s="386"/>
      <c r="AN104" s="10"/>
      <c r="AO104" s="453">
        <f ca="1"/>
        <v>0</v>
      </c>
      <c r="AP104" s="454">
        <f ca="1"/>
        <v>0</v>
      </c>
      <c r="AQ104" s="454">
        <f ca="1"/>
        <v>0</v>
      </c>
      <c r="AR104" s="455">
        <f ca="1"/>
        <v>0</v>
      </c>
      <c r="AS104" s="455">
        <f ca="1"/>
        <v>0</v>
      </c>
      <c r="AT104" s="455">
        <f ca="1"/>
        <v>0</v>
      </c>
      <c r="AU104" s="414">
        <f ca="1"/>
        <v>0</v>
      </c>
      <c r="AV104" s="414">
        <f ca="1"/>
        <v>0</v>
      </c>
      <c r="AW104" s="417">
        <f ca="1"/>
        <v>0</v>
      </c>
      <c r="BH104" s="562" t="str">
        <f>Standardwerte!O41</f>
        <v>Aer.finestre</v>
      </c>
      <c r="BI104" s="582"/>
      <c r="BJ104" s="583">
        <v>1.2E-2</v>
      </c>
      <c r="BK104" s="584"/>
      <c r="BL104" s="582"/>
      <c r="BM104" s="583">
        <v>1.2E-2</v>
      </c>
      <c r="BN104" s="584"/>
      <c r="BO104" s="582"/>
      <c r="BP104" s="583">
        <v>3.2000000000000001E-2</v>
      </c>
      <c r="BQ104" s="584"/>
      <c r="BR104" s="582"/>
      <c r="BS104" s="583" t="s">
        <v>776</v>
      </c>
      <c r="BT104" s="584"/>
    </row>
    <row r="105" spans="1:72">
      <c r="A105" s="626"/>
      <c r="B105" s="443" t="str">
        <f>IF(M106=2,LER_Text1,"")</f>
        <v/>
      </c>
      <c r="C105" s="355"/>
      <c r="D105" s="355"/>
      <c r="E105" s="365"/>
      <c r="F105" s="365"/>
      <c r="G105" s="365"/>
      <c r="H105" s="1564"/>
      <c r="I105" s="365"/>
      <c r="J105" s="366"/>
      <c r="K105" s="506"/>
      <c r="L105" s="504"/>
      <c r="M105" s="493"/>
      <c r="N105" s="390" t="str">
        <f t="shared" si="5"/>
        <v/>
      </c>
      <c r="P105" s="10"/>
      <c r="Q105" s="10"/>
      <c r="R105" s="10"/>
      <c r="S105" s="10"/>
      <c r="T105" s="10"/>
      <c r="U105" s="10"/>
      <c r="V105" s="394"/>
      <c r="W105" s="363"/>
      <c r="X105" s="386"/>
      <c r="Y105" s="386"/>
      <c r="Z105" s="386"/>
      <c r="AA105" s="386"/>
      <c r="AB105" s="386"/>
      <c r="AC105" s="386"/>
      <c r="AD105" s="386"/>
      <c r="AE105" s="386"/>
      <c r="AF105" s="386"/>
      <c r="AG105" s="386"/>
      <c r="AH105" s="386"/>
      <c r="AI105" s="386"/>
      <c r="AJ105" s="386"/>
      <c r="AK105" s="386"/>
      <c r="AL105" s="386"/>
      <c r="AM105" s="386"/>
      <c r="AN105" s="10"/>
      <c r="AO105" s="443">
        <f ca="1"/>
        <v>0</v>
      </c>
      <c r="AP105" s="444">
        <f ca="1"/>
        <v>0</v>
      </c>
      <c r="AQ105" s="444">
        <f ca="1"/>
        <v>0</v>
      </c>
      <c r="AR105" s="456">
        <f ca="1"/>
        <v>0</v>
      </c>
      <c r="AS105" s="456">
        <f ca="1"/>
        <v>0</v>
      </c>
      <c r="AT105" s="456">
        <f ca="1"/>
        <v>0</v>
      </c>
      <c r="AU105" s="386">
        <f ca="1"/>
        <v>0</v>
      </c>
      <c r="AV105" s="386">
        <f ca="1"/>
        <v>0</v>
      </c>
      <c r="AW105" s="434">
        <f ca="1"/>
        <v>0</v>
      </c>
      <c r="BH105" s="386"/>
      <c r="BI105" s="572">
        <v>0.44444444444444442</v>
      </c>
      <c r="BJ105" s="585">
        <v>1</v>
      </c>
      <c r="BK105" s="586">
        <v>2.25</v>
      </c>
      <c r="BL105" s="572">
        <v>0.44444444444444442</v>
      </c>
      <c r="BM105" s="585">
        <v>1</v>
      </c>
      <c r="BN105" s="586">
        <v>2.25</v>
      </c>
      <c r="BO105" s="572">
        <v>0.44444444444444442</v>
      </c>
      <c r="BP105" s="585">
        <v>1</v>
      </c>
      <c r="BQ105" s="586"/>
      <c r="BR105" s="572">
        <v>0.44444444444444442</v>
      </c>
      <c r="BS105" s="585">
        <v>1</v>
      </c>
      <c r="BT105" s="586"/>
    </row>
    <row r="106" spans="1:72" ht="15.75" customHeight="1">
      <c r="A106" s="627"/>
      <c r="B106" s="1736" t="str">
        <f>IF(M106=1,LER_Text0,IF(M106=2,LER_Text2,LER_Text3))</f>
        <v>La protezione contro il giaccio deve essere garantita</v>
      </c>
      <c r="C106" s="361"/>
      <c r="D106" s="1566"/>
      <c r="E106" s="1567"/>
      <c r="F106" s="1738" t="str">
        <f>IF(M106=1,LER_Text6,IF(M106=2,"m","%"))</f>
        <v>Compilare la casella E25</v>
      </c>
      <c r="G106" s="361"/>
      <c r="H106" s="1568" t="str">
        <f>IF(M106&gt;2,LER_Text5,"")</f>
        <v/>
      </c>
      <c r="I106" s="361"/>
      <c r="J106" s="362"/>
      <c r="K106" s="438"/>
      <c r="L106" s="507" t="s">
        <v>1405</v>
      </c>
      <c r="M106" s="590">
        <v>1</v>
      </c>
      <c r="N106" s="508">
        <f ca="1">IF(minergiep,"no",AP119)</f>
        <v>0</v>
      </c>
      <c r="Q106" s="509"/>
      <c r="R106" s="10"/>
      <c r="S106" s="10"/>
      <c r="T106" s="10"/>
      <c r="U106" s="10"/>
      <c r="V106" s="394"/>
      <c r="W106" s="367"/>
      <c r="X106" s="386"/>
      <c r="Y106" s="386"/>
      <c r="Z106" s="386"/>
      <c r="AA106" s="386"/>
      <c r="AB106" s="386"/>
      <c r="AC106" s="10"/>
      <c r="AD106" s="10"/>
      <c r="AE106" s="10"/>
      <c r="AF106" s="386"/>
      <c r="AG106" s="386"/>
      <c r="AH106" s="386"/>
      <c r="AI106" s="386"/>
      <c r="AJ106" s="386"/>
      <c r="AK106" s="386"/>
      <c r="AL106" s="386"/>
      <c r="AM106" s="386"/>
      <c r="AN106" s="10"/>
      <c r="AO106" s="443">
        <f ca="1"/>
        <v>0</v>
      </c>
      <c r="AP106" s="444">
        <f ca="1"/>
        <v>0</v>
      </c>
      <c r="AQ106" s="446">
        <f ca="1"/>
        <v>0</v>
      </c>
      <c r="AR106" s="386">
        <f ca="1"/>
        <v>0</v>
      </c>
      <c r="AS106" s="445">
        <f ca="1"/>
        <v>0</v>
      </c>
      <c r="AT106" s="444">
        <f ca="1"/>
        <v>0</v>
      </c>
      <c r="AU106" s="386">
        <f ca="1"/>
        <v>0</v>
      </c>
      <c r="AV106" s="386">
        <f ca="1"/>
        <v>0</v>
      </c>
      <c r="AW106" s="434">
        <f ca="1"/>
        <v>0</v>
      </c>
      <c r="BH106" s="386"/>
      <c r="BI106" s="386"/>
      <c r="BJ106" s="386"/>
      <c r="BK106" s="386"/>
      <c r="BL106" s="386"/>
      <c r="BM106" s="386"/>
      <c r="BN106" s="386"/>
      <c r="BO106" s="386"/>
      <c r="BP106" s="386"/>
      <c r="BQ106" s="386"/>
      <c r="BR106" s="386"/>
      <c r="BS106" s="386"/>
      <c r="BT106" s="386"/>
    </row>
    <row r="107" spans="1:72">
      <c r="A107" s="628" t="s">
        <v>564</v>
      </c>
      <c r="B107" s="1207" t="s">
        <v>1109</v>
      </c>
      <c r="C107" s="364"/>
      <c r="D107" s="364"/>
      <c r="E107" s="1175" t="s">
        <v>753</v>
      </c>
      <c r="F107" s="1145"/>
      <c r="G107" s="364"/>
      <c r="H107" s="1860"/>
      <c r="I107" s="1861"/>
      <c r="J107" s="1862"/>
      <c r="K107" s="506"/>
      <c r="L107" s="390" t="s">
        <v>1407</v>
      </c>
      <c r="M107" s="390">
        <f ca="1">IF(P89,1,AP116)</f>
        <v>0</v>
      </c>
      <c r="N107" s="511">
        <f ca="1">IF(minergiep,"si",AP120)</f>
        <v>0</v>
      </c>
      <c r="W107" s="368" t="s">
        <v>565</v>
      </c>
      <c r="X107" s="12"/>
      <c r="Y107" s="12"/>
      <c r="Z107" s="12"/>
      <c r="AA107" s="12"/>
      <c r="AB107" s="386"/>
      <c r="AC107" s="386"/>
      <c r="AD107" s="386"/>
      <c r="AE107" s="386"/>
      <c r="AF107" s="386"/>
      <c r="AG107" s="386"/>
      <c r="AH107" s="386"/>
      <c r="AI107" s="386"/>
      <c r="AJ107" s="386"/>
      <c r="AK107" s="386"/>
      <c r="AL107" s="386"/>
      <c r="AM107" s="386"/>
      <c r="AN107" s="10"/>
      <c r="AO107" s="457">
        <f ca="1"/>
        <v>0</v>
      </c>
      <c r="AP107" s="455">
        <f ca="1"/>
        <v>0</v>
      </c>
      <c r="AQ107" s="455">
        <f ca="1"/>
        <v>0</v>
      </c>
      <c r="AR107" s="458">
        <f ca="1"/>
        <v>0</v>
      </c>
      <c r="AS107" s="414">
        <f ca="1"/>
        <v>0</v>
      </c>
      <c r="AT107" s="459">
        <f ca="1"/>
        <v>0</v>
      </c>
      <c r="AU107" s="460">
        <f ca="1"/>
        <v>0</v>
      </c>
      <c r="AV107" s="461">
        <f ca="1"/>
        <v>0</v>
      </c>
      <c r="AW107" s="462">
        <f ca="1"/>
        <v>0</v>
      </c>
      <c r="BH107" s="397"/>
      <c r="BI107" s="386"/>
      <c r="BJ107" s="386"/>
      <c r="BK107" s="386"/>
      <c r="BL107" s="386"/>
      <c r="BM107" s="386"/>
      <c r="BN107" s="386"/>
      <c r="BO107" s="386"/>
      <c r="BP107" s="386"/>
      <c r="BQ107" s="386"/>
      <c r="BR107" s="386"/>
      <c r="BS107" s="386"/>
      <c r="BT107" s="386"/>
    </row>
    <row r="108" spans="1:72" ht="15.75" customHeight="1">
      <c r="A108" s="445" t="s">
        <v>565</v>
      </c>
      <c r="B108" s="1149"/>
      <c r="C108" s="438"/>
      <c r="D108" s="438"/>
      <c r="E108" s="1203" t="s">
        <v>1214</v>
      </c>
      <c r="F108" s="429"/>
      <c r="G108" s="1176"/>
      <c r="H108" s="1864">
        <f ca="1">OFFSET(N110,M112-1,0)</f>
        <v>0</v>
      </c>
      <c r="I108" s="1865"/>
      <c r="J108" s="1866"/>
      <c r="K108" s="438"/>
      <c r="L108" s="493" t="s">
        <v>582</v>
      </c>
      <c r="M108" s="493">
        <f ca="1">MIN(M106:M107)</f>
        <v>0</v>
      </c>
      <c r="W108" s="352" t="s">
        <v>587</v>
      </c>
      <c r="X108" s="12">
        <f>M110</f>
        <v>1</v>
      </c>
      <c r="Y108" s="12">
        <f ca="1">M112</f>
        <v>0</v>
      </c>
      <c r="Z108" s="12"/>
      <c r="AA108" s="12"/>
      <c r="AB108" s="386"/>
      <c r="AC108" s="12">
        <f ca="1">MAX(IF(AND(Kategorie3&lt;4,Standardlüftung3=3),OFFSET(P110,Y108-1,0),OFFSET(P110,Y108-1,0)),0)</f>
        <v>0</v>
      </c>
      <c r="AD108" s="386"/>
      <c r="AE108" s="386"/>
      <c r="AF108" s="386"/>
      <c r="AG108" s="386"/>
      <c r="AH108" s="386"/>
      <c r="AI108" s="386"/>
      <c r="AJ108" s="386"/>
      <c r="AK108" s="386"/>
      <c r="AL108" s="386"/>
      <c r="AM108" s="386"/>
      <c r="AN108" s="10"/>
      <c r="AO108" s="418">
        <f ca="1"/>
        <v>0</v>
      </c>
      <c r="AP108" s="444">
        <f ca="1"/>
        <v>0</v>
      </c>
      <c r="AQ108" s="444">
        <f ca="1"/>
        <v>0</v>
      </c>
      <c r="AR108" s="444">
        <f ca="1"/>
        <v>0</v>
      </c>
      <c r="AS108" s="386">
        <f ca="1"/>
        <v>0</v>
      </c>
      <c r="AT108" s="444">
        <f ca="1"/>
        <v>0</v>
      </c>
      <c r="AU108" s="463">
        <f ca="1"/>
        <v>0</v>
      </c>
      <c r="AV108" s="464">
        <f ca="1"/>
        <v>0</v>
      </c>
      <c r="AW108" s="465">
        <f ca="1"/>
        <v>0</v>
      </c>
      <c r="BH108" s="397" t="s">
        <v>1202</v>
      </c>
      <c r="BI108" s="386"/>
      <c r="BJ108" s="386"/>
      <c r="BK108" s="386"/>
      <c r="BL108" s="386"/>
      <c r="BM108" s="386"/>
      <c r="BN108" s="386"/>
      <c r="BO108" s="386"/>
      <c r="BP108" s="386"/>
      <c r="BQ108" s="386"/>
      <c r="BR108" s="386"/>
      <c r="BS108" s="386"/>
      <c r="BT108" s="386"/>
    </row>
    <row r="109" spans="1:72" ht="15.75" customHeight="1">
      <c r="A109" s="628" t="s">
        <v>587</v>
      </c>
      <c r="B109" s="1149"/>
      <c r="C109" s="438"/>
      <c r="D109" s="438"/>
      <c r="E109" s="438" t="s">
        <v>1411</v>
      </c>
      <c r="F109" s="429"/>
      <c r="G109" s="438"/>
      <c r="H109" s="1864">
        <f ca="1">OFFSET(N113,M115-1,0)</f>
        <v>0</v>
      </c>
      <c r="I109" s="1865"/>
      <c r="J109" s="1866"/>
      <c r="K109" s="438"/>
      <c r="L109" s="386" t="s">
        <v>1424</v>
      </c>
      <c r="M109" s="386">
        <f ca="1">INDEX(AT119:AT121,M110,1)</f>
        <v>0</v>
      </c>
      <c r="W109" s="352" t="s">
        <v>588</v>
      </c>
      <c r="X109" s="12">
        <f>M113</f>
        <v>1</v>
      </c>
      <c r="Y109" s="12">
        <f ca="1">M115</f>
        <v>0</v>
      </c>
      <c r="Z109" s="12"/>
      <c r="AA109" s="12"/>
      <c r="AB109" s="386"/>
      <c r="AC109" s="387">
        <f ca="1">IF(Y109=1,1,0.5)</f>
        <v>0.5</v>
      </c>
      <c r="AD109" s="386"/>
      <c r="AE109" s="386"/>
      <c r="AF109" s="386"/>
      <c r="AG109" s="386"/>
      <c r="AH109" s="386"/>
      <c r="AI109" s="386"/>
      <c r="AJ109" s="386"/>
      <c r="AK109" s="386"/>
      <c r="AL109" s="386"/>
      <c r="AM109" s="386"/>
      <c r="AN109" s="10"/>
      <c r="AO109" s="418">
        <f ca="1"/>
        <v>0</v>
      </c>
      <c r="AP109" s="444">
        <f ca="1"/>
        <v>0</v>
      </c>
      <c r="AQ109" s="444">
        <f ca="1"/>
        <v>0</v>
      </c>
      <c r="AR109" s="444">
        <f ca="1"/>
        <v>0</v>
      </c>
      <c r="AS109" s="386">
        <f ca="1"/>
        <v>0</v>
      </c>
      <c r="AT109" s="444">
        <f ca="1"/>
        <v>0</v>
      </c>
      <c r="AU109" s="463">
        <f ca="1"/>
        <v>0</v>
      </c>
      <c r="AV109" s="464">
        <f ca="1"/>
        <v>0</v>
      </c>
      <c r="AW109" s="466">
        <f ca="1"/>
        <v>0</v>
      </c>
      <c r="BH109" s="408" t="s">
        <v>544</v>
      </c>
      <c r="BI109" s="12" t="s">
        <v>1203</v>
      </c>
      <c r="BJ109" s="12" t="s">
        <v>1204</v>
      </c>
      <c r="BK109" s="386"/>
      <c r="BL109" s="386"/>
      <c r="BM109" s="386"/>
      <c r="BN109" s="386"/>
      <c r="BO109" s="386"/>
      <c r="BP109" s="386"/>
      <c r="BQ109" s="386"/>
      <c r="BR109" s="386"/>
      <c r="BS109" s="386"/>
      <c r="BT109" s="386"/>
    </row>
    <row r="110" spans="1:72" ht="15.75" customHeight="1">
      <c r="A110" s="445" t="s">
        <v>588</v>
      </c>
      <c r="B110" s="1149"/>
      <c r="C110" s="1863">
        <f>IF(AND(M116=2,Lüftung3=3),"überprüfen:   V(Stufe1) &gt; Vmin,Anlage",)</f>
        <v>0</v>
      </c>
      <c r="D110" s="1863"/>
      <c r="E110" s="1203" t="s">
        <v>1215</v>
      </c>
      <c r="F110" s="1177"/>
      <c r="G110" s="1159" t="str">
        <f>IF(minergiep,"",IF(P89=TRUE,"1)",""))</f>
        <v/>
      </c>
      <c r="H110" s="1864">
        <f ca="1">OFFSET(N116,M118-1,0)</f>
        <v>0</v>
      </c>
      <c r="I110" s="1865"/>
      <c r="J110" s="1866"/>
      <c r="K110" s="438"/>
      <c r="L110" s="507" t="s">
        <v>1405</v>
      </c>
      <c r="M110" s="590">
        <f>WRGtyp3</f>
        <v>1</v>
      </c>
      <c r="N110" s="387">
        <f ca="1">AQ119</f>
        <v>0</v>
      </c>
      <c r="O110" s="387">
        <f ca="1">AU123</f>
        <v>0</v>
      </c>
      <c r="P110" s="514">
        <f ca="1">AV119</f>
        <v>0</v>
      </c>
      <c r="W110" s="352" t="s">
        <v>757</v>
      </c>
      <c r="X110" s="12">
        <f>M116</f>
        <v>1</v>
      </c>
      <c r="Y110" s="12">
        <f ca="1">M118</f>
        <v>0</v>
      </c>
      <c r="Z110" s="12"/>
      <c r="AA110" s="12"/>
      <c r="AB110" s="386"/>
      <c r="AC110" s="12" t="s">
        <v>585</v>
      </c>
      <c r="AD110" s="12" t="s">
        <v>586</v>
      </c>
      <c r="AE110" s="12" t="s">
        <v>760</v>
      </c>
      <c r="AF110" s="11" t="s">
        <v>1425</v>
      </c>
      <c r="AG110" s="386"/>
      <c r="AH110" s="386"/>
      <c r="AI110" s="386"/>
      <c r="AJ110" s="386"/>
      <c r="AK110" s="386"/>
      <c r="AL110" s="386"/>
      <c r="AM110" s="386"/>
      <c r="AN110" s="10"/>
      <c r="AO110" s="418">
        <f ca="1"/>
        <v>0</v>
      </c>
      <c r="AP110" s="444">
        <f ca="1"/>
        <v>0</v>
      </c>
      <c r="AQ110" s="444">
        <f ca="1"/>
        <v>0</v>
      </c>
      <c r="AR110" s="444">
        <f ca="1"/>
        <v>0</v>
      </c>
      <c r="AS110" s="386">
        <f ca="1"/>
        <v>0</v>
      </c>
      <c r="AT110" s="444">
        <f ca="1"/>
        <v>0</v>
      </c>
      <c r="AU110" s="463">
        <f ca="1"/>
        <v>0</v>
      </c>
      <c r="AV110" s="464">
        <f ca="1"/>
        <v>0</v>
      </c>
      <c r="AW110" s="466">
        <f ca="1"/>
        <v>0</v>
      </c>
      <c r="BH110" s="559" t="str">
        <f>Standardwerte!O37</f>
        <v>Aeraz.+PAC</v>
      </c>
      <c r="BI110" s="387">
        <v>0.15</v>
      </c>
      <c r="BJ110" s="390">
        <v>0.15</v>
      </c>
      <c r="BK110" s="386"/>
      <c r="BL110" s="386"/>
      <c r="BM110" s="386"/>
      <c r="BN110" s="386"/>
      <c r="BO110" s="386"/>
      <c r="BP110" s="386"/>
      <c r="BQ110" s="386"/>
      <c r="BR110" s="386"/>
      <c r="BS110" s="386"/>
      <c r="BT110" s="386"/>
    </row>
    <row r="111" spans="1:72">
      <c r="A111" s="628" t="s">
        <v>757</v>
      </c>
      <c r="B111" s="1079"/>
      <c r="C111" s="1178">
        <f ca="1">AP111</f>
        <v>0</v>
      </c>
      <c r="D111" s="1178"/>
      <c r="E111" s="1080"/>
      <c r="F111" s="1179"/>
      <c r="G111" s="1180">
        <f ca="1">IF(minergiep,"Valore standard ",AT111)</f>
        <v>0</v>
      </c>
      <c r="H111" s="1181">
        <f ca="1">AU111</f>
        <v>0</v>
      </c>
      <c r="I111" s="1182">
        <f ca="1">AV111</f>
        <v>0</v>
      </c>
      <c r="J111" s="371">
        <f ca="1">Y111</f>
        <v>0</v>
      </c>
      <c r="K111" s="518"/>
      <c r="L111" s="390" t="s">
        <v>1407</v>
      </c>
      <c r="M111" s="390">
        <f ca="1">AQ116</f>
        <v>0</v>
      </c>
      <c r="N111" s="390">
        <f ca="1">AQ120</f>
        <v>0</v>
      </c>
      <c r="O111" s="390">
        <f ca="1">AU124</f>
        <v>0</v>
      </c>
      <c r="P111" s="516">
        <f ca="1">AV120</f>
        <v>0</v>
      </c>
      <c r="W111" s="352" t="s">
        <v>758</v>
      </c>
      <c r="X111" s="520">
        <f ca="1">P113</f>
        <v>0</v>
      </c>
      <c r="Y111" s="1574">
        <f ca="1">MAX(0,IF(ISBLANK(J112),IF(AND(minergiep,X111=70),X111,X111-10),MIN(IF(AND(Kategorie3&lt;4,Standardlüftung3=3,minergiep=FALSE),X111-10,X111),X112)))</f>
        <v>0</v>
      </c>
      <c r="Z111" s="430"/>
      <c r="AA111" s="521" t="s">
        <v>1426</v>
      </c>
      <c r="AB111" s="467"/>
      <c r="AC111" s="522">
        <f ca="1">IF($Y110=2,AC94,0)</f>
        <v>0</v>
      </c>
      <c r="AD111" s="522">
        <f ca="1">IF($Y110=2,AD94,$AC94+$AD94+$AE94)</f>
        <v>0</v>
      </c>
      <c r="AE111" s="522">
        <f ca="1">IF($Y110=2,AE94,0)</f>
        <v>0</v>
      </c>
      <c r="AF111" s="522">
        <f ca="1">SUM(AC111:AE111)</f>
        <v>0</v>
      </c>
      <c r="AG111" s="12" t="s">
        <v>481</v>
      </c>
      <c r="AH111" s="467"/>
      <c r="AI111" s="467"/>
      <c r="AJ111" s="467"/>
      <c r="AK111" s="467"/>
      <c r="AL111" s="467"/>
      <c r="AM111" s="467"/>
      <c r="AN111" s="369"/>
      <c r="AO111" s="443">
        <f ca="1"/>
        <v>0</v>
      </c>
      <c r="AP111" s="444">
        <f ca="1"/>
        <v>0</v>
      </c>
      <c r="AQ111" s="467">
        <f ca="1"/>
        <v>0</v>
      </c>
      <c r="AR111" s="444">
        <f ca="1"/>
        <v>0</v>
      </c>
      <c r="AS111" s="467">
        <f ca="1"/>
        <v>0</v>
      </c>
      <c r="AT111" s="468">
        <f ca="1"/>
        <v>0</v>
      </c>
      <c r="AU111" s="469">
        <f ca="1"/>
        <v>0</v>
      </c>
      <c r="AV111" s="470">
        <f ca="1"/>
        <v>0</v>
      </c>
      <c r="AW111" s="471">
        <f ca="1"/>
        <v>0</v>
      </c>
      <c r="BH111" s="559" t="str">
        <f>Standardwerte!O36</f>
        <v>Aeraz.+RC</v>
      </c>
      <c r="BI111" s="390">
        <v>0.15</v>
      </c>
      <c r="BJ111" s="390">
        <v>0.15</v>
      </c>
      <c r="BK111" s="386"/>
      <c r="BL111" s="386"/>
      <c r="BM111" s="386"/>
      <c r="BN111" s="386"/>
      <c r="BO111" s="386"/>
      <c r="BP111" s="386"/>
      <c r="BQ111" s="386"/>
      <c r="BR111" s="386"/>
      <c r="BS111" s="386"/>
      <c r="BT111" s="386"/>
    </row>
    <row r="112" spans="1:72">
      <c r="A112" s="445"/>
      <c r="B112" s="1081"/>
      <c r="C112" s="1367" t="str">
        <f>IF(minergiep,"apparecchio di aerazione certificato?","")</f>
        <v/>
      </c>
      <c r="D112" s="1133"/>
      <c r="E112" s="1366"/>
      <c r="F112" s="1183"/>
      <c r="G112" s="1184">
        <f ca="1">AT112</f>
        <v>0</v>
      </c>
      <c r="H112" s="1185"/>
      <c r="I112" s="1186"/>
      <c r="J112" s="591"/>
      <c r="K112" s="518"/>
      <c r="L112" s="493" t="s">
        <v>582</v>
      </c>
      <c r="M112" s="493">
        <f ca="1">MIN(M110:M111)</f>
        <v>0</v>
      </c>
      <c r="N112" s="493">
        <f ca="1">AQ121</f>
        <v>0</v>
      </c>
      <c r="O112" s="493">
        <f ca="1">AU125</f>
        <v>0</v>
      </c>
      <c r="P112" s="516">
        <f ca="1">AV121</f>
        <v>0</v>
      </c>
      <c r="W112" s="352"/>
      <c r="X112" s="520">
        <f>J112</f>
        <v>0</v>
      </c>
      <c r="Y112" s="521"/>
      <c r="Z112" s="521"/>
      <c r="AA112" s="521"/>
      <c r="AB112" s="467"/>
      <c r="AC112" s="430" t="e">
        <f ca="1">AC93/AD93*AD112</f>
        <v>#DIV/0!</v>
      </c>
      <c r="AD112" s="430">
        <f ca="1">VSup3</f>
        <v>0</v>
      </c>
      <c r="AE112" s="430" t="e">
        <f ca="1">AE93/AD93*AD112</f>
        <v>#DIV/0!</v>
      </c>
      <c r="AF112" s="524" t="e">
        <f ca="1">(AC112*AC111+AD112*AD111+AE112*AE111)/AF111</f>
        <v>#DIV/0!</v>
      </c>
      <c r="AG112" s="12" t="s">
        <v>482</v>
      </c>
      <c r="AH112" s="467"/>
      <c r="AI112" s="467"/>
      <c r="AJ112" s="467"/>
      <c r="AK112" s="467"/>
      <c r="AL112" s="467"/>
      <c r="AM112" s="467"/>
      <c r="AN112" s="369"/>
      <c r="AO112" s="472">
        <f ca="1"/>
        <v>0</v>
      </c>
      <c r="AP112" s="467">
        <f ca="1"/>
        <v>0</v>
      </c>
      <c r="AQ112" s="444">
        <f ca="1"/>
        <v>0</v>
      </c>
      <c r="AR112" s="444">
        <f ca="1"/>
        <v>0</v>
      </c>
      <c r="AS112" s="467">
        <f ca="1"/>
        <v>0</v>
      </c>
      <c r="AT112" s="468">
        <f ca="1"/>
        <v>0</v>
      </c>
      <c r="AU112" s="469">
        <f ca="1"/>
        <v>0</v>
      </c>
      <c r="AV112" s="470">
        <f ca="1"/>
        <v>0</v>
      </c>
      <c r="AW112" s="473">
        <f ca="1"/>
        <v>0</v>
      </c>
      <c r="BH112" s="561" t="str">
        <f>Standardwerte!O39</f>
        <v>Estraz.+PAC</v>
      </c>
      <c r="BI112" s="390">
        <v>0.15</v>
      </c>
      <c r="BJ112" s="390">
        <v>0</v>
      </c>
      <c r="BK112" s="386"/>
      <c r="BL112" s="386"/>
      <c r="BM112" s="386"/>
      <c r="BN112" s="386"/>
      <c r="BO112" s="386"/>
      <c r="BP112" s="386"/>
      <c r="BQ112" s="386"/>
      <c r="BR112" s="386"/>
      <c r="BS112" s="386"/>
      <c r="BT112" s="386"/>
    </row>
    <row r="113" spans="1:72" ht="15">
      <c r="A113" s="445" t="s">
        <v>758</v>
      </c>
      <c r="B113" s="1570" t="s">
        <v>338</v>
      </c>
      <c r="D113" s="438"/>
      <c r="E113" s="369"/>
      <c r="F113" s="498"/>
      <c r="G113" s="1112" t="s">
        <v>1225</v>
      </c>
      <c r="H113" s="374" t="s">
        <v>1453</v>
      </c>
      <c r="I113" s="1187" t="s">
        <v>761</v>
      </c>
      <c r="J113" s="376">
        <f ca="1">IF(ISERROR(AD113),0,AD113)</f>
        <v>0</v>
      </c>
      <c r="K113" s="527"/>
      <c r="L113" s="507" t="s">
        <v>1405</v>
      </c>
      <c r="M113" s="590">
        <f>ACDC3</f>
        <v>1</v>
      </c>
      <c r="N113" s="519">
        <f ca="1">AR119</f>
        <v>0</v>
      </c>
      <c r="O113" s="1572">
        <f ca="1">AR122</f>
        <v>0</v>
      </c>
      <c r="P113" s="1573">
        <f ca="1">IF(AND(minergiep,Zertifikat3),IF(J112&gt;0,MIN(95,J112),J112),AC108*100)</f>
        <v>0</v>
      </c>
      <c r="Q113" s="467"/>
      <c r="R113" s="467"/>
      <c r="S113" s="467"/>
      <c r="T113" s="467"/>
      <c r="U113" s="467"/>
      <c r="V113" s="467"/>
      <c r="W113" s="352" t="s">
        <v>759</v>
      </c>
      <c r="X113" s="520">
        <f ca="1">J113</f>
        <v>0</v>
      </c>
      <c r="Y113" s="12">
        <f ca="1">MAX(X113:X114)</f>
        <v>0</v>
      </c>
      <c r="Z113" s="12"/>
      <c r="AA113" s="521" t="s">
        <v>484</v>
      </c>
      <c r="AB113" s="467"/>
      <c r="AC113" s="430" t="e">
        <f ca="1">AC95/AD95*AD113</f>
        <v>#DIV/0!</v>
      </c>
      <c r="AD113" s="430">
        <f ca="1">AD112*(AD95+AC98)*AC109</f>
        <v>0</v>
      </c>
      <c r="AE113" s="430" t="e">
        <f ca="1">AE95/AD95*AD113</f>
        <v>#DIV/0!</v>
      </c>
      <c r="AF113" s="369" t="s">
        <v>776</v>
      </c>
      <c r="AG113" s="12" t="s">
        <v>485</v>
      </c>
      <c r="AH113" s="467"/>
      <c r="AI113" s="467"/>
      <c r="AJ113" s="467"/>
      <c r="AK113" s="467"/>
      <c r="AL113" s="467"/>
      <c r="AM113" s="467"/>
      <c r="AN113" s="369"/>
      <c r="AO113" s="443">
        <f ca="1"/>
        <v>0</v>
      </c>
      <c r="AP113" s="444">
        <f ca="1"/>
        <v>0</v>
      </c>
      <c r="AQ113" s="444">
        <f ca="1"/>
        <v>0</v>
      </c>
      <c r="AR113" s="444">
        <f ca="1"/>
        <v>0</v>
      </c>
      <c r="AS113" s="467">
        <f ca="1"/>
        <v>0</v>
      </c>
      <c r="AT113" s="474">
        <f ca="1"/>
        <v>0</v>
      </c>
      <c r="AU113" s="475">
        <f ca="1"/>
        <v>0</v>
      </c>
      <c r="AV113" s="470">
        <f ca="1"/>
        <v>0</v>
      </c>
      <c r="AW113" s="473">
        <f ca="1"/>
        <v>0</v>
      </c>
      <c r="BH113" s="561" t="str">
        <f>Standardwerte!O38</f>
        <v>Estrazione</v>
      </c>
      <c r="BI113" s="390">
        <v>0.15</v>
      </c>
      <c r="BJ113" s="390">
        <v>0</v>
      </c>
      <c r="BK113" s="386"/>
      <c r="BL113" s="386"/>
      <c r="BM113" s="386"/>
      <c r="BN113" s="386"/>
      <c r="BO113" s="386"/>
      <c r="BP113" s="386"/>
      <c r="BQ113" s="386"/>
      <c r="BR113" s="386"/>
      <c r="BS113" s="386"/>
      <c r="BT113" s="386"/>
    </row>
    <row r="114" spans="1:72">
      <c r="A114" s="445"/>
      <c r="B114" s="1565" t="str">
        <f>IF(OR(M106=4,M106=5),LER_Text4,"")</f>
        <v/>
      </c>
      <c r="C114" s="1172"/>
      <c r="D114" s="1172"/>
      <c r="E114" s="1172"/>
      <c r="F114" s="1174"/>
      <c r="G114" s="925" t="s">
        <v>1226</v>
      </c>
      <c r="H114" s="377"/>
      <c r="I114" s="1188"/>
      <c r="J114" s="592"/>
      <c r="K114" s="527"/>
      <c r="L114" s="390" t="s">
        <v>1407</v>
      </c>
      <c r="M114" s="390">
        <f ca="1">AR116</f>
        <v>0</v>
      </c>
      <c r="N114" s="398">
        <f ca="1">AR120</f>
        <v>0</v>
      </c>
      <c r="O114" s="629">
        <f ca="1">AR123</f>
        <v>0</v>
      </c>
      <c r="P114" s="467"/>
      <c r="Q114" s="467"/>
      <c r="R114" s="467"/>
      <c r="S114" s="467"/>
      <c r="T114" s="467"/>
      <c r="U114" s="467"/>
      <c r="V114" s="467"/>
      <c r="W114" s="352"/>
      <c r="X114" s="520">
        <f>J114</f>
        <v>0</v>
      </c>
      <c r="Y114" s="521"/>
      <c r="Z114" s="521"/>
      <c r="AA114" s="521"/>
      <c r="AB114" s="467"/>
      <c r="AC114" s="430" t="e">
        <f ca="1">AC113/AD113*AD114</f>
        <v>#DIV/0!</v>
      </c>
      <c r="AD114" s="430">
        <f ca="1">Y113</f>
        <v>0</v>
      </c>
      <c r="AE114" s="430" t="e">
        <f ca="1">AE113/AD113*AD114</f>
        <v>#DIV/0!</v>
      </c>
      <c r="AF114" s="522" t="s">
        <v>776</v>
      </c>
      <c r="AG114" s="522" t="s">
        <v>487</v>
      </c>
      <c r="AH114" s="467"/>
      <c r="AI114" s="467"/>
      <c r="AJ114" s="467"/>
      <c r="AK114" s="467"/>
      <c r="AL114" s="467"/>
      <c r="AM114" s="467"/>
      <c r="AN114" s="369"/>
      <c r="AO114" s="472">
        <f ca="1"/>
        <v>0</v>
      </c>
      <c r="AP114" s="444">
        <f ca="1"/>
        <v>0</v>
      </c>
      <c r="AQ114" s="444">
        <f ca="1"/>
        <v>0</v>
      </c>
      <c r="AR114" s="444">
        <f ca="1"/>
        <v>0</v>
      </c>
      <c r="AS114" s="467">
        <f ca="1"/>
        <v>0</v>
      </c>
      <c r="AT114" s="474">
        <f ca="1"/>
        <v>0</v>
      </c>
      <c r="AU114" s="476">
        <f ca="1"/>
        <v>0</v>
      </c>
      <c r="AV114" s="477">
        <f ca="1"/>
        <v>0</v>
      </c>
      <c r="AW114" s="473">
        <f ca="1"/>
        <v>0</v>
      </c>
      <c r="BH114" s="561" t="str">
        <f>Standardwerte!O40</f>
        <v>Aer. singola</v>
      </c>
      <c r="BI114" s="390">
        <v>0.15</v>
      </c>
      <c r="BJ114" s="390">
        <v>0.15</v>
      </c>
      <c r="BK114" s="386"/>
      <c r="BL114" s="386"/>
      <c r="BM114" s="386"/>
      <c r="BN114" s="386"/>
      <c r="BO114" s="386"/>
      <c r="BP114" s="386"/>
      <c r="BQ114" s="386"/>
      <c r="BR114" s="386"/>
      <c r="BS114" s="386"/>
      <c r="BT114" s="386"/>
    </row>
    <row r="115" spans="1:72" ht="13.8">
      <c r="A115" s="624" t="s">
        <v>759</v>
      </c>
      <c r="B115" s="379" t="s">
        <v>572</v>
      </c>
      <c r="C115" s="380" t="s">
        <v>1455</v>
      </c>
      <c r="D115" s="369"/>
      <c r="E115" s="1208" t="s">
        <v>1216</v>
      </c>
      <c r="F115" s="438"/>
      <c r="G115" s="1189"/>
      <c r="H115" s="657" t="s">
        <v>1200</v>
      </c>
      <c r="I115" s="1186" t="s">
        <v>568</v>
      </c>
      <c r="J115" s="381">
        <f ca="1">IF(ISERROR(AF115),0,AF115)*LER_Reduktion3</f>
        <v>0</v>
      </c>
      <c r="K115" s="530"/>
      <c r="L115" s="493" t="s">
        <v>582</v>
      </c>
      <c r="M115" s="493">
        <f ca="1">MIN(M113:M114)</f>
        <v>0</v>
      </c>
      <c r="N115" s="369"/>
      <c r="O115" s="528"/>
      <c r="P115" s="528"/>
      <c r="Q115" s="529"/>
      <c r="R115" s="467"/>
      <c r="S115" s="467"/>
      <c r="T115" s="467"/>
      <c r="U115" s="467"/>
      <c r="V115" s="467"/>
      <c r="W115" s="341" t="s">
        <v>1454</v>
      </c>
      <c r="X115" s="12"/>
      <c r="Y115" s="12"/>
      <c r="Z115" s="12"/>
      <c r="AA115" s="12"/>
      <c r="AB115" s="386"/>
      <c r="AC115" s="532"/>
      <c r="AD115" s="532"/>
      <c r="AE115" s="533"/>
      <c r="AF115" s="534" t="e">
        <f ca="1">AG93*(1-AF111/8760)+(AH93+AF112/EBFo3*(1-Y111/100)*AC104)*AF111/8760</f>
        <v>#VALUE!</v>
      </c>
      <c r="AG115" s="408"/>
      <c r="AH115" s="386"/>
      <c r="AI115" s="386"/>
      <c r="AJ115" s="386"/>
      <c r="AK115" s="386"/>
      <c r="AL115" s="386"/>
      <c r="AM115" s="386"/>
      <c r="AN115" s="10"/>
      <c r="AO115" s="478">
        <f ca="1"/>
        <v>0</v>
      </c>
      <c r="AP115" s="414">
        <f ca="1"/>
        <v>0</v>
      </c>
      <c r="AQ115" s="414">
        <f ca="1"/>
        <v>0</v>
      </c>
      <c r="AR115" s="414">
        <f ca="1"/>
        <v>0</v>
      </c>
      <c r="AS115" s="414">
        <f ca="1"/>
        <v>0</v>
      </c>
      <c r="AT115" s="414">
        <f ca="1"/>
        <v>0</v>
      </c>
      <c r="AU115" s="414">
        <f ca="1"/>
        <v>0</v>
      </c>
      <c r="AV115" s="414">
        <f ca="1"/>
        <v>0</v>
      </c>
      <c r="AW115" s="417">
        <f ca="1"/>
        <v>0</v>
      </c>
      <c r="BH115" s="562" t="str">
        <f>Standardwerte!O41</f>
        <v>Aer.finestre</v>
      </c>
      <c r="BI115" s="493">
        <v>0.15</v>
      </c>
      <c r="BJ115" s="493">
        <v>0</v>
      </c>
      <c r="BK115" s="386"/>
      <c r="BL115" s="386"/>
      <c r="BM115" s="386"/>
      <c r="BN115" s="386"/>
      <c r="BO115" s="386"/>
      <c r="BP115" s="386"/>
      <c r="BQ115" s="386"/>
      <c r="BR115" s="386"/>
      <c r="BS115" s="386"/>
      <c r="BT115" s="386"/>
    </row>
    <row r="116" spans="1:72" ht="15.6" thickBot="1">
      <c r="A116" s="624" t="s">
        <v>1454</v>
      </c>
      <c r="B116" s="1190"/>
      <c r="C116" s="382" t="str">
        <f>IF(minergiea,"Verifica Minergie-A",IF(minergiep,"Verifica Minergie-P","Verifica Minergie"))</f>
        <v>Verifica Minergie-A</v>
      </c>
      <c r="D116" s="1191"/>
      <c r="E116" s="1192" t="s">
        <v>573</v>
      </c>
      <c r="F116" s="1191"/>
      <c r="G116" s="1193"/>
      <c r="H116" s="1194" t="s">
        <v>1373</v>
      </c>
      <c r="I116" s="1195" t="s">
        <v>1812</v>
      </c>
      <c r="J116" s="385">
        <f ca="1">IF(ISERROR(AF116/_EBF3),0,AF116/_EBF3)</f>
        <v>0</v>
      </c>
      <c r="K116" s="530"/>
      <c r="L116" s="507" t="s">
        <v>1405</v>
      </c>
      <c r="M116" s="590">
        <v>1</v>
      </c>
      <c r="N116" s="396">
        <f ca="1">AS119</f>
        <v>0</v>
      </c>
      <c r="O116" s="528"/>
      <c r="P116" s="528"/>
      <c r="Q116" s="529"/>
      <c r="R116" s="467"/>
      <c r="S116" s="467"/>
      <c r="T116" s="467"/>
      <c r="U116" s="467"/>
      <c r="V116" s="467"/>
      <c r="W116" s="341" t="s">
        <v>569</v>
      </c>
      <c r="X116" s="12"/>
      <c r="Y116" s="12"/>
      <c r="Z116" s="12"/>
      <c r="AA116" s="12"/>
      <c r="AB116" s="386"/>
      <c r="AC116" s="536" t="e">
        <f ca="1">AC111*AC114/1000</f>
        <v>#DIV/0!</v>
      </c>
      <c r="AD116" s="536">
        <f ca="1">AD111*AD114/1000</f>
        <v>0</v>
      </c>
      <c r="AE116" s="536" t="e">
        <f ca="1">AE111*AE114/1000</f>
        <v>#DIV/0!</v>
      </c>
      <c r="AF116" s="524" t="e">
        <f ca="1">SUM(AC116:AE116)</f>
        <v>#DIV/0!</v>
      </c>
      <c r="AG116" s="12" t="s">
        <v>632</v>
      </c>
      <c r="AH116" s="386"/>
      <c r="AI116" s="386"/>
      <c r="AJ116" s="386"/>
      <c r="AK116" s="386"/>
      <c r="AL116" s="386"/>
      <c r="AM116" s="386"/>
      <c r="AN116" s="10"/>
      <c r="AO116" s="423">
        <f ca="1"/>
        <v>0</v>
      </c>
      <c r="AP116" s="425">
        <f ca="1"/>
        <v>0</v>
      </c>
      <c r="AQ116" s="425">
        <f ca="1"/>
        <v>0</v>
      </c>
      <c r="AR116" s="425">
        <f ca="1"/>
        <v>0</v>
      </c>
      <c r="AS116" s="425">
        <f ca="1"/>
        <v>0</v>
      </c>
      <c r="AT116" s="425">
        <f ca="1"/>
        <v>0</v>
      </c>
      <c r="AU116" s="425">
        <f ca="1"/>
        <v>0</v>
      </c>
      <c r="AV116" s="425">
        <f ca="1"/>
        <v>0</v>
      </c>
      <c r="AW116" s="452">
        <f ca="1"/>
        <v>0</v>
      </c>
    </row>
    <row r="117" spans="1:72" ht="13.8" thickBot="1">
      <c r="B117" s="1196" t="str">
        <f>IF(minergiep,"",IF(P89=TRUE,$P$2,""))</f>
        <v/>
      </c>
      <c r="C117" s="1177"/>
      <c r="D117" s="1177"/>
      <c r="E117" s="1177"/>
      <c r="F117" s="1177"/>
      <c r="G117" s="1177"/>
      <c r="H117" s="1177"/>
      <c r="I117" s="1177"/>
      <c r="J117" s="1177"/>
      <c r="L117" s="390" t="s">
        <v>1407</v>
      </c>
      <c r="M117" s="390">
        <f ca="1">IF(P89,1,AS116)</f>
        <v>0</v>
      </c>
      <c r="N117" s="531">
        <f ca="1">AS120</f>
        <v>0</v>
      </c>
      <c r="AO117" s="479">
        <f ca="1"/>
        <v>0</v>
      </c>
      <c r="AP117" s="397">
        <f ca="1"/>
        <v>0</v>
      </c>
      <c r="AQ117" s="397">
        <f ca="1"/>
        <v>0</v>
      </c>
      <c r="AR117" s="397">
        <f ca="1"/>
        <v>0</v>
      </c>
      <c r="AS117" s="397">
        <f ca="1"/>
        <v>0</v>
      </c>
      <c r="AT117" s="389">
        <f ca="1"/>
        <v>0</v>
      </c>
      <c r="AU117" s="389">
        <f ca="1"/>
        <v>0</v>
      </c>
      <c r="AV117" s="389">
        <f ca="1"/>
        <v>0</v>
      </c>
      <c r="AW117" s="480">
        <f ca="1"/>
        <v>0</v>
      </c>
    </row>
    <row r="118" spans="1:72" ht="13.8" hidden="1" thickBot="1">
      <c r="B118" s="1177"/>
      <c r="C118" s="1177"/>
      <c r="D118" s="1177"/>
      <c r="E118" s="1177"/>
      <c r="F118" s="1177"/>
      <c r="G118" s="1177"/>
      <c r="H118" s="1177"/>
      <c r="I118" s="1177"/>
      <c r="J118" s="1177"/>
      <c r="L118" s="493" t="s">
        <v>582</v>
      </c>
      <c r="M118" s="493">
        <f ca="1">MIN(M116:M117)</f>
        <v>0</v>
      </c>
      <c r="N118" s="10"/>
      <c r="AO118" s="479">
        <f ca="1"/>
        <v>0</v>
      </c>
      <c r="AP118" s="397">
        <f ca="1"/>
        <v>0</v>
      </c>
      <c r="AQ118" s="397">
        <f ca="1"/>
        <v>0</v>
      </c>
      <c r="AR118" s="481">
        <f ca="1"/>
        <v>0</v>
      </c>
      <c r="AS118" s="481">
        <f ca="1"/>
        <v>0</v>
      </c>
      <c r="AT118" s="389">
        <f ca="1"/>
        <v>0</v>
      </c>
      <c r="AU118" s="397">
        <f ca="1"/>
        <v>0</v>
      </c>
      <c r="AV118" s="481">
        <f ca="1"/>
        <v>0</v>
      </c>
      <c r="AW118" s="480">
        <f ca="1"/>
        <v>0</v>
      </c>
    </row>
    <row r="119" spans="1:72" ht="13.8" hidden="1" thickBot="1">
      <c r="B119" s="1177"/>
      <c r="C119" s="1177"/>
      <c r="D119" s="1177"/>
      <c r="E119" s="1177"/>
      <c r="F119" s="1177"/>
      <c r="G119" s="1177"/>
      <c r="H119" s="1197"/>
      <c r="I119" s="1197"/>
      <c r="J119" s="1197"/>
      <c r="W119" s="10"/>
      <c r="X119" s="10"/>
      <c r="Y119" s="10"/>
      <c r="Z119" s="10"/>
      <c r="AA119" s="10"/>
      <c r="AB119" s="10"/>
      <c r="AC119" s="10"/>
      <c r="AD119" s="10"/>
      <c r="AE119" s="10"/>
      <c r="AF119" s="10"/>
      <c r="AG119" s="10"/>
      <c r="AH119" s="10"/>
      <c r="AI119" s="10"/>
      <c r="AJ119" s="10"/>
      <c r="AK119" s="10"/>
      <c r="AL119" s="10"/>
      <c r="AM119" s="10"/>
      <c r="AN119" s="10"/>
      <c r="AO119" s="482">
        <f ca="1"/>
        <v>0</v>
      </c>
      <c r="AP119" s="483">
        <f ca="1"/>
        <v>0</v>
      </c>
      <c r="AQ119" s="484">
        <f ca="1"/>
        <v>0</v>
      </c>
      <c r="AR119" s="485">
        <f ca="1"/>
        <v>0</v>
      </c>
      <c r="AS119" s="400">
        <f ca="1"/>
        <v>0</v>
      </c>
      <c r="AT119" s="387">
        <f ca="1"/>
        <v>0</v>
      </c>
      <c r="AU119" s="484">
        <f ca="1"/>
        <v>0</v>
      </c>
      <c r="AV119" s="486">
        <f ca="1"/>
        <v>0</v>
      </c>
      <c r="AW119" s="434">
        <f ca="1"/>
        <v>0</v>
      </c>
    </row>
    <row r="120" spans="1:72" ht="13.8" hidden="1" thickBot="1">
      <c r="B120" s="1177"/>
      <c r="C120" s="1177"/>
      <c r="D120" s="1177"/>
      <c r="E120" s="1177"/>
      <c r="F120" s="1177"/>
      <c r="G120" s="1177"/>
      <c r="H120" s="1197"/>
      <c r="I120" s="1197"/>
      <c r="J120" s="1197"/>
      <c r="W120" s="10"/>
      <c r="X120" s="10"/>
      <c r="Y120" s="10"/>
      <c r="Z120" s="10"/>
      <c r="AA120" s="10"/>
      <c r="AB120" s="10"/>
      <c r="AC120" s="10"/>
      <c r="AD120" s="10"/>
      <c r="AE120" s="10"/>
      <c r="AF120" s="10"/>
      <c r="AG120" s="10"/>
      <c r="AH120" s="10"/>
      <c r="AI120" s="10"/>
      <c r="AJ120" s="10"/>
      <c r="AK120" s="10"/>
      <c r="AL120" s="10"/>
      <c r="AM120" s="10"/>
      <c r="AN120" s="10"/>
      <c r="AO120" s="487">
        <f ca="1"/>
        <v>0</v>
      </c>
      <c r="AP120" s="488">
        <f ca="1"/>
        <v>0</v>
      </c>
      <c r="AQ120" s="489">
        <f ca="1"/>
        <v>0</v>
      </c>
      <c r="AR120" s="490">
        <f ca="1"/>
        <v>0</v>
      </c>
      <c r="AS120" s="601">
        <f ca="1"/>
        <v>0</v>
      </c>
      <c r="AT120" s="390">
        <f ca="1"/>
        <v>0</v>
      </c>
      <c r="AU120" s="489">
        <f ca="1"/>
        <v>0</v>
      </c>
      <c r="AV120" s="492">
        <f ca="1"/>
        <v>0</v>
      </c>
      <c r="AW120" s="434">
        <f ca="1"/>
        <v>0</v>
      </c>
    </row>
    <row r="121" spans="1:72" ht="13.8" hidden="1" thickBot="1">
      <c r="B121" s="1177"/>
      <c r="C121" s="1177"/>
      <c r="D121" s="1177"/>
      <c r="E121" s="1177"/>
      <c r="F121" s="1177"/>
      <c r="G121" s="1177"/>
      <c r="H121" s="1197"/>
      <c r="I121" s="1197"/>
      <c r="J121" s="1197"/>
      <c r="W121" s="10"/>
      <c r="X121" s="10"/>
      <c r="Y121" s="10"/>
      <c r="Z121" s="10"/>
      <c r="AA121" s="10"/>
      <c r="AB121" s="10"/>
      <c r="AC121" s="10"/>
      <c r="AD121" s="10"/>
      <c r="AE121" s="10"/>
      <c r="AF121" s="10"/>
      <c r="AG121" s="10"/>
      <c r="AH121" s="10"/>
      <c r="AI121" s="10"/>
      <c r="AJ121" s="10"/>
      <c r="AK121" s="10"/>
      <c r="AL121" s="10"/>
      <c r="AM121" s="10"/>
      <c r="AN121" s="10"/>
      <c r="AO121" s="487">
        <f ca="1"/>
        <v>0</v>
      </c>
      <c r="AP121" s="386">
        <f ca="1"/>
        <v>0</v>
      </c>
      <c r="AQ121" s="493">
        <f ca="1"/>
        <v>0</v>
      </c>
      <c r="AR121" s="397">
        <f ca="1"/>
        <v>0</v>
      </c>
      <c r="AS121" s="386">
        <f ca="1"/>
        <v>0</v>
      </c>
      <c r="AT121" s="493">
        <f ca="1"/>
        <v>0</v>
      </c>
      <c r="AU121" s="493">
        <f ca="1"/>
        <v>0</v>
      </c>
      <c r="AV121" s="494">
        <f ca="1"/>
        <v>0</v>
      </c>
      <c r="AW121" s="434">
        <f ca="1"/>
        <v>0</v>
      </c>
    </row>
    <row r="122" spans="1:72" ht="13.8" hidden="1" thickBot="1">
      <c r="B122" s="1177"/>
      <c r="C122" s="1177"/>
      <c r="D122" s="1177"/>
      <c r="E122" s="1177"/>
      <c r="F122" s="1177"/>
      <c r="G122" s="1177"/>
      <c r="H122" s="1197"/>
      <c r="I122" s="1197"/>
      <c r="J122" s="1197"/>
      <c r="W122" s="10"/>
      <c r="X122" s="10"/>
      <c r="Y122" s="10"/>
      <c r="Z122" s="10"/>
      <c r="AA122" s="10"/>
      <c r="AB122" s="10"/>
      <c r="AC122" s="10"/>
      <c r="AD122" s="10"/>
      <c r="AE122" s="10"/>
      <c r="AF122" s="10"/>
      <c r="AG122" s="10"/>
      <c r="AH122" s="10"/>
      <c r="AI122" s="10"/>
      <c r="AJ122" s="10"/>
      <c r="AK122" s="10"/>
      <c r="AL122" s="10"/>
      <c r="AM122" s="10"/>
      <c r="AN122" s="10"/>
      <c r="AO122" s="487">
        <f ca="1"/>
        <v>0</v>
      </c>
      <c r="AP122" s="386">
        <f ca="1"/>
        <v>0</v>
      </c>
      <c r="AQ122" s="386">
        <f ca="1"/>
        <v>0</v>
      </c>
      <c r="AR122" s="387">
        <f ca="1"/>
        <v>0</v>
      </c>
      <c r="AS122" s="386">
        <f ca="1"/>
        <v>0</v>
      </c>
      <c r="AT122" s="386">
        <f ca="1"/>
        <v>0</v>
      </c>
      <c r="AU122" s="397">
        <f ca="1"/>
        <v>0</v>
      </c>
      <c r="AV122" s="386">
        <f ca="1"/>
        <v>0</v>
      </c>
      <c r="AW122" s="434">
        <f ca="1"/>
        <v>0</v>
      </c>
    </row>
    <row r="123" spans="1:72" ht="13.8" hidden="1" thickBot="1">
      <c r="B123" s="1177"/>
      <c r="C123" s="1177"/>
      <c r="D123" s="1177"/>
      <c r="E123" s="1177"/>
      <c r="F123" s="1177"/>
      <c r="G123" s="1177"/>
      <c r="H123" s="1197"/>
      <c r="I123" s="1197"/>
      <c r="J123" s="1197"/>
      <c r="W123" s="10"/>
      <c r="X123" s="10"/>
      <c r="Y123" s="10"/>
      <c r="Z123" s="10"/>
      <c r="AA123" s="10"/>
      <c r="AB123" s="10"/>
      <c r="AC123" s="10"/>
      <c r="AD123" s="10"/>
      <c r="AE123" s="10"/>
      <c r="AF123" s="10"/>
      <c r="AG123" s="10"/>
      <c r="AH123" s="10"/>
      <c r="AI123" s="10"/>
      <c r="AJ123" s="10"/>
      <c r="AK123" s="10"/>
      <c r="AL123" s="10"/>
      <c r="AM123" s="10"/>
      <c r="AN123" s="10"/>
      <c r="AO123" s="487">
        <f ca="1"/>
        <v>0</v>
      </c>
      <c r="AP123" s="386">
        <f ca="1"/>
        <v>0</v>
      </c>
      <c r="AQ123" s="386">
        <f ca="1"/>
        <v>0</v>
      </c>
      <c r="AR123" s="493">
        <f ca="1"/>
        <v>0</v>
      </c>
      <c r="AS123" s="386">
        <f ca="1"/>
        <v>0</v>
      </c>
      <c r="AT123" s="386">
        <f ca="1"/>
        <v>0</v>
      </c>
      <c r="AU123" s="387">
        <f ca="1"/>
        <v>0</v>
      </c>
      <c r="AV123" s="386">
        <f ca="1"/>
        <v>0</v>
      </c>
      <c r="AW123" s="434">
        <f ca="1"/>
        <v>0</v>
      </c>
    </row>
    <row r="124" spans="1:72" ht="13.8" hidden="1" thickBot="1">
      <c r="B124" s="1177"/>
      <c r="C124" s="1177"/>
      <c r="D124" s="1177"/>
      <c r="E124" s="1177"/>
      <c r="F124" s="1177"/>
      <c r="G124" s="1177"/>
      <c r="H124" s="1177"/>
      <c r="I124" s="1177"/>
      <c r="J124" s="1177"/>
      <c r="W124" s="10"/>
      <c r="X124" s="10"/>
      <c r="Y124" s="10"/>
      <c r="Z124" s="10"/>
      <c r="AA124" s="10"/>
      <c r="AB124" s="10"/>
      <c r="AC124" s="10"/>
      <c r="AD124" s="10"/>
      <c r="AE124" s="10"/>
      <c r="AF124" s="10"/>
      <c r="AG124" s="10"/>
      <c r="AH124" s="10"/>
      <c r="AI124" s="10"/>
      <c r="AJ124" s="10"/>
      <c r="AK124" s="10"/>
      <c r="AL124" s="10"/>
      <c r="AM124" s="10"/>
      <c r="AN124" s="10"/>
      <c r="AO124" s="487">
        <f ca="1"/>
        <v>0</v>
      </c>
      <c r="AP124" s="386">
        <f ca="1"/>
        <v>0</v>
      </c>
      <c r="AQ124" s="386">
        <f ca="1"/>
        <v>0</v>
      </c>
      <c r="AR124" s="386">
        <f ca="1"/>
        <v>0</v>
      </c>
      <c r="AS124" s="386">
        <f ca="1"/>
        <v>0</v>
      </c>
      <c r="AT124" s="386">
        <f ca="1"/>
        <v>0</v>
      </c>
      <c r="AU124" s="390">
        <f ca="1"/>
        <v>0</v>
      </c>
      <c r="AV124" s="386">
        <f ca="1"/>
        <v>0</v>
      </c>
      <c r="AW124" s="434">
        <f ca="1"/>
        <v>0</v>
      </c>
    </row>
    <row r="125" spans="1:72" ht="13.8" hidden="1" thickBot="1">
      <c r="B125" s="1177"/>
      <c r="C125" s="1177"/>
      <c r="D125" s="1177"/>
      <c r="E125" s="1177"/>
      <c r="F125" s="1177"/>
      <c r="G125" s="1177"/>
      <c r="H125" s="1177"/>
      <c r="I125" s="1177"/>
      <c r="J125" s="1177"/>
      <c r="W125" s="10"/>
      <c r="X125" s="10"/>
      <c r="Y125" s="10"/>
      <c r="Z125" s="10"/>
      <c r="AA125" s="10"/>
      <c r="AB125" s="10"/>
      <c r="AC125" s="10"/>
      <c r="AD125" s="10"/>
      <c r="AE125" s="10"/>
      <c r="AF125" s="10"/>
      <c r="AG125" s="10"/>
      <c r="AH125" s="10"/>
      <c r="AI125" s="10"/>
      <c r="AJ125" s="10"/>
      <c r="AK125" s="10"/>
      <c r="AL125" s="10"/>
      <c r="AM125" s="10"/>
      <c r="AN125" s="10"/>
      <c r="AO125" s="495">
        <f ca="1"/>
        <v>0</v>
      </c>
      <c r="AP125" s="496">
        <f ca="1"/>
        <v>0</v>
      </c>
      <c r="AQ125" s="496">
        <f ca="1"/>
        <v>0</v>
      </c>
      <c r="AR125" s="496">
        <f ca="1"/>
        <v>0</v>
      </c>
      <c r="AS125" s="496">
        <f ca="1"/>
        <v>0</v>
      </c>
      <c r="AT125" s="496">
        <f ca="1"/>
        <v>0</v>
      </c>
      <c r="AU125" s="493">
        <f ca="1"/>
        <v>0</v>
      </c>
      <c r="AV125" s="496">
        <f ca="1"/>
        <v>0</v>
      </c>
      <c r="AW125" s="437">
        <f ca="1"/>
        <v>0</v>
      </c>
    </row>
    <row r="126" spans="1:72" ht="13.8" hidden="1" thickBot="1">
      <c r="B126" s="1177"/>
      <c r="C126" s="1177"/>
      <c r="D126" s="1177"/>
      <c r="E126" s="1177"/>
      <c r="F126" s="1177"/>
      <c r="G126" s="1177"/>
      <c r="H126" s="1177"/>
      <c r="I126" s="1177"/>
      <c r="J126" s="1177"/>
      <c r="L126" s="390" t="s">
        <v>1407</v>
      </c>
      <c r="M126" s="390">
        <v>3</v>
      </c>
      <c r="P126" s="662"/>
    </row>
    <row r="127" spans="1:72" ht="14.4" hidden="1" thickBot="1">
      <c r="A127" s="624"/>
      <c r="B127" s="1198" t="s">
        <v>661</v>
      </c>
      <c r="C127" s="1150"/>
      <c r="D127" s="1150"/>
      <c r="E127" s="1150"/>
      <c r="F127" s="1150"/>
      <c r="G127" s="1150"/>
      <c r="H127" s="1150"/>
      <c r="I127" s="1150"/>
      <c r="J127" s="392" t="s">
        <v>456</v>
      </c>
      <c r="K127" s="392"/>
      <c r="M127" s="387"/>
      <c r="N127" s="388" t="s">
        <v>399</v>
      </c>
      <c r="O127" s="388" t="s">
        <v>1393</v>
      </c>
      <c r="P127" s="10" t="s">
        <v>471</v>
      </c>
      <c r="Q127" s="10"/>
      <c r="R127" s="10"/>
      <c r="S127" s="10"/>
      <c r="X127" s="1840" t="s">
        <v>764</v>
      </c>
      <c r="Y127" s="1840" t="s">
        <v>765</v>
      </c>
      <c r="Z127" s="1840" t="s">
        <v>766</v>
      </c>
    </row>
    <row r="128" spans="1:72" ht="13.8" hidden="1" thickBot="1">
      <c r="A128" s="625"/>
      <c r="B128" s="1846">
        <f>Projekt1</f>
        <v>0</v>
      </c>
      <c r="C128" s="1847"/>
      <c r="D128" s="1847"/>
      <c r="E128" s="1847"/>
      <c r="F128" s="1847"/>
      <c r="G128" s="1847"/>
      <c r="H128" s="1847"/>
      <c r="I128" s="1847"/>
      <c r="J128" s="1848"/>
      <c r="K128" s="395"/>
      <c r="M128" s="501">
        <v>1</v>
      </c>
      <c r="N128" s="391" t="str">
        <f>IF($P$132,Standardwerte!$L35,"")</f>
        <v/>
      </c>
      <c r="O128" s="1107" t="str">
        <f>IF($P$128,Standardwerte!$O35,"")</f>
        <v/>
      </c>
      <c r="P128" s="10" t="b">
        <f>AND(X132&lt;=5,X132&gt;1)</f>
        <v>0</v>
      </c>
      <c r="Q128" s="10"/>
      <c r="R128" s="10"/>
      <c r="S128" s="10"/>
      <c r="X128" s="1841"/>
      <c r="Y128" s="1841"/>
      <c r="Z128" s="1841"/>
    </row>
    <row r="129" spans="1:49" ht="13.8" hidden="1" thickBot="1">
      <c r="A129" s="625"/>
      <c r="B129" s="1849">
        <f>Projekt2</f>
        <v>0</v>
      </c>
      <c r="C129" s="1850"/>
      <c r="D129" s="1850"/>
      <c r="E129" s="1850"/>
      <c r="F129" s="1850"/>
      <c r="G129" s="1850"/>
      <c r="H129" s="1850"/>
      <c r="I129" s="1850"/>
      <c r="J129" s="1851"/>
      <c r="K129" s="395"/>
      <c r="M129" s="501">
        <v>2</v>
      </c>
      <c r="N129" s="393" t="str">
        <f>IF($P$132,Standardwerte!$L36,"")</f>
        <v/>
      </c>
      <c r="O129" s="1108" t="str">
        <f>IF($P$128,Standardwerte!$O36,"")</f>
        <v/>
      </c>
      <c r="P129" s="10" t="s">
        <v>472</v>
      </c>
      <c r="Q129" s="10"/>
      <c r="R129" s="10"/>
      <c r="S129" s="10"/>
      <c r="X129" s="1841"/>
      <c r="Y129" s="1841"/>
      <c r="Z129" s="1841"/>
    </row>
    <row r="130" spans="1:49" ht="13.8" hidden="1" thickBot="1">
      <c r="A130" s="625"/>
      <c r="B130" s="1852">
        <f>Projekt3</f>
        <v>0</v>
      </c>
      <c r="C130" s="1853"/>
      <c r="D130" s="1853"/>
      <c r="E130" s="1853"/>
      <c r="F130" s="1853"/>
      <c r="G130" s="1853"/>
      <c r="H130" s="1853"/>
      <c r="I130" s="1853"/>
      <c r="J130" s="1854"/>
      <c r="K130" s="395"/>
      <c r="M130" s="501">
        <v>3</v>
      </c>
      <c r="N130" s="393" t="str">
        <f>IF($P$132,Standardwerte!$L37,"")</f>
        <v/>
      </c>
      <c r="O130" s="1108" t="str">
        <f>IF($P$128,Standardwerte!$O37,"")</f>
        <v/>
      </c>
      <c r="P130" s="10" t="b">
        <f>IF(minergiep,FALSE,AND(Standardlüftung4=3, X132&lt;=3))</f>
        <v>0</v>
      </c>
      <c r="Q130" s="10"/>
      <c r="R130" s="10"/>
      <c r="S130" s="10"/>
      <c r="X130" s="1841"/>
      <c r="Y130" s="1841"/>
      <c r="Z130" s="1841"/>
      <c r="AA130" s="396" t="s">
        <v>767</v>
      </c>
      <c r="AB130" s="386"/>
      <c r="AC130" s="386" t="s">
        <v>768</v>
      </c>
      <c r="AD130" s="386"/>
      <c r="AE130" s="386"/>
      <c r="AF130" s="386"/>
      <c r="AG130" s="386"/>
      <c r="AH130" s="386"/>
      <c r="AI130" s="386"/>
      <c r="AJ130" s="386"/>
      <c r="AK130" s="386"/>
      <c r="AL130" s="386"/>
      <c r="AM130" s="386"/>
      <c r="AO130" s="397" t="s">
        <v>17</v>
      </c>
    </row>
    <row r="131" spans="1:49" ht="13.8" hidden="1" thickBot="1">
      <c r="A131" s="139"/>
      <c r="B131" s="395"/>
      <c r="C131" s="395"/>
      <c r="D131" s="395"/>
      <c r="E131" s="395"/>
      <c r="F131" s="395"/>
      <c r="G131" s="395"/>
      <c r="H131" s="395"/>
      <c r="I131" s="395"/>
      <c r="J131" s="395"/>
      <c r="K131" s="395"/>
      <c r="L131" s="387" t="s">
        <v>1472</v>
      </c>
      <c r="M131" s="501">
        <v>4</v>
      </c>
      <c r="N131" s="393" t="str">
        <f>IF($P$132,Standardwerte!$L38,"")</f>
        <v/>
      </c>
      <c r="O131" s="1108" t="str">
        <f>IF($P$128,Standardwerte!$O38,"")</f>
        <v/>
      </c>
      <c r="P131" s="10"/>
      <c r="Q131" s="10"/>
      <c r="R131" s="10"/>
      <c r="S131" s="10"/>
      <c r="X131" s="1842"/>
      <c r="Y131" s="1842"/>
      <c r="Z131" s="1842"/>
      <c r="AA131" s="398"/>
      <c r="AB131" s="386"/>
      <c r="AC131" s="386"/>
      <c r="AD131" s="386"/>
      <c r="AE131" s="386"/>
      <c r="AF131" s="386"/>
      <c r="AG131" s="386"/>
      <c r="AH131" s="386"/>
      <c r="AI131" s="386"/>
      <c r="AJ131" s="386"/>
      <c r="AK131" s="386"/>
      <c r="AL131" s="386"/>
      <c r="AM131" s="386"/>
    </row>
    <row r="132" spans="1:49" ht="14.4" thickBot="1">
      <c r="A132" s="624" t="s">
        <v>658</v>
      </c>
      <c r="B132" s="1136" t="s">
        <v>492</v>
      </c>
      <c r="C132" s="1137"/>
      <c r="D132" s="1137"/>
      <c r="E132" s="1138" t="s">
        <v>1223</v>
      </c>
      <c r="F132" s="1138"/>
      <c r="G132" s="1137"/>
      <c r="H132" s="345">
        <f ca="1">AO133</f>
        <v>0</v>
      </c>
      <c r="I132" s="346"/>
      <c r="J132" s="347"/>
      <c r="K132" s="8"/>
      <c r="L132" s="493" t="b">
        <f>OR(X133=2,X133=3,X133=6)</f>
        <v>0</v>
      </c>
      <c r="M132" s="501">
        <v>5</v>
      </c>
      <c r="N132" s="393" t="str">
        <f>IF($P$132,Standardwerte!$L39,"")</f>
        <v/>
      </c>
      <c r="O132" s="1108" t="str">
        <f>IF($P$128,Standardwerte!$O39,"")</f>
        <v/>
      </c>
      <c r="P132" s="10" t="b">
        <f>IF(minergiep,TRUE,AND(X132&lt;=5,X132&gt;1,OR(Kategorie4&gt;3,AND(Kategorie4&lt;4,Standardlüftung4&lt;3))))</f>
        <v>0</v>
      </c>
      <c r="Q132" s="10"/>
      <c r="R132" s="10"/>
      <c r="S132" s="10"/>
      <c r="W132" s="341" t="s">
        <v>658</v>
      </c>
      <c r="X132" s="12">
        <f>Kategorie4</f>
        <v>1</v>
      </c>
      <c r="Y132" s="12">
        <f>(X132-2)*9</f>
        <v>-9</v>
      </c>
      <c r="Z132" s="12">
        <f>(X132-2)*3</f>
        <v>-3</v>
      </c>
      <c r="AA132" s="387" t="s">
        <v>770</v>
      </c>
      <c r="AB132" s="386"/>
      <c r="AC132" s="386"/>
      <c r="AD132" s="386"/>
      <c r="AE132" s="386"/>
      <c r="AF132" s="386"/>
      <c r="AG132" s="386"/>
      <c r="AH132" s="386"/>
      <c r="AI132" s="386"/>
      <c r="AJ132" s="386"/>
      <c r="AK132" s="386"/>
      <c r="AL132" s="386"/>
      <c r="AM132" s="386"/>
      <c r="AO132" s="399" t="s">
        <v>1610</v>
      </c>
      <c r="AP132" s="400" t="s">
        <v>1611</v>
      </c>
      <c r="AQ132" s="400" t="s">
        <v>1612</v>
      </c>
      <c r="AR132" s="400" t="s">
        <v>1613</v>
      </c>
      <c r="AS132" s="400" t="s">
        <v>1307</v>
      </c>
      <c r="AT132" s="400" t="s">
        <v>1308</v>
      </c>
      <c r="AU132" s="400" t="s">
        <v>1309</v>
      </c>
      <c r="AV132" s="401" t="s">
        <v>774</v>
      </c>
      <c r="AW132" s="402" t="s">
        <v>1310</v>
      </c>
    </row>
    <row r="133" spans="1:49" ht="15.75" customHeight="1">
      <c r="A133" s="139" t="s">
        <v>659</v>
      </c>
      <c r="B133" s="1139" t="s">
        <v>1224</v>
      </c>
      <c r="C133" s="1140"/>
      <c r="D133" s="1140"/>
      <c r="E133" s="1140"/>
      <c r="F133" s="1141"/>
      <c r="G133" s="1142" t="str">
        <f>IF(AND(Lüftung4=7,OR(P130=FALSE,minergiep)),"Bedingungen prüfen, siehe Anwendungshilfe",IF(OR(X132=1,P128),IF(AND(X132=5,X133=7),"Bedingungen prüfen, siehe Anwendungshilfe",IF(AND(P130,minergiep=FALSE),"1)","")),"Errore! Calcolo semplice per tipo di edificio non permesso"))</f>
        <v/>
      </c>
      <c r="H133" s="348">
        <f ca="1">AO137</f>
        <v>0</v>
      </c>
      <c r="I133" s="349"/>
      <c r="J133" s="350"/>
      <c r="K133" s="407"/>
      <c r="L133" s="387" t="s">
        <v>402</v>
      </c>
      <c r="M133" s="501">
        <v>6</v>
      </c>
      <c r="N133" s="393" t="str">
        <f>IF($P$132,Standardwerte!$L40,"")</f>
        <v/>
      </c>
      <c r="O133" s="1108" t="str">
        <f>IF($P$128,Standardwerte!$O40,"")</f>
        <v/>
      </c>
      <c r="P133" s="10"/>
      <c r="Q133" s="10"/>
      <c r="R133" s="10"/>
      <c r="S133" s="10"/>
      <c r="W133" s="343" t="s">
        <v>659</v>
      </c>
      <c r="X133" s="12">
        <f>IF(P128,Lüftung4,1)</f>
        <v>1</v>
      </c>
      <c r="Y133" s="12">
        <f>(X133-2)*9</f>
        <v>-9</v>
      </c>
      <c r="Z133" s="12">
        <f>X133-2</f>
        <v>-1</v>
      </c>
      <c r="AA133" s="12" t="s">
        <v>770</v>
      </c>
      <c r="AB133" s="408"/>
      <c r="AC133" s="12" t="s">
        <v>585</v>
      </c>
      <c r="AD133" s="12" t="s">
        <v>586</v>
      </c>
      <c r="AE133" s="12" t="s">
        <v>760</v>
      </c>
      <c r="AF133" s="10"/>
      <c r="AG133" s="12" t="s">
        <v>1311</v>
      </c>
      <c r="AH133" s="12" t="s">
        <v>1312</v>
      </c>
      <c r="AI133" s="386"/>
      <c r="AJ133" s="386"/>
      <c r="AK133" s="386"/>
      <c r="AL133" s="386"/>
      <c r="AM133" s="386"/>
      <c r="AN133" s="10"/>
      <c r="AO133" s="409">
        <f t="array" aca="1" ref="AO133:AW136" ca="1">OFFSET($BH$10,0,Y132,4,9)</f>
        <v>0</v>
      </c>
      <c r="AP133" s="410">
        <f ca="1"/>
        <v>0</v>
      </c>
      <c r="AQ133" s="410">
        <f ca="1"/>
        <v>0</v>
      </c>
      <c r="AR133" s="410">
        <f ca="1"/>
        <v>0</v>
      </c>
      <c r="AS133" s="410">
        <f ca="1"/>
        <v>0</v>
      </c>
      <c r="AT133" s="410">
        <f ca="1"/>
        <v>0</v>
      </c>
      <c r="AU133" s="410">
        <f ca="1"/>
        <v>0</v>
      </c>
      <c r="AV133" s="410">
        <f ca="1"/>
        <v>0</v>
      </c>
      <c r="AW133" s="411">
        <f ca="1"/>
        <v>0</v>
      </c>
    </row>
    <row r="134" spans="1:49">
      <c r="A134" s="139"/>
      <c r="B134" s="1205" t="s">
        <v>12</v>
      </c>
      <c r="C134" s="1143"/>
      <c r="D134" s="1143"/>
      <c r="E134" s="1143">
        <f ca="1">AR134</f>
        <v>0</v>
      </c>
      <c r="F134" s="1144"/>
      <c r="G134" s="1145"/>
      <c r="H134" s="1146">
        <f ca="1">AU134</f>
        <v>0</v>
      </c>
      <c r="I134" s="1147"/>
      <c r="J134" s="1148">
        <f>Raum4</f>
        <v>0</v>
      </c>
      <c r="K134" s="429"/>
      <c r="L134" s="390">
        <f ca="1">IF(L135&gt;0,ROUNDUP(EBFo4/L135,0),0)</f>
        <v>0</v>
      </c>
      <c r="M134" s="501">
        <v>7</v>
      </c>
      <c r="N134" s="393" t="str">
        <f>IF($P$132,Standardwerte!$L41,"")</f>
        <v/>
      </c>
      <c r="O134" s="1108" t="str">
        <f>IF($P$128,Standardwerte!$O41,"")</f>
        <v/>
      </c>
      <c r="P134" s="10"/>
      <c r="Q134" s="10"/>
      <c r="R134" s="10"/>
      <c r="S134" s="10"/>
      <c r="V134" s="394"/>
      <c r="W134" s="343"/>
      <c r="X134" s="386"/>
      <c r="Y134" s="386"/>
      <c r="Z134" s="386"/>
      <c r="AA134" s="386"/>
      <c r="AB134" s="386"/>
      <c r="AC134" s="430">
        <f ca="1">OFFSET(BI$87,Z133,Z132)</f>
        <v>0</v>
      </c>
      <c r="AD134" s="430">
        <f ca="1">OFFSET(BJ$87,Z133,Z132)</f>
        <v>0</v>
      </c>
      <c r="AE134" s="430">
        <f ca="1">OFFSET(BK$87,Z133,Z132)</f>
        <v>0</v>
      </c>
      <c r="AF134" s="431" t="s">
        <v>1314</v>
      </c>
      <c r="AG134" s="12" t="str">
        <f ca="1">OFFSET($BI$110,Z133,0)</f>
        <v>v0</v>
      </c>
      <c r="AH134" s="12" t="str">
        <f ca="1">OFFSET($BJ$110,Z133,0)</f>
        <v>vx</v>
      </c>
      <c r="AI134" s="386"/>
      <c r="AJ134" s="386"/>
      <c r="AK134" s="386"/>
      <c r="AL134" s="386"/>
      <c r="AM134" s="386"/>
      <c r="AN134" s="10"/>
      <c r="AO134" s="412">
        <f ca="1"/>
        <v>0</v>
      </c>
      <c r="AP134" s="45">
        <f ca="1"/>
        <v>0</v>
      </c>
      <c r="AQ134" s="45">
        <f ca="1"/>
        <v>0</v>
      </c>
      <c r="AR134" s="45">
        <f ca="1"/>
        <v>0</v>
      </c>
      <c r="AS134" s="413">
        <f ca="1"/>
        <v>0</v>
      </c>
      <c r="AT134" s="414">
        <f ca="1"/>
        <v>0</v>
      </c>
      <c r="AU134" s="415">
        <f ca="1"/>
        <v>0</v>
      </c>
      <c r="AV134" s="416">
        <f ca="1"/>
        <v>0</v>
      </c>
      <c r="AW134" s="417">
        <f ca="1"/>
        <v>0</v>
      </c>
    </row>
    <row r="135" spans="1:49" ht="13.8">
      <c r="A135" s="139" t="s">
        <v>1444</v>
      </c>
      <c r="B135" s="1149"/>
      <c r="C135" s="1150"/>
      <c r="D135" s="1150"/>
      <c r="E135" s="1151" t="s">
        <v>1225</v>
      </c>
      <c r="F135" s="1152"/>
      <c r="G135" s="429"/>
      <c r="H135" s="1153" t="s">
        <v>1385</v>
      </c>
      <c r="I135" s="1154" t="s">
        <v>18</v>
      </c>
      <c r="J135" s="1155">
        <f ca="1">IF(ISNUMBER(AD134),MAX(J134*AD134,L134*AD134),0)</f>
        <v>0</v>
      </c>
      <c r="K135" s="432"/>
      <c r="L135" s="493">
        <f ca="1">OFFSET($BL$52,X132-1,0)</f>
        <v>0</v>
      </c>
      <c r="M135" s="501">
        <v>8</v>
      </c>
      <c r="N135" s="393" t="str">
        <f>IF($P$132,Standardwerte!$L42,"")</f>
        <v/>
      </c>
      <c r="O135" s="1108" t="str">
        <f>IF($P$128,Standardwerte!$O42,"")</f>
        <v/>
      </c>
      <c r="P135" s="10"/>
      <c r="Q135" s="10"/>
      <c r="R135" s="10"/>
      <c r="S135" s="10"/>
      <c r="T135" s="10"/>
      <c r="U135" s="10"/>
      <c r="V135" s="394"/>
      <c r="W135" s="343" t="s">
        <v>1444</v>
      </c>
      <c r="X135" s="12">
        <f ca="1">J135</f>
        <v>0</v>
      </c>
      <c r="Y135" s="12">
        <f ca="1">IF(ISNUMBER(J135),IF(P130,J135,MAX(X135:X136)),0)*P128</f>
        <v>0</v>
      </c>
      <c r="Z135" s="12"/>
      <c r="AA135" s="12" t="s">
        <v>508</v>
      </c>
      <c r="AB135" s="433" t="s">
        <v>509</v>
      </c>
      <c r="AC135" s="430">
        <f ca="1">OFFSET(BI$76,Z133,Z132)</f>
        <v>0</v>
      </c>
      <c r="AD135" s="430">
        <f ca="1">OFFSET(BJ$76,Z133,Z132)</f>
        <v>0</v>
      </c>
      <c r="AE135" s="430">
        <f ca="1">OFFSET(BK$76,Z133,Z132)</f>
        <v>0</v>
      </c>
      <c r="AF135" s="12" t="s">
        <v>763</v>
      </c>
      <c r="AG135" s="386"/>
      <c r="AH135" s="386"/>
      <c r="AI135" s="386"/>
      <c r="AJ135" s="386"/>
      <c r="AK135" s="386"/>
      <c r="AL135" s="386"/>
      <c r="AM135" s="386"/>
      <c r="AN135" s="10"/>
      <c r="AO135" s="418">
        <f ca="1"/>
        <v>0</v>
      </c>
      <c r="AP135" s="140">
        <f ca="1"/>
        <v>0</v>
      </c>
      <c r="AQ135" s="140">
        <f ca="1"/>
        <v>0</v>
      </c>
      <c r="AR135" s="140">
        <f ca="1"/>
        <v>0</v>
      </c>
      <c r="AS135" s="419">
        <f ca="1"/>
        <v>0</v>
      </c>
      <c r="AT135" s="386">
        <f ca="1"/>
        <v>0</v>
      </c>
      <c r="AU135" s="420">
        <f ca="1"/>
        <v>0</v>
      </c>
      <c r="AV135" s="421">
        <f ca="1"/>
        <v>0</v>
      </c>
      <c r="AW135" s="422">
        <f ca="1"/>
        <v>0</v>
      </c>
    </row>
    <row r="136" spans="1:49" ht="13.8" thickBot="1">
      <c r="A136" s="139" t="s">
        <v>1446</v>
      </c>
      <c r="B136" s="1156"/>
      <c r="C136" s="1157"/>
      <c r="D136" s="1157"/>
      <c r="E136" s="1151" t="s">
        <v>1226</v>
      </c>
      <c r="F136" s="1158"/>
      <c r="G136" s="1159" t="str">
        <f>IF(minergiep,"",IF(P130=TRUE,"1)",""))</f>
        <v/>
      </c>
      <c r="H136" s="1160"/>
      <c r="I136" s="1160"/>
      <c r="J136" s="1405"/>
      <c r="K136" s="435"/>
      <c r="L136" s="387" t="s">
        <v>1183</v>
      </c>
      <c r="M136" s="501">
        <v>9</v>
      </c>
      <c r="N136" s="393" t="str">
        <f>IF($P$132,Standardwerte!$L43,"")</f>
        <v/>
      </c>
      <c r="O136" s="1108" t="str">
        <f>IF($P$128,Standardwerte!$O43,"")</f>
        <v/>
      </c>
      <c r="P136" s="10"/>
      <c r="Q136" s="10"/>
      <c r="R136" s="10"/>
      <c r="S136" s="10"/>
      <c r="T136" s="10"/>
      <c r="U136" s="10"/>
      <c r="V136" s="394"/>
      <c r="W136" s="343" t="s">
        <v>1446</v>
      </c>
      <c r="X136" s="12">
        <f>J136</f>
        <v>0</v>
      </c>
      <c r="Y136" s="12"/>
      <c r="Z136" s="12"/>
      <c r="AA136" s="12"/>
      <c r="AB136" s="386"/>
      <c r="AC136" s="436">
        <f ca="1">OFFSET(BI$99,Z133,Z132)</f>
        <v>0</v>
      </c>
      <c r="AD136" s="436">
        <f ca="1">OFFSET(BJ$99,Z133,Z132)</f>
        <v>0</v>
      </c>
      <c r="AE136" s="436">
        <f ca="1">OFFSET(BK$99,Z133,Z132)</f>
        <v>0</v>
      </c>
      <c r="AF136" s="12" t="s">
        <v>512</v>
      </c>
      <c r="AG136" s="386"/>
      <c r="AH136" s="386"/>
      <c r="AI136" s="386"/>
      <c r="AJ136" s="386"/>
      <c r="AK136" s="386"/>
      <c r="AL136" s="386"/>
      <c r="AM136" s="386"/>
      <c r="AN136" s="10"/>
      <c r="AO136" s="423">
        <f ca="1"/>
        <v>0</v>
      </c>
      <c r="AP136" s="50">
        <f ca="1"/>
        <v>0</v>
      </c>
      <c r="AQ136" s="50">
        <f ca="1"/>
        <v>0</v>
      </c>
      <c r="AR136" s="50">
        <f ca="1"/>
        <v>0</v>
      </c>
      <c r="AS136" s="424">
        <f ca="1"/>
        <v>0</v>
      </c>
      <c r="AT136" s="425">
        <f ca="1"/>
        <v>0</v>
      </c>
      <c r="AU136" s="426">
        <f ca="1"/>
        <v>0</v>
      </c>
      <c r="AV136" s="421">
        <f ca="1"/>
        <v>0</v>
      </c>
      <c r="AW136" s="427">
        <f ca="1"/>
        <v>0</v>
      </c>
    </row>
    <row r="137" spans="1:49">
      <c r="A137" s="445"/>
      <c r="B137" s="1161" t="s">
        <v>1227</v>
      </c>
      <c r="C137" s="1162"/>
      <c r="D137" s="1162"/>
      <c r="E137" s="1162"/>
      <c r="F137" s="1162"/>
      <c r="G137" s="1162"/>
      <c r="H137" s="1162"/>
      <c r="I137" s="1162"/>
      <c r="J137" s="1163"/>
      <c r="K137" s="438"/>
      <c r="L137" s="1368">
        <f>IF(minergiep,Standardwerte!$BL$36,)</f>
        <v>0</v>
      </c>
      <c r="M137" s="501">
        <v>10</v>
      </c>
      <c r="N137" s="393" t="str">
        <f>IF($P$132,Standardwerte!$L44,"")</f>
        <v/>
      </c>
      <c r="O137" s="1108" t="str">
        <f>IF($P$128,Standardwerte!$O44,"")</f>
        <v/>
      </c>
      <c r="P137" s="10"/>
      <c r="Q137" s="10"/>
      <c r="R137" s="10"/>
      <c r="S137" s="10"/>
      <c r="T137" s="10"/>
      <c r="U137" s="10"/>
      <c r="V137" s="394"/>
      <c r="W137" s="352"/>
      <c r="X137" s="386"/>
      <c r="Y137" s="386"/>
      <c r="Z137" s="386"/>
      <c r="AA137" s="386"/>
      <c r="AB137" s="386"/>
      <c r="AC137" s="10"/>
      <c r="AD137" s="10"/>
      <c r="AE137" s="10"/>
      <c r="AF137" s="10"/>
      <c r="AG137" s="386"/>
      <c r="AH137" s="386"/>
      <c r="AI137" s="386"/>
      <c r="AJ137" s="386"/>
      <c r="AK137" s="386"/>
      <c r="AL137" s="386"/>
      <c r="AM137" s="386"/>
      <c r="AN137" s="10"/>
      <c r="AO137" s="440">
        <f t="array" aca="1" ref="AO137:AW166" ca="1">OFFSET($BH$14,0,Y133,30,9)</f>
        <v>0</v>
      </c>
      <c r="AP137" s="441">
        <f ca="1"/>
        <v>0</v>
      </c>
      <c r="AQ137" s="441">
        <f ca="1"/>
        <v>0</v>
      </c>
      <c r="AR137" s="441">
        <f ca="1"/>
        <v>0</v>
      </c>
      <c r="AS137" s="441">
        <f ca="1"/>
        <v>0</v>
      </c>
      <c r="AT137" s="441">
        <f ca="1"/>
        <v>0</v>
      </c>
      <c r="AU137" s="441">
        <f ca="1"/>
        <v>0</v>
      </c>
      <c r="AV137" s="441">
        <f ca="1"/>
        <v>0</v>
      </c>
      <c r="AW137" s="442">
        <f ca="1"/>
        <v>0</v>
      </c>
    </row>
    <row r="138" spans="1:49">
      <c r="A138" s="445"/>
      <c r="B138" s="1164">
        <f t="shared" ref="B138:B144" ca="1" si="6">AO138</f>
        <v>0</v>
      </c>
      <c r="C138" s="438"/>
      <c r="D138" s="438"/>
      <c r="E138" s="438"/>
      <c r="F138" s="438"/>
      <c r="G138" s="438"/>
      <c r="H138" s="1165" t="s">
        <v>647</v>
      </c>
      <c r="I138" s="1166"/>
      <c r="J138" s="1167"/>
      <c r="K138" s="498"/>
      <c r="L138" s="1368">
        <f>IF(minergiep,Standardwerte!$BL$37,)</f>
        <v>0</v>
      </c>
      <c r="M138" s="501">
        <v>11</v>
      </c>
      <c r="N138" s="393" t="str">
        <f>IF($P$132,Standardwerte!$L45,"")</f>
        <v/>
      </c>
      <c r="O138" s="1108" t="str">
        <f>IF($P$128,Standardwerte!$O45,"")</f>
        <v/>
      </c>
      <c r="P138" s="10"/>
      <c r="Q138" s="10"/>
      <c r="R138" s="10"/>
      <c r="S138" s="10"/>
      <c r="T138" s="10"/>
      <c r="U138" s="10"/>
      <c r="V138" s="394"/>
      <c r="W138" s="352"/>
      <c r="X138" s="386"/>
      <c r="Y138" s="386"/>
      <c r="Z138" s="386"/>
      <c r="AA138" s="386"/>
      <c r="AB138" s="386"/>
      <c r="AC138" s="386" t="s">
        <v>1406</v>
      </c>
      <c r="AD138" s="386"/>
      <c r="AE138" s="386"/>
      <c r="AF138" s="386"/>
      <c r="AG138" s="386"/>
      <c r="AH138" s="386"/>
      <c r="AI138" s="386"/>
      <c r="AJ138" s="386"/>
      <c r="AK138" s="386"/>
      <c r="AL138" s="386"/>
      <c r="AM138" s="386"/>
      <c r="AN138" s="10"/>
      <c r="AO138" s="443">
        <f ca="1"/>
        <v>0</v>
      </c>
      <c r="AP138" s="444">
        <f ca="1"/>
        <v>0</v>
      </c>
      <c r="AQ138" s="444">
        <f ca="1"/>
        <v>0</v>
      </c>
      <c r="AR138" s="444">
        <f ca="1"/>
        <v>0</v>
      </c>
      <c r="AS138" s="444">
        <f ca="1"/>
        <v>0</v>
      </c>
      <c r="AT138" s="444">
        <f ca="1"/>
        <v>0</v>
      </c>
      <c r="AU138" s="445">
        <f ca="1"/>
        <v>0</v>
      </c>
      <c r="AV138" s="446">
        <f ca="1"/>
        <v>0</v>
      </c>
      <c r="AW138" s="434">
        <f ca="1"/>
        <v>0</v>
      </c>
    </row>
    <row r="139" spans="1:49" ht="11.25" customHeight="1">
      <c r="A139" s="445" t="s">
        <v>19</v>
      </c>
      <c r="B139" s="1168">
        <f t="shared" ca="1" si="6"/>
        <v>0</v>
      </c>
      <c r="C139" s="438"/>
      <c r="D139" s="438"/>
      <c r="E139" s="438"/>
      <c r="F139" s="438"/>
      <c r="G139" s="438"/>
      <c r="H139" s="1169"/>
      <c r="I139" s="438"/>
      <c r="J139" s="1170"/>
      <c r="K139" s="438"/>
      <c r="L139" s="1369">
        <f>IF(E153=L138,2,1)</f>
        <v>2</v>
      </c>
      <c r="M139" s="501">
        <v>12</v>
      </c>
      <c r="N139" s="439" t="str">
        <f>IF($P$132,Standardwerte!$L46,"")</f>
        <v/>
      </c>
      <c r="O139" s="1109" t="str">
        <f>IF($P$128,Standardwerte!$O46,"")</f>
        <v/>
      </c>
      <c r="P139" s="10"/>
      <c r="Q139" s="10"/>
      <c r="R139" s="10"/>
      <c r="S139" s="10"/>
      <c r="T139" s="10"/>
      <c r="U139" s="10"/>
      <c r="V139" s="394"/>
      <c r="W139" s="352" t="s">
        <v>589</v>
      </c>
      <c r="X139" s="12">
        <f>M140</f>
        <v>5</v>
      </c>
      <c r="Y139" s="12">
        <f ca="1">M143</f>
        <v>0</v>
      </c>
      <c r="Z139" s="12"/>
      <c r="AA139" s="12" t="s">
        <v>1328</v>
      </c>
      <c r="AB139" s="386"/>
      <c r="AC139" s="12">
        <f ca="1">OFFSET($BI$51,Y139,0)</f>
        <v>0</v>
      </c>
      <c r="AD139" s="386"/>
      <c r="AE139" s="386"/>
      <c r="AF139" s="386"/>
      <c r="AG139" s="386"/>
      <c r="AH139" s="386"/>
      <c r="AI139" s="386"/>
      <c r="AJ139" s="386"/>
      <c r="AK139" s="386"/>
      <c r="AL139" s="386"/>
      <c r="AM139" s="386"/>
      <c r="AN139" s="10"/>
      <c r="AO139" s="447">
        <f ca="1"/>
        <v>0</v>
      </c>
      <c r="AP139" s="444">
        <f ca="1"/>
        <v>0</v>
      </c>
      <c r="AQ139" s="444">
        <f ca="1"/>
        <v>0</v>
      </c>
      <c r="AR139" s="444">
        <f ca="1"/>
        <v>0</v>
      </c>
      <c r="AS139" s="444">
        <f ca="1"/>
        <v>0</v>
      </c>
      <c r="AT139" s="444">
        <f ca="1"/>
        <v>0</v>
      </c>
      <c r="AU139" s="444">
        <f ca="1"/>
        <v>0</v>
      </c>
      <c r="AV139" s="444">
        <f ca="1"/>
        <v>0</v>
      </c>
      <c r="AW139" s="434">
        <f ca="1"/>
        <v>0</v>
      </c>
    </row>
    <row r="140" spans="1:49" ht="11.25" customHeight="1">
      <c r="A140" s="445"/>
      <c r="B140" s="1168">
        <f t="shared" ca="1" si="6"/>
        <v>0</v>
      </c>
      <c r="C140" s="438"/>
      <c r="D140" s="438"/>
      <c r="E140" s="438"/>
      <c r="F140" s="438"/>
      <c r="G140" s="1159" t="str">
        <f>IF(minergiep,"",IF(P130=TRUE,"1)",""))</f>
        <v/>
      </c>
      <c r="H140" s="1855" t="str">
        <f ca="1">OFFSET(N140,M143-1,0)</f>
        <v/>
      </c>
      <c r="I140" s="1856"/>
      <c r="J140" s="1857"/>
      <c r="K140" s="438"/>
      <c r="L140" s="499" t="s">
        <v>1405</v>
      </c>
      <c r="M140" s="590">
        <v>5</v>
      </c>
      <c r="N140" s="390" t="str">
        <f>IF($P$132,AO160,"")</f>
        <v/>
      </c>
      <c r="P140" s="10"/>
      <c r="Q140" s="10"/>
      <c r="R140" s="10"/>
      <c r="S140" s="10"/>
      <c r="T140" s="10"/>
      <c r="U140" s="10"/>
      <c r="V140" s="394"/>
      <c r="W140" s="352"/>
      <c r="X140" s="386"/>
      <c r="Y140" s="386"/>
      <c r="Z140" s="386"/>
      <c r="AA140" s="386"/>
      <c r="AB140" s="386"/>
      <c r="AC140" s="386"/>
      <c r="AD140" s="386"/>
      <c r="AE140" s="386"/>
      <c r="AF140" s="386"/>
      <c r="AG140" s="386"/>
      <c r="AH140" s="386"/>
      <c r="AI140" s="386"/>
      <c r="AJ140" s="386"/>
      <c r="AK140" s="386"/>
      <c r="AL140" s="386"/>
      <c r="AM140" s="386"/>
      <c r="AN140" s="10"/>
      <c r="AO140" s="447">
        <f ca="1"/>
        <v>0</v>
      </c>
      <c r="AP140" s="444">
        <f ca="1"/>
        <v>0</v>
      </c>
      <c r="AQ140" s="444">
        <f ca="1"/>
        <v>0</v>
      </c>
      <c r="AR140" s="444">
        <f ca="1"/>
        <v>0</v>
      </c>
      <c r="AS140" s="444">
        <f ca="1"/>
        <v>0</v>
      </c>
      <c r="AT140" s="444">
        <f ca="1"/>
        <v>0</v>
      </c>
      <c r="AU140" s="444">
        <f ca="1"/>
        <v>0</v>
      </c>
      <c r="AV140" s="448">
        <f ca="1"/>
        <v>0</v>
      </c>
      <c r="AW140" s="434">
        <f ca="1"/>
        <v>0</v>
      </c>
    </row>
    <row r="141" spans="1:49">
      <c r="A141" s="445"/>
      <c r="B141" s="1168">
        <f t="shared" ca="1" si="6"/>
        <v>0</v>
      </c>
      <c r="C141" s="438"/>
      <c r="D141" s="438"/>
      <c r="E141" s="438"/>
      <c r="F141" s="438"/>
      <c r="G141" s="438"/>
      <c r="H141" s="438"/>
      <c r="I141" s="438"/>
      <c r="J141" s="1170"/>
      <c r="K141" s="438"/>
      <c r="L141" s="501" t="s">
        <v>1407</v>
      </c>
      <c r="M141" s="390">
        <f ca="1">AO157</f>
        <v>0</v>
      </c>
      <c r="N141" s="390" t="str">
        <f t="shared" ref="N141:N146" si="7">IF($P$132,AO161,"")</f>
        <v/>
      </c>
      <c r="P141" s="10"/>
      <c r="Q141" s="10"/>
      <c r="R141" s="10"/>
      <c r="S141" s="10"/>
      <c r="T141" s="10"/>
      <c r="U141" s="10"/>
      <c r="V141" s="394"/>
      <c r="W141" s="352"/>
      <c r="X141" s="386"/>
      <c r="Y141" s="386"/>
      <c r="Z141" s="386"/>
      <c r="AA141" s="386"/>
      <c r="AB141" s="386"/>
      <c r="AC141" s="386"/>
      <c r="AD141" s="386"/>
      <c r="AE141" s="386"/>
      <c r="AF141" s="386"/>
      <c r="AG141" s="386"/>
      <c r="AH141" s="386"/>
      <c r="AI141" s="386"/>
      <c r="AJ141" s="386"/>
      <c r="AK141" s="386"/>
      <c r="AL141" s="386"/>
      <c r="AM141" s="386"/>
      <c r="AN141" s="10"/>
      <c r="AO141" s="447">
        <f ca="1"/>
        <v>0</v>
      </c>
      <c r="AP141" s="444">
        <f ca="1"/>
        <v>0</v>
      </c>
      <c r="AQ141" s="444">
        <f ca="1"/>
        <v>0</v>
      </c>
      <c r="AR141" s="444">
        <f ca="1"/>
        <v>0</v>
      </c>
      <c r="AS141" s="444">
        <f ca="1"/>
        <v>0</v>
      </c>
      <c r="AT141" s="444">
        <f ca="1"/>
        <v>0</v>
      </c>
      <c r="AU141" s="444">
        <f ca="1"/>
        <v>0</v>
      </c>
      <c r="AV141" s="444">
        <f ca="1"/>
        <v>0</v>
      </c>
      <c r="AW141" s="434">
        <f ca="1"/>
        <v>0</v>
      </c>
    </row>
    <row r="142" spans="1:49">
      <c r="A142" s="445"/>
      <c r="B142" s="1168">
        <f t="shared" ca="1" si="6"/>
        <v>0</v>
      </c>
      <c r="C142" s="438"/>
      <c r="D142" s="438"/>
      <c r="E142" s="438"/>
      <c r="F142" s="438"/>
      <c r="G142" s="438"/>
      <c r="H142" s="438"/>
      <c r="I142" s="438"/>
      <c r="J142" s="1170"/>
      <c r="K142" s="438"/>
      <c r="L142" s="501" t="s">
        <v>473</v>
      </c>
      <c r="M142" s="390">
        <v>5</v>
      </c>
      <c r="N142" s="390" t="str">
        <f t="shared" si="7"/>
        <v/>
      </c>
      <c r="P142" s="10"/>
      <c r="Q142" s="10"/>
      <c r="R142" s="10"/>
      <c r="S142" s="10"/>
      <c r="T142" s="10"/>
      <c r="U142" s="10"/>
      <c r="V142" s="394"/>
      <c r="W142" s="352"/>
      <c r="X142" s="386"/>
      <c r="Y142" s="386"/>
      <c r="Z142" s="386"/>
      <c r="AA142" s="386"/>
      <c r="AB142" s="386"/>
      <c r="AC142" s="386"/>
      <c r="AD142" s="386"/>
      <c r="AE142" s="386"/>
      <c r="AF142" s="386"/>
      <c r="AG142" s="386"/>
      <c r="AH142" s="386"/>
      <c r="AI142" s="386"/>
      <c r="AJ142" s="386"/>
      <c r="AK142" s="386"/>
      <c r="AL142" s="386"/>
      <c r="AM142" s="386"/>
      <c r="AN142" s="10"/>
      <c r="AO142" s="447">
        <f ca="1"/>
        <v>0</v>
      </c>
      <c r="AP142" s="444">
        <f ca="1"/>
        <v>0</v>
      </c>
      <c r="AQ142" s="444">
        <f ca="1"/>
        <v>0</v>
      </c>
      <c r="AR142" s="444">
        <f ca="1"/>
        <v>0</v>
      </c>
      <c r="AS142" s="444">
        <f ca="1"/>
        <v>0</v>
      </c>
      <c r="AT142" s="444">
        <f ca="1"/>
        <v>0</v>
      </c>
      <c r="AU142" s="444">
        <f ca="1"/>
        <v>0</v>
      </c>
      <c r="AV142" s="444">
        <f ca="1"/>
        <v>0</v>
      </c>
      <c r="AW142" s="434">
        <f ca="1"/>
        <v>0</v>
      </c>
    </row>
    <row r="143" spans="1:49">
      <c r="A143" s="445"/>
      <c r="B143" s="1168">
        <f t="shared" ca="1" si="6"/>
        <v>0</v>
      </c>
      <c r="C143" s="438"/>
      <c r="D143" s="438"/>
      <c r="E143" s="438"/>
      <c r="F143" s="438"/>
      <c r="G143" s="438"/>
      <c r="H143" s="438"/>
      <c r="I143" s="429"/>
      <c r="J143" s="1170"/>
      <c r="K143" s="438"/>
      <c r="L143" s="501" t="s">
        <v>582</v>
      </c>
      <c r="M143" s="390">
        <f ca="1">IF(P130,MIN(M141:M142),MIN(M140:M141))</f>
        <v>0</v>
      </c>
      <c r="N143" s="390" t="str">
        <f t="shared" si="7"/>
        <v/>
      </c>
      <c r="P143" s="10"/>
      <c r="Q143" s="10"/>
      <c r="R143" s="10"/>
      <c r="S143" s="10"/>
      <c r="T143" s="10"/>
      <c r="U143" s="10"/>
      <c r="V143" s="394"/>
      <c r="W143" s="352"/>
      <c r="X143" s="386"/>
      <c r="Y143" s="386"/>
      <c r="Z143" s="386"/>
      <c r="AA143" s="386"/>
      <c r="AB143" s="386"/>
      <c r="AC143" s="386"/>
      <c r="AD143" s="386"/>
      <c r="AE143" s="386"/>
      <c r="AF143" s="386"/>
      <c r="AG143" s="386"/>
      <c r="AH143" s="386"/>
      <c r="AI143" s="386"/>
      <c r="AJ143" s="386"/>
      <c r="AK143" s="386"/>
      <c r="AL143" s="386"/>
      <c r="AM143" s="386"/>
      <c r="AN143" s="10"/>
      <c r="AO143" s="449">
        <f ca="1"/>
        <v>0</v>
      </c>
      <c r="AP143" s="444">
        <f ca="1"/>
        <v>0</v>
      </c>
      <c r="AQ143" s="444">
        <f ca="1"/>
        <v>0</v>
      </c>
      <c r="AR143" s="444">
        <f ca="1"/>
        <v>0</v>
      </c>
      <c r="AS143" s="444">
        <f ca="1"/>
        <v>0</v>
      </c>
      <c r="AT143" s="444">
        <f ca="1"/>
        <v>0</v>
      </c>
      <c r="AU143" s="444">
        <f ca="1"/>
        <v>0</v>
      </c>
      <c r="AV143" s="386">
        <f ca="1"/>
        <v>0</v>
      </c>
      <c r="AW143" s="434">
        <f ca="1"/>
        <v>0</v>
      </c>
    </row>
    <row r="144" spans="1:49">
      <c r="A144" s="445"/>
      <c r="B144" s="1171">
        <f t="shared" ca="1" si="6"/>
        <v>0</v>
      </c>
      <c r="C144" s="1172"/>
      <c r="D144" s="1172"/>
      <c r="E144" s="1172"/>
      <c r="F144" s="1172"/>
      <c r="G144" s="1172"/>
      <c r="H144" s="1172"/>
      <c r="I144" s="1172"/>
      <c r="J144" s="1173"/>
      <c r="K144" s="438"/>
      <c r="L144" s="501"/>
      <c r="M144" s="390"/>
      <c r="N144" s="390" t="str">
        <f t="shared" si="7"/>
        <v/>
      </c>
      <c r="P144" s="10"/>
      <c r="Q144" s="10"/>
      <c r="R144" s="10"/>
      <c r="S144" s="10"/>
      <c r="T144" s="10"/>
      <c r="U144" s="10"/>
      <c r="V144" s="394"/>
      <c r="W144" s="352"/>
      <c r="X144" s="386"/>
      <c r="Y144" s="386"/>
      <c r="Z144" s="386"/>
      <c r="AA144" s="386"/>
      <c r="AB144" s="386"/>
      <c r="AC144" s="386" t="s">
        <v>1423</v>
      </c>
      <c r="AD144" s="386"/>
      <c r="AE144" s="386"/>
      <c r="AF144" s="386"/>
      <c r="AG144" s="386"/>
      <c r="AH144" s="386"/>
      <c r="AI144" s="386"/>
      <c r="AJ144" s="386"/>
      <c r="AK144" s="386"/>
      <c r="AL144" s="386"/>
      <c r="AM144" s="386"/>
      <c r="AN144" s="10"/>
      <c r="AO144" s="450">
        <f ca="1"/>
        <v>0</v>
      </c>
      <c r="AP144" s="451">
        <f ca="1"/>
        <v>0</v>
      </c>
      <c r="AQ144" s="451">
        <f ca="1"/>
        <v>0</v>
      </c>
      <c r="AR144" s="451">
        <f ca="1"/>
        <v>0</v>
      </c>
      <c r="AS144" s="451">
        <f ca="1"/>
        <v>0</v>
      </c>
      <c r="AT144" s="451">
        <f ca="1"/>
        <v>0</v>
      </c>
      <c r="AU144" s="451">
        <f ca="1"/>
        <v>0</v>
      </c>
      <c r="AV144" s="451">
        <f ca="1"/>
        <v>0</v>
      </c>
      <c r="AW144" s="452">
        <f ca="1"/>
        <v>0</v>
      </c>
    </row>
    <row r="145" spans="1:49">
      <c r="A145" s="626" t="s">
        <v>589</v>
      </c>
      <c r="B145" s="1206" t="s">
        <v>26</v>
      </c>
      <c r="C145" s="1162"/>
      <c r="D145" s="1162"/>
      <c r="E145" s="364"/>
      <c r="F145" s="364"/>
      <c r="G145" s="1159" t="str">
        <f>IF(minergiep,"",IF(P130=TRUE,"1)",""))</f>
        <v/>
      </c>
      <c r="H145" s="1843">
        <f>INDEX(Standardwerte!$BT$35:$BT$39,M147)</f>
        <v>1</v>
      </c>
      <c r="I145" s="1858"/>
      <c r="J145" s="1859"/>
      <c r="K145" s="506"/>
      <c r="L145" s="501"/>
      <c r="M145" s="390"/>
      <c r="N145" s="390" t="str">
        <f t="shared" si="7"/>
        <v/>
      </c>
      <c r="P145" s="10"/>
      <c r="Q145" s="10"/>
      <c r="R145" s="10"/>
      <c r="S145" s="10"/>
      <c r="T145" s="10"/>
      <c r="U145" s="10"/>
      <c r="V145" s="394"/>
      <c r="W145" s="363" t="s">
        <v>564</v>
      </c>
      <c r="X145" s="12">
        <f>M147</f>
        <v>1</v>
      </c>
      <c r="Y145" s="12">
        <f ca="1">M149</f>
        <v>0</v>
      </c>
      <c r="Z145" s="12"/>
      <c r="AA145" s="12" t="s">
        <v>1329</v>
      </c>
      <c r="AB145" s="386"/>
      <c r="AC145" s="892">
        <f ca="1">IF(AND(Y145=2,E147&gt;0),0.8,1)</f>
        <v>1</v>
      </c>
      <c r="AD145" s="386"/>
      <c r="AE145" s="386"/>
      <c r="AF145" s="386"/>
      <c r="AG145" s="386"/>
      <c r="AH145" s="386"/>
      <c r="AI145" s="386"/>
      <c r="AJ145" s="386"/>
      <c r="AK145" s="386"/>
      <c r="AL145" s="386"/>
      <c r="AM145" s="386"/>
      <c r="AN145" s="10"/>
      <c r="AO145" s="453">
        <f ca="1"/>
        <v>0</v>
      </c>
      <c r="AP145" s="454">
        <f ca="1"/>
        <v>0</v>
      </c>
      <c r="AQ145" s="454">
        <f ca="1"/>
        <v>0</v>
      </c>
      <c r="AR145" s="455">
        <f ca="1"/>
        <v>0</v>
      </c>
      <c r="AS145" s="455">
        <f ca="1"/>
        <v>0</v>
      </c>
      <c r="AT145" s="455">
        <f ca="1"/>
        <v>0</v>
      </c>
      <c r="AU145" s="414">
        <f ca="1"/>
        <v>0</v>
      </c>
      <c r="AV145" s="414">
        <f ca="1"/>
        <v>0</v>
      </c>
      <c r="AW145" s="417">
        <f ca="1"/>
        <v>0</v>
      </c>
    </row>
    <row r="146" spans="1:49">
      <c r="A146" s="626"/>
      <c r="B146" s="443" t="str">
        <f>IF(M147=2,LER_Text1,"")</f>
        <v/>
      </c>
      <c r="C146" s="355"/>
      <c r="D146" s="355"/>
      <c r="E146" s="365"/>
      <c r="F146" s="365"/>
      <c r="G146" s="365"/>
      <c r="H146" s="1564"/>
      <c r="I146" s="365"/>
      <c r="J146" s="366"/>
      <c r="K146" s="506"/>
      <c r="L146" s="504"/>
      <c r="M146" s="493"/>
      <c r="N146" s="390" t="str">
        <f t="shared" si="7"/>
        <v/>
      </c>
      <c r="P146" s="10"/>
      <c r="Q146" s="10"/>
      <c r="R146" s="10"/>
      <c r="S146" s="10"/>
      <c r="T146" s="10"/>
      <c r="U146" s="10"/>
      <c r="V146" s="394"/>
      <c r="W146" s="363"/>
      <c r="X146" s="386"/>
      <c r="Y146" s="386"/>
      <c r="Z146" s="386"/>
      <c r="AA146" s="386"/>
      <c r="AB146" s="386"/>
      <c r="AC146" s="386"/>
      <c r="AD146" s="386"/>
      <c r="AE146" s="386"/>
      <c r="AF146" s="386"/>
      <c r="AG146" s="386"/>
      <c r="AH146" s="386"/>
      <c r="AI146" s="386"/>
      <c r="AJ146" s="386"/>
      <c r="AK146" s="386"/>
      <c r="AL146" s="386"/>
      <c r="AM146" s="386"/>
      <c r="AN146" s="10"/>
      <c r="AO146" s="443">
        <f ca="1"/>
        <v>0</v>
      </c>
      <c r="AP146" s="444">
        <f ca="1"/>
        <v>0</v>
      </c>
      <c r="AQ146" s="444">
        <f ca="1"/>
        <v>0</v>
      </c>
      <c r="AR146" s="456">
        <f ca="1"/>
        <v>0</v>
      </c>
      <c r="AS146" s="456">
        <f ca="1"/>
        <v>0</v>
      </c>
      <c r="AT146" s="456">
        <f ca="1"/>
        <v>0</v>
      </c>
      <c r="AU146" s="386">
        <f ca="1"/>
        <v>0</v>
      </c>
      <c r="AV146" s="386">
        <f ca="1"/>
        <v>0</v>
      </c>
      <c r="AW146" s="434">
        <f ca="1"/>
        <v>0</v>
      </c>
    </row>
    <row r="147" spans="1:49" ht="15.75" customHeight="1">
      <c r="A147" s="627"/>
      <c r="B147" s="1736" t="str">
        <f>IF(M147=1,LER_Text0,IF(M147=2,LER_Text2,LER_Text3))</f>
        <v>La protezione contro il giaccio deve essere garantita</v>
      </c>
      <c r="C147" s="361"/>
      <c r="D147" s="1566"/>
      <c r="E147" s="1567"/>
      <c r="F147" s="1738" t="str">
        <f>IF(M147=1,LER_Text6,IF(M147=2,"m","%"))</f>
        <v>Compilare la casella E25</v>
      </c>
      <c r="G147" s="361"/>
      <c r="H147" s="1568" t="str">
        <f>IF(M147&gt;2,LER_Text5,"")</f>
        <v/>
      </c>
      <c r="I147" s="361"/>
      <c r="J147" s="362"/>
      <c r="K147" s="438"/>
      <c r="L147" s="507" t="s">
        <v>1405</v>
      </c>
      <c r="M147" s="590">
        <v>1</v>
      </c>
      <c r="N147" s="508">
        <f ca="1">IF(minergiep,"no",AP160)</f>
        <v>0</v>
      </c>
      <c r="Q147" s="509"/>
      <c r="R147" s="10"/>
      <c r="S147" s="10"/>
      <c r="T147" s="10"/>
      <c r="U147" s="10"/>
      <c r="V147" s="394"/>
      <c r="W147" s="367"/>
      <c r="X147" s="386"/>
      <c r="Y147" s="386"/>
      <c r="Z147" s="386"/>
      <c r="AA147" s="386"/>
      <c r="AB147" s="386"/>
      <c r="AC147" s="10"/>
      <c r="AD147" s="10"/>
      <c r="AE147" s="10"/>
      <c r="AF147" s="386"/>
      <c r="AG147" s="386"/>
      <c r="AH147" s="386"/>
      <c r="AI147" s="386"/>
      <c r="AJ147" s="386"/>
      <c r="AK147" s="386"/>
      <c r="AL147" s="386"/>
      <c r="AM147" s="386"/>
      <c r="AN147" s="10"/>
      <c r="AO147" s="443">
        <f ca="1"/>
        <v>0</v>
      </c>
      <c r="AP147" s="444">
        <f ca="1"/>
        <v>0</v>
      </c>
      <c r="AQ147" s="446">
        <f ca="1"/>
        <v>0</v>
      </c>
      <c r="AR147" s="386">
        <f ca="1"/>
        <v>0</v>
      </c>
      <c r="AS147" s="445">
        <f ca="1"/>
        <v>0</v>
      </c>
      <c r="AT147" s="444">
        <f ca="1"/>
        <v>0</v>
      </c>
      <c r="AU147" s="386">
        <f ca="1"/>
        <v>0</v>
      </c>
      <c r="AV147" s="386">
        <f ca="1"/>
        <v>0</v>
      </c>
      <c r="AW147" s="434">
        <f ca="1"/>
        <v>0</v>
      </c>
    </row>
    <row r="148" spans="1:49">
      <c r="A148" s="628" t="s">
        <v>564</v>
      </c>
      <c r="B148" s="1207" t="s">
        <v>1109</v>
      </c>
      <c r="C148" s="364"/>
      <c r="D148" s="364"/>
      <c r="E148" s="1175" t="s">
        <v>753</v>
      </c>
      <c r="F148" s="1145"/>
      <c r="G148" s="364"/>
      <c r="H148" s="1860"/>
      <c r="I148" s="1861"/>
      <c r="J148" s="1862"/>
      <c r="K148" s="506"/>
      <c r="L148" s="390" t="s">
        <v>1407</v>
      </c>
      <c r="M148" s="390">
        <f ca="1">IF(P130,1,AP157)</f>
        <v>0</v>
      </c>
      <c r="N148" s="511">
        <f ca="1">IF(minergiep,"si",AP161)</f>
        <v>0</v>
      </c>
      <c r="W148" s="368" t="s">
        <v>565</v>
      </c>
      <c r="X148" s="12"/>
      <c r="Y148" s="12"/>
      <c r="Z148" s="12"/>
      <c r="AA148" s="12"/>
      <c r="AB148" s="386"/>
      <c r="AC148" s="386"/>
      <c r="AD148" s="386"/>
      <c r="AE148" s="386"/>
      <c r="AF148" s="386"/>
      <c r="AG148" s="386"/>
      <c r="AH148" s="386"/>
      <c r="AI148" s="386"/>
      <c r="AJ148" s="386"/>
      <c r="AK148" s="386"/>
      <c r="AL148" s="386"/>
      <c r="AM148" s="386"/>
      <c r="AN148" s="10"/>
      <c r="AO148" s="457">
        <f ca="1"/>
        <v>0</v>
      </c>
      <c r="AP148" s="455">
        <f ca="1"/>
        <v>0</v>
      </c>
      <c r="AQ148" s="455">
        <f ca="1"/>
        <v>0</v>
      </c>
      <c r="AR148" s="458">
        <f ca="1"/>
        <v>0</v>
      </c>
      <c r="AS148" s="414">
        <f ca="1"/>
        <v>0</v>
      </c>
      <c r="AT148" s="459">
        <f ca="1"/>
        <v>0</v>
      </c>
      <c r="AU148" s="460">
        <f ca="1"/>
        <v>0</v>
      </c>
      <c r="AV148" s="461">
        <f ca="1"/>
        <v>0</v>
      </c>
      <c r="AW148" s="462">
        <f ca="1"/>
        <v>0</v>
      </c>
    </row>
    <row r="149" spans="1:49" ht="15.75" customHeight="1">
      <c r="A149" s="445" t="s">
        <v>565</v>
      </c>
      <c r="B149" s="1149"/>
      <c r="C149" s="438"/>
      <c r="D149" s="438"/>
      <c r="E149" s="1203" t="s">
        <v>1214</v>
      </c>
      <c r="F149" s="429"/>
      <c r="G149" s="1176"/>
      <c r="H149" s="1864">
        <f ca="1">OFFSET(N151,M153-1,0)</f>
        <v>0</v>
      </c>
      <c r="I149" s="1865"/>
      <c r="J149" s="1866"/>
      <c r="K149" s="438"/>
      <c r="L149" s="493" t="s">
        <v>582</v>
      </c>
      <c r="M149" s="493">
        <f ca="1">MIN(M147:M148)</f>
        <v>0</v>
      </c>
      <c r="W149" s="352" t="s">
        <v>587</v>
      </c>
      <c r="X149" s="12">
        <f>M151</f>
        <v>1</v>
      </c>
      <c r="Y149" s="12">
        <f ca="1">M153</f>
        <v>0</v>
      </c>
      <c r="Z149" s="12"/>
      <c r="AA149" s="12"/>
      <c r="AB149" s="386"/>
      <c r="AC149" s="12">
        <f ca="1">MAX(IF(AND(Kategorie4&lt;4,Standardlüftung4=3),OFFSET(P151,Y149-1,0),OFFSET(P151,Y149-1,0)),0)</f>
        <v>0</v>
      </c>
      <c r="AD149" s="386"/>
      <c r="AE149" s="386"/>
      <c r="AF149" s="386"/>
      <c r="AG149" s="386"/>
      <c r="AH149" s="386"/>
      <c r="AI149" s="386"/>
      <c r="AJ149" s="386"/>
      <c r="AK149" s="386"/>
      <c r="AL149" s="386"/>
      <c r="AM149" s="386"/>
      <c r="AN149" s="10"/>
      <c r="AO149" s="418">
        <f ca="1"/>
        <v>0</v>
      </c>
      <c r="AP149" s="444">
        <f ca="1"/>
        <v>0</v>
      </c>
      <c r="AQ149" s="444">
        <f ca="1"/>
        <v>0</v>
      </c>
      <c r="AR149" s="444">
        <f ca="1"/>
        <v>0</v>
      </c>
      <c r="AS149" s="386">
        <f ca="1"/>
        <v>0</v>
      </c>
      <c r="AT149" s="444">
        <f ca="1"/>
        <v>0</v>
      </c>
      <c r="AU149" s="463">
        <f ca="1"/>
        <v>0</v>
      </c>
      <c r="AV149" s="464">
        <f ca="1"/>
        <v>0</v>
      </c>
      <c r="AW149" s="465">
        <f ca="1"/>
        <v>0</v>
      </c>
    </row>
    <row r="150" spans="1:49" ht="15.75" customHeight="1">
      <c r="A150" s="628" t="s">
        <v>587</v>
      </c>
      <c r="B150" s="1149"/>
      <c r="C150" s="438"/>
      <c r="D150" s="438"/>
      <c r="E150" s="438" t="s">
        <v>1411</v>
      </c>
      <c r="F150" s="429"/>
      <c r="G150" s="438"/>
      <c r="H150" s="1864">
        <f ca="1">OFFSET(N154,M156-1,0)</f>
        <v>0</v>
      </c>
      <c r="I150" s="1865"/>
      <c r="J150" s="1866"/>
      <c r="K150" s="438"/>
      <c r="L150" s="386" t="s">
        <v>1424</v>
      </c>
      <c r="M150" s="386">
        <f ca="1">INDEX(AT160:AT162,M151,1)</f>
        <v>0</v>
      </c>
      <c r="W150" s="352" t="s">
        <v>588</v>
      </c>
      <c r="X150" s="12">
        <f>M154</f>
        <v>1</v>
      </c>
      <c r="Y150" s="12">
        <f ca="1">M156</f>
        <v>0</v>
      </c>
      <c r="Z150" s="12"/>
      <c r="AA150" s="12"/>
      <c r="AB150" s="386"/>
      <c r="AC150" s="387">
        <f ca="1">IF(Y150=1,1,0.5)</f>
        <v>0.5</v>
      </c>
      <c r="AD150" s="386"/>
      <c r="AE150" s="386"/>
      <c r="AF150" s="386"/>
      <c r="AG150" s="386"/>
      <c r="AH150" s="386"/>
      <c r="AI150" s="386"/>
      <c r="AJ150" s="386"/>
      <c r="AK150" s="386"/>
      <c r="AL150" s="386"/>
      <c r="AM150" s="386"/>
      <c r="AN150" s="10"/>
      <c r="AO150" s="418">
        <f ca="1"/>
        <v>0</v>
      </c>
      <c r="AP150" s="444">
        <f ca="1"/>
        <v>0</v>
      </c>
      <c r="AQ150" s="444">
        <f ca="1"/>
        <v>0</v>
      </c>
      <c r="AR150" s="444">
        <f ca="1"/>
        <v>0</v>
      </c>
      <c r="AS150" s="386">
        <f ca="1"/>
        <v>0</v>
      </c>
      <c r="AT150" s="444">
        <f ca="1"/>
        <v>0</v>
      </c>
      <c r="AU150" s="463">
        <f ca="1"/>
        <v>0</v>
      </c>
      <c r="AV150" s="464">
        <f ca="1"/>
        <v>0</v>
      </c>
      <c r="AW150" s="466">
        <f ca="1"/>
        <v>0</v>
      </c>
    </row>
    <row r="151" spans="1:49" ht="15.75" customHeight="1">
      <c r="A151" s="445" t="s">
        <v>588</v>
      </c>
      <c r="B151" s="1149"/>
      <c r="C151" s="1863">
        <f>IF(AND(M157=2,Lüftung4=3),"überprüfen:   V(Stufe1) &gt; Vmin,Anlage",)</f>
        <v>0</v>
      </c>
      <c r="D151" s="1863"/>
      <c r="E151" s="1203" t="s">
        <v>1215</v>
      </c>
      <c r="F151" s="1177"/>
      <c r="G151" s="1159" t="str">
        <f>IF(minergiep,"",IF(P130=TRUE,"1)",""))</f>
        <v/>
      </c>
      <c r="H151" s="1864">
        <f ca="1">OFFSET(N157,M159-1,0)</f>
        <v>0</v>
      </c>
      <c r="I151" s="1865"/>
      <c r="J151" s="1866"/>
      <c r="K151" s="438"/>
      <c r="L151" s="507" t="s">
        <v>1405</v>
      </c>
      <c r="M151" s="590">
        <f>WRGtyp4</f>
        <v>1</v>
      </c>
      <c r="N151" s="387">
        <f ca="1">AQ160</f>
        <v>0</v>
      </c>
      <c r="O151" s="387">
        <f ca="1">AU164</f>
        <v>0</v>
      </c>
      <c r="P151" s="514">
        <f ca="1">AV160</f>
        <v>0</v>
      </c>
      <c r="W151" s="352" t="s">
        <v>757</v>
      </c>
      <c r="X151" s="12">
        <f>M157</f>
        <v>1</v>
      </c>
      <c r="Y151" s="12">
        <f ca="1">M159</f>
        <v>0</v>
      </c>
      <c r="Z151" s="12"/>
      <c r="AA151" s="12"/>
      <c r="AB151" s="386"/>
      <c r="AC151" s="12" t="s">
        <v>585</v>
      </c>
      <c r="AD151" s="12" t="s">
        <v>586</v>
      </c>
      <c r="AE151" s="12" t="s">
        <v>760</v>
      </c>
      <c r="AF151" s="11" t="s">
        <v>1425</v>
      </c>
      <c r="AG151" s="386"/>
      <c r="AH151" s="386"/>
      <c r="AI151" s="386"/>
      <c r="AJ151" s="386"/>
      <c r="AK151" s="386"/>
      <c r="AL151" s="386"/>
      <c r="AM151" s="386"/>
      <c r="AN151" s="10"/>
      <c r="AO151" s="418">
        <f ca="1"/>
        <v>0</v>
      </c>
      <c r="AP151" s="444">
        <f ca="1"/>
        <v>0</v>
      </c>
      <c r="AQ151" s="444">
        <f ca="1"/>
        <v>0</v>
      </c>
      <c r="AR151" s="444">
        <f ca="1"/>
        <v>0</v>
      </c>
      <c r="AS151" s="386">
        <f ca="1"/>
        <v>0</v>
      </c>
      <c r="AT151" s="444">
        <f ca="1"/>
        <v>0</v>
      </c>
      <c r="AU151" s="463">
        <f ca="1"/>
        <v>0</v>
      </c>
      <c r="AV151" s="464">
        <f ca="1"/>
        <v>0</v>
      </c>
      <c r="AW151" s="466">
        <f ca="1"/>
        <v>0</v>
      </c>
    </row>
    <row r="152" spans="1:49">
      <c r="A152" s="628" t="s">
        <v>757</v>
      </c>
      <c r="B152" s="1079"/>
      <c r="C152" s="1178">
        <f ca="1">AP152</f>
        <v>0</v>
      </c>
      <c r="D152" s="1178"/>
      <c r="E152" s="1080"/>
      <c r="F152" s="1179"/>
      <c r="G152" s="1180">
        <f ca="1">IF(minergiep,"Valore standard ",AT152)</f>
        <v>0</v>
      </c>
      <c r="H152" s="1181">
        <f ca="1">AU152</f>
        <v>0</v>
      </c>
      <c r="I152" s="1182">
        <f ca="1">AV152</f>
        <v>0</v>
      </c>
      <c r="J152" s="371">
        <f ca="1">Y152</f>
        <v>0</v>
      </c>
      <c r="K152" s="518"/>
      <c r="L152" s="390" t="s">
        <v>1407</v>
      </c>
      <c r="M152" s="390">
        <f ca="1">AQ157</f>
        <v>0</v>
      </c>
      <c r="N152" s="390">
        <f ca="1">AQ161</f>
        <v>0</v>
      </c>
      <c r="O152" s="390">
        <f ca="1">AU165</f>
        <v>0</v>
      </c>
      <c r="P152" s="516">
        <f ca="1">AV161</f>
        <v>0</v>
      </c>
      <c r="W152" s="352" t="s">
        <v>758</v>
      </c>
      <c r="X152" s="520">
        <f ca="1">P154</f>
        <v>0</v>
      </c>
      <c r="Y152" s="1574">
        <f ca="1">MAX(0,IF(ISBLANK(J153),IF(AND(minergiep,X152=70),X152,X152-10),MIN(IF(AND(Kategorie4&lt;4,Standardlüftung4=3,minergiep=FALSE),X152-10,X152),X153)))</f>
        <v>0</v>
      </c>
      <c r="Z152" s="430"/>
      <c r="AA152" s="521" t="s">
        <v>1426</v>
      </c>
      <c r="AB152" s="467"/>
      <c r="AC152" s="522">
        <f ca="1">IF($Y151=2,AC135,0)</f>
        <v>0</v>
      </c>
      <c r="AD152" s="522">
        <f ca="1">IF($Y151=2,AD135,$AC135+$AD135+$AE135)</f>
        <v>0</v>
      </c>
      <c r="AE152" s="522">
        <f ca="1">IF($Y151=2,AE135,0)</f>
        <v>0</v>
      </c>
      <c r="AF152" s="522">
        <f ca="1">SUM(AC152:AE152)</f>
        <v>0</v>
      </c>
      <c r="AG152" s="12" t="s">
        <v>481</v>
      </c>
      <c r="AH152" s="467"/>
      <c r="AI152" s="467"/>
      <c r="AJ152" s="467"/>
      <c r="AK152" s="467"/>
      <c r="AL152" s="467"/>
      <c r="AM152" s="467"/>
      <c r="AN152" s="369"/>
      <c r="AO152" s="443">
        <f ca="1"/>
        <v>0</v>
      </c>
      <c r="AP152" s="444">
        <f ca="1"/>
        <v>0</v>
      </c>
      <c r="AQ152" s="467">
        <f ca="1"/>
        <v>0</v>
      </c>
      <c r="AR152" s="444">
        <f ca="1"/>
        <v>0</v>
      </c>
      <c r="AS152" s="467">
        <f ca="1"/>
        <v>0</v>
      </c>
      <c r="AT152" s="468">
        <f ca="1"/>
        <v>0</v>
      </c>
      <c r="AU152" s="469">
        <f ca="1"/>
        <v>0</v>
      </c>
      <c r="AV152" s="470">
        <f ca="1"/>
        <v>0</v>
      </c>
      <c r="AW152" s="471">
        <f ca="1"/>
        <v>0</v>
      </c>
    </row>
    <row r="153" spans="1:49">
      <c r="A153" s="445"/>
      <c r="B153" s="1081"/>
      <c r="C153" s="1367" t="str">
        <f>IF(minergiep,"apparecchio di aerazione certificato?","")</f>
        <v/>
      </c>
      <c r="D153" s="1133"/>
      <c r="E153" s="1366"/>
      <c r="F153" s="1183"/>
      <c r="G153" s="1184">
        <f ca="1">AT153</f>
        <v>0</v>
      </c>
      <c r="H153" s="1185"/>
      <c r="I153" s="1186"/>
      <c r="J153" s="591"/>
      <c r="K153" s="518"/>
      <c r="L153" s="493" t="s">
        <v>582</v>
      </c>
      <c r="M153" s="493">
        <f ca="1">MIN(M151:M152)</f>
        <v>0</v>
      </c>
      <c r="N153" s="493">
        <f ca="1">AQ162</f>
        <v>0</v>
      </c>
      <c r="O153" s="493">
        <f ca="1">AU166</f>
        <v>0</v>
      </c>
      <c r="P153" s="516">
        <f ca="1">AV162</f>
        <v>0</v>
      </c>
      <c r="W153" s="352"/>
      <c r="X153" s="520">
        <f>J153</f>
        <v>0</v>
      </c>
      <c r="Y153" s="521"/>
      <c r="Z153" s="521"/>
      <c r="AA153" s="521"/>
      <c r="AB153" s="467"/>
      <c r="AC153" s="430" t="e">
        <f ca="1">AC134/AD134*AD153</f>
        <v>#DIV/0!</v>
      </c>
      <c r="AD153" s="430">
        <f ca="1">VSup4</f>
        <v>0</v>
      </c>
      <c r="AE153" s="430" t="e">
        <f ca="1">AE134/AD134*AD153</f>
        <v>#DIV/0!</v>
      </c>
      <c r="AF153" s="524" t="e">
        <f ca="1">(AC153*AC152+AD153*AD152+AE153*AE152)/AF152</f>
        <v>#DIV/0!</v>
      </c>
      <c r="AG153" s="12" t="s">
        <v>482</v>
      </c>
      <c r="AH153" s="467"/>
      <c r="AI153" s="467"/>
      <c r="AJ153" s="467"/>
      <c r="AK153" s="467"/>
      <c r="AL153" s="467"/>
      <c r="AM153" s="467"/>
      <c r="AN153" s="369"/>
      <c r="AO153" s="472">
        <f ca="1"/>
        <v>0</v>
      </c>
      <c r="AP153" s="467">
        <f ca="1"/>
        <v>0</v>
      </c>
      <c r="AQ153" s="444">
        <f ca="1"/>
        <v>0</v>
      </c>
      <c r="AR153" s="444">
        <f ca="1"/>
        <v>0</v>
      </c>
      <c r="AS153" s="467">
        <f ca="1"/>
        <v>0</v>
      </c>
      <c r="AT153" s="468">
        <f ca="1"/>
        <v>0</v>
      </c>
      <c r="AU153" s="469">
        <f ca="1"/>
        <v>0</v>
      </c>
      <c r="AV153" s="470">
        <f ca="1"/>
        <v>0</v>
      </c>
      <c r="AW153" s="473">
        <f ca="1"/>
        <v>0</v>
      </c>
    </row>
    <row r="154" spans="1:49" ht="15">
      <c r="A154" s="445" t="s">
        <v>758</v>
      </c>
      <c r="B154" s="1570" t="s">
        <v>338</v>
      </c>
      <c r="D154" s="438"/>
      <c r="E154" s="369"/>
      <c r="F154" s="498"/>
      <c r="G154" s="1112" t="s">
        <v>1225</v>
      </c>
      <c r="H154" s="374" t="s">
        <v>1453</v>
      </c>
      <c r="I154" s="1187" t="s">
        <v>761</v>
      </c>
      <c r="J154" s="376">
        <f ca="1">IF(ISERROR(AD154),0,AD154)</f>
        <v>0</v>
      </c>
      <c r="K154" s="527"/>
      <c r="L154" s="507" t="s">
        <v>1405</v>
      </c>
      <c r="M154" s="590">
        <f>ACDC4</f>
        <v>1</v>
      </c>
      <c r="N154" s="519">
        <f ca="1">AR160</f>
        <v>0</v>
      </c>
      <c r="O154" s="1572">
        <f ca="1">AR163</f>
        <v>0</v>
      </c>
      <c r="P154" s="1573">
        <f ca="1">IF(AND(minergiep,Zertifikat4),IF(J153&gt;0,MIN(95,J153),J153),AC149*100)</f>
        <v>0</v>
      </c>
      <c r="Q154" s="467"/>
      <c r="R154" s="467"/>
      <c r="S154" s="467"/>
      <c r="T154" s="467"/>
      <c r="U154" s="467"/>
      <c r="V154" s="467"/>
      <c r="W154" s="352" t="s">
        <v>759</v>
      </c>
      <c r="X154" s="520">
        <f ca="1">J154</f>
        <v>0</v>
      </c>
      <c r="Y154" s="12">
        <f ca="1">MAX(X154:X155)</f>
        <v>0</v>
      </c>
      <c r="Z154" s="12"/>
      <c r="AA154" s="521" t="s">
        <v>484</v>
      </c>
      <c r="AB154" s="467"/>
      <c r="AC154" s="430" t="e">
        <f ca="1">AC136/AD136*AD154</f>
        <v>#DIV/0!</v>
      </c>
      <c r="AD154" s="430">
        <f ca="1">AD153*(AD136+AC139)*AC150</f>
        <v>0</v>
      </c>
      <c r="AE154" s="430" t="e">
        <f ca="1">AE136/AD136*AD154</f>
        <v>#DIV/0!</v>
      </c>
      <c r="AF154" s="369" t="s">
        <v>776</v>
      </c>
      <c r="AG154" s="12" t="s">
        <v>485</v>
      </c>
      <c r="AH154" s="467"/>
      <c r="AI154" s="467"/>
      <c r="AJ154" s="467"/>
      <c r="AK154" s="467"/>
      <c r="AL154" s="467"/>
      <c r="AM154" s="467"/>
      <c r="AN154" s="369"/>
      <c r="AO154" s="443">
        <f ca="1"/>
        <v>0</v>
      </c>
      <c r="AP154" s="444">
        <f ca="1"/>
        <v>0</v>
      </c>
      <c r="AQ154" s="444">
        <f ca="1"/>
        <v>0</v>
      </c>
      <c r="AR154" s="444">
        <f ca="1"/>
        <v>0</v>
      </c>
      <c r="AS154" s="467">
        <f ca="1"/>
        <v>0</v>
      </c>
      <c r="AT154" s="474">
        <f ca="1"/>
        <v>0</v>
      </c>
      <c r="AU154" s="475">
        <f ca="1"/>
        <v>0</v>
      </c>
      <c r="AV154" s="470">
        <f ca="1"/>
        <v>0</v>
      </c>
      <c r="AW154" s="473">
        <f ca="1"/>
        <v>0</v>
      </c>
    </row>
    <row r="155" spans="1:49">
      <c r="A155" s="445"/>
      <c r="B155" s="1565" t="str">
        <f>IF(OR(M147=4,M147=5),LER_Text4,"")</f>
        <v/>
      </c>
      <c r="C155" s="1172"/>
      <c r="D155" s="1172"/>
      <c r="E155" s="1172"/>
      <c r="F155" s="1174"/>
      <c r="G155" s="925" t="s">
        <v>1226</v>
      </c>
      <c r="H155" s="377"/>
      <c r="I155" s="1188"/>
      <c r="J155" s="592"/>
      <c r="K155" s="527"/>
      <c r="L155" s="390" t="s">
        <v>1407</v>
      </c>
      <c r="M155" s="390">
        <f ca="1">AR157</f>
        <v>0</v>
      </c>
      <c r="N155" s="398">
        <f ca="1">AR161</f>
        <v>0</v>
      </c>
      <c r="O155" s="629">
        <f ca="1">AR164</f>
        <v>0</v>
      </c>
      <c r="P155" s="467"/>
      <c r="Q155" s="467"/>
      <c r="R155" s="467"/>
      <c r="S155" s="467"/>
      <c r="T155" s="467"/>
      <c r="U155" s="467"/>
      <c r="V155" s="467"/>
      <c r="W155" s="352"/>
      <c r="X155" s="520">
        <f>J155</f>
        <v>0</v>
      </c>
      <c r="Y155" s="521"/>
      <c r="Z155" s="521"/>
      <c r="AA155" s="521"/>
      <c r="AB155" s="467"/>
      <c r="AC155" s="430" t="e">
        <f ca="1">AC154/AD154*AD155</f>
        <v>#DIV/0!</v>
      </c>
      <c r="AD155" s="430">
        <f ca="1">Y154</f>
        <v>0</v>
      </c>
      <c r="AE155" s="430" t="e">
        <f ca="1">AE154/AD154*AD155</f>
        <v>#DIV/0!</v>
      </c>
      <c r="AF155" s="522" t="s">
        <v>776</v>
      </c>
      <c r="AG155" s="522" t="s">
        <v>487</v>
      </c>
      <c r="AH155" s="467"/>
      <c r="AI155" s="467"/>
      <c r="AJ155" s="467"/>
      <c r="AK155" s="467"/>
      <c r="AL155" s="467"/>
      <c r="AM155" s="467"/>
      <c r="AN155" s="369"/>
      <c r="AO155" s="472">
        <f ca="1"/>
        <v>0</v>
      </c>
      <c r="AP155" s="444">
        <f ca="1"/>
        <v>0</v>
      </c>
      <c r="AQ155" s="444">
        <f ca="1"/>
        <v>0</v>
      </c>
      <c r="AR155" s="444">
        <f ca="1"/>
        <v>0</v>
      </c>
      <c r="AS155" s="467">
        <f ca="1"/>
        <v>0</v>
      </c>
      <c r="AT155" s="474">
        <f ca="1"/>
        <v>0</v>
      </c>
      <c r="AU155" s="476">
        <f ca="1"/>
        <v>0</v>
      </c>
      <c r="AV155" s="477">
        <f ca="1"/>
        <v>0</v>
      </c>
      <c r="AW155" s="473">
        <f ca="1"/>
        <v>0</v>
      </c>
    </row>
    <row r="156" spans="1:49" ht="13.8">
      <c r="A156" s="624" t="s">
        <v>759</v>
      </c>
      <c r="B156" s="379" t="s">
        <v>572</v>
      </c>
      <c r="C156" s="380" t="s">
        <v>1455</v>
      </c>
      <c r="D156" s="369"/>
      <c r="E156" s="1208" t="s">
        <v>1216</v>
      </c>
      <c r="F156" s="438"/>
      <c r="G156" s="1189"/>
      <c r="H156" s="657" t="s">
        <v>1200</v>
      </c>
      <c r="I156" s="1186" t="s">
        <v>568</v>
      </c>
      <c r="J156" s="381">
        <f ca="1">IF(ISERROR(AF156),0,AF156)*LER_Reduktion4</f>
        <v>0</v>
      </c>
      <c r="K156" s="530"/>
      <c r="L156" s="493" t="s">
        <v>582</v>
      </c>
      <c r="M156" s="493">
        <f ca="1">MIN(M154:M155)</f>
        <v>0</v>
      </c>
      <c r="N156" s="369"/>
      <c r="O156" s="528"/>
      <c r="P156" s="528"/>
      <c r="Q156" s="529"/>
      <c r="R156" s="467"/>
      <c r="S156" s="467"/>
      <c r="T156" s="467"/>
      <c r="U156" s="467"/>
      <c r="V156" s="467"/>
      <c r="W156" s="341" t="s">
        <v>1454</v>
      </c>
      <c r="X156" s="12"/>
      <c r="Y156" s="12"/>
      <c r="Z156" s="12"/>
      <c r="AA156" s="12"/>
      <c r="AB156" s="386"/>
      <c r="AC156" s="532"/>
      <c r="AD156" s="532"/>
      <c r="AE156" s="533"/>
      <c r="AF156" s="534" t="e">
        <f ca="1">AG134*(1-AF152/8760)+(AH134+AF153/EBFo4*(1-Y152/100)*AC145)*AF152/8760</f>
        <v>#VALUE!</v>
      </c>
      <c r="AG156" s="408"/>
      <c r="AH156" s="386"/>
      <c r="AI156" s="386"/>
      <c r="AJ156" s="386"/>
      <c r="AK156" s="386"/>
      <c r="AL156" s="386"/>
      <c r="AM156" s="386"/>
      <c r="AN156" s="10"/>
      <c r="AO156" s="478">
        <f ca="1"/>
        <v>0</v>
      </c>
      <c r="AP156" s="414">
        <f ca="1"/>
        <v>0</v>
      </c>
      <c r="AQ156" s="414">
        <f ca="1"/>
        <v>0</v>
      </c>
      <c r="AR156" s="414">
        <f ca="1"/>
        <v>0</v>
      </c>
      <c r="AS156" s="414">
        <f ca="1"/>
        <v>0</v>
      </c>
      <c r="AT156" s="414">
        <f ca="1"/>
        <v>0</v>
      </c>
      <c r="AU156" s="414">
        <f ca="1"/>
        <v>0</v>
      </c>
      <c r="AV156" s="414">
        <f ca="1"/>
        <v>0</v>
      </c>
      <c r="AW156" s="417">
        <f ca="1"/>
        <v>0</v>
      </c>
    </row>
    <row r="157" spans="1:49" ht="15.6" thickBot="1">
      <c r="A157" s="624" t="s">
        <v>1454</v>
      </c>
      <c r="B157" s="1190"/>
      <c r="C157" s="382" t="str">
        <f>IF(minergiea,"Verifica Minergie-A",IF(minergiep,"Verifica Minergie-P","Verifica Minergie"))</f>
        <v>Verifica Minergie-A</v>
      </c>
      <c r="D157" s="1191"/>
      <c r="E157" s="1192" t="s">
        <v>573</v>
      </c>
      <c r="F157" s="1191"/>
      <c r="G157" s="1193"/>
      <c r="H157" s="1194" t="s">
        <v>1373</v>
      </c>
      <c r="I157" s="1195" t="s">
        <v>1812</v>
      </c>
      <c r="J157" s="385">
        <f ca="1">IF(ISERROR(AF157/_EBF4),0,AF157/_EBF4)</f>
        <v>0</v>
      </c>
      <c r="K157" s="530"/>
      <c r="L157" s="507" t="s">
        <v>1405</v>
      </c>
      <c r="M157" s="590">
        <v>1</v>
      </c>
      <c r="N157" s="396">
        <f ca="1">AS160</f>
        <v>0</v>
      </c>
      <c r="O157" s="528"/>
      <c r="P157" s="528"/>
      <c r="Q157" s="529"/>
      <c r="R157" s="467"/>
      <c r="S157" s="467"/>
      <c r="T157" s="467"/>
      <c r="U157" s="467"/>
      <c r="V157" s="467"/>
      <c r="W157" s="341" t="s">
        <v>569</v>
      </c>
      <c r="X157" s="12"/>
      <c r="Y157" s="12"/>
      <c r="Z157" s="12"/>
      <c r="AA157" s="12"/>
      <c r="AB157" s="386"/>
      <c r="AC157" s="536" t="e">
        <f ca="1">AC152*AC155/1000</f>
        <v>#DIV/0!</v>
      </c>
      <c r="AD157" s="536">
        <f ca="1">AD152*AD155/1000</f>
        <v>0</v>
      </c>
      <c r="AE157" s="536" t="e">
        <f ca="1">AE152*AE155/1000</f>
        <v>#DIV/0!</v>
      </c>
      <c r="AF157" s="524" t="e">
        <f ca="1">SUM(AC157:AE157)</f>
        <v>#DIV/0!</v>
      </c>
      <c r="AG157" s="12" t="s">
        <v>632</v>
      </c>
      <c r="AH157" s="386"/>
      <c r="AI157" s="386"/>
      <c r="AJ157" s="386"/>
      <c r="AK157" s="386"/>
      <c r="AL157" s="386"/>
      <c r="AM157" s="386"/>
      <c r="AN157" s="10"/>
      <c r="AO157" s="423">
        <f ca="1"/>
        <v>0</v>
      </c>
      <c r="AP157" s="425">
        <f ca="1"/>
        <v>0</v>
      </c>
      <c r="AQ157" s="425">
        <f ca="1"/>
        <v>0</v>
      </c>
      <c r="AR157" s="425">
        <f ca="1"/>
        <v>0</v>
      </c>
      <c r="AS157" s="425">
        <f ca="1"/>
        <v>0</v>
      </c>
      <c r="AT157" s="425">
        <f ca="1"/>
        <v>0</v>
      </c>
      <c r="AU157" s="425">
        <f ca="1"/>
        <v>0</v>
      </c>
      <c r="AV157" s="425">
        <f ca="1"/>
        <v>0</v>
      </c>
      <c r="AW157" s="452">
        <f ca="1"/>
        <v>0</v>
      </c>
    </row>
    <row r="158" spans="1:49">
      <c r="B158" s="926" t="str">
        <f>IF(minergiep,"",IF(P130=TRUE,$P$2,""))</f>
        <v/>
      </c>
      <c r="L158" s="390" t="s">
        <v>1407</v>
      </c>
      <c r="M158" s="390">
        <f ca="1">IF(P130,1,AS157)</f>
        <v>0</v>
      </c>
      <c r="N158" s="531">
        <f ca="1">AS161</f>
        <v>0</v>
      </c>
      <c r="AO158" s="479">
        <f ca="1"/>
        <v>0</v>
      </c>
      <c r="AP158" s="397">
        <f ca="1"/>
        <v>0</v>
      </c>
      <c r="AQ158" s="397">
        <f ca="1"/>
        <v>0</v>
      </c>
      <c r="AR158" s="397">
        <f ca="1"/>
        <v>0</v>
      </c>
      <c r="AS158" s="397">
        <f ca="1"/>
        <v>0</v>
      </c>
      <c r="AT158" s="389">
        <f ca="1"/>
        <v>0</v>
      </c>
      <c r="AU158" s="389">
        <f ca="1"/>
        <v>0</v>
      </c>
      <c r="AV158" s="389">
        <f ca="1"/>
        <v>0</v>
      </c>
      <c r="AW158" s="480">
        <f ca="1"/>
        <v>0</v>
      </c>
    </row>
    <row r="159" spans="1:49">
      <c r="L159" s="493" t="s">
        <v>582</v>
      </c>
      <c r="M159" s="493">
        <f ca="1">MIN(M157:M158)</f>
        <v>0</v>
      </c>
      <c r="N159" s="10"/>
      <c r="AO159" s="479">
        <f ca="1"/>
        <v>0</v>
      </c>
      <c r="AP159" s="397">
        <f ca="1"/>
        <v>0</v>
      </c>
      <c r="AQ159" s="397">
        <f ca="1"/>
        <v>0</v>
      </c>
      <c r="AR159" s="481">
        <f ca="1"/>
        <v>0</v>
      </c>
      <c r="AS159" s="481">
        <f ca="1"/>
        <v>0</v>
      </c>
      <c r="AT159" s="389">
        <f ca="1"/>
        <v>0</v>
      </c>
      <c r="AU159" s="397">
        <f ca="1"/>
        <v>0</v>
      </c>
      <c r="AV159" s="481">
        <f ca="1"/>
        <v>0</v>
      </c>
      <c r="AW159" s="480">
        <f ca="1"/>
        <v>0</v>
      </c>
    </row>
    <row r="160" spans="1:49">
      <c r="H160" s="386"/>
      <c r="I160" s="386"/>
      <c r="J160" s="386"/>
      <c r="W160" s="10"/>
      <c r="X160" s="10"/>
      <c r="Y160" s="10"/>
      <c r="Z160" s="10"/>
      <c r="AA160" s="10"/>
      <c r="AB160" s="10"/>
      <c r="AC160" s="10"/>
      <c r="AD160" s="10"/>
      <c r="AE160" s="10"/>
      <c r="AF160" s="10"/>
      <c r="AG160" s="10"/>
      <c r="AH160" s="10"/>
      <c r="AI160" s="10"/>
      <c r="AJ160" s="10"/>
      <c r="AK160" s="10"/>
      <c r="AL160" s="10"/>
      <c r="AM160" s="10"/>
      <c r="AN160" s="10"/>
      <c r="AO160" s="482">
        <f ca="1"/>
        <v>0</v>
      </c>
      <c r="AP160" s="483">
        <f ca="1"/>
        <v>0</v>
      </c>
      <c r="AQ160" s="484">
        <f ca="1"/>
        <v>0</v>
      </c>
      <c r="AR160" s="485">
        <f ca="1"/>
        <v>0</v>
      </c>
      <c r="AS160" s="400">
        <f ca="1"/>
        <v>0</v>
      </c>
      <c r="AT160" s="387">
        <f ca="1"/>
        <v>0</v>
      </c>
      <c r="AU160" s="484">
        <f ca="1"/>
        <v>0</v>
      </c>
      <c r="AV160" s="486">
        <f ca="1"/>
        <v>0</v>
      </c>
      <c r="AW160" s="434">
        <f ca="1"/>
        <v>0</v>
      </c>
    </row>
    <row r="161" spans="8:49">
      <c r="H161" s="386"/>
      <c r="I161" s="386"/>
      <c r="J161" s="386"/>
      <c r="W161" s="10"/>
      <c r="X161" s="10"/>
      <c r="Y161" s="10"/>
      <c r="Z161" s="10"/>
      <c r="AA161" s="10"/>
      <c r="AB161" s="10"/>
      <c r="AC161" s="10"/>
      <c r="AD161" s="10"/>
      <c r="AE161" s="10"/>
      <c r="AF161" s="10"/>
      <c r="AG161" s="10"/>
      <c r="AH161" s="10"/>
      <c r="AI161" s="10"/>
      <c r="AJ161" s="10"/>
      <c r="AK161" s="10"/>
      <c r="AL161" s="10"/>
      <c r="AM161" s="10"/>
      <c r="AN161" s="10"/>
      <c r="AO161" s="487">
        <f ca="1"/>
        <v>0</v>
      </c>
      <c r="AP161" s="488">
        <f ca="1"/>
        <v>0</v>
      </c>
      <c r="AQ161" s="489">
        <f ca="1"/>
        <v>0</v>
      </c>
      <c r="AR161" s="490">
        <f ca="1"/>
        <v>0</v>
      </c>
      <c r="AS161" s="601">
        <f ca="1"/>
        <v>0</v>
      </c>
      <c r="AT161" s="390">
        <f ca="1"/>
        <v>0</v>
      </c>
      <c r="AU161" s="489">
        <f ca="1"/>
        <v>0</v>
      </c>
      <c r="AV161" s="492">
        <f ca="1"/>
        <v>0</v>
      </c>
      <c r="AW161" s="434">
        <f ca="1"/>
        <v>0</v>
      </c>
    </row>
    <row r="162" spans="8:49">
      <c r="H162" s="386"/>
      <c r="I162" s="386"/>
      <c r="J162" s="386"/>
      <c r="W162" s="10"/>
      <c r="X162" s="10"/>
      <c r="Y162" s="10"/>
      <c r="Z162" s="10"/>
      <c r="AA162" s="10"/>
      <c r="AB162" s="10"/>
      <c r="AC162" s="10"/>
      <c r="AD162" s="10"/>
      <c r="AE162" s="10"/>
      <c r="AF162" s="10"/>
      <c r="AG162" s="10"/>
      <c r="AH162" s="10"/>
      <c r="AI162" s="10"/>
      <c r="AJ162" s="10"/>
      <c r="AK162" s="10"/>
      <c r="AL162" s="10"/>
      <c r="AM162" s="10"/>
      <c r="AN162" s="10"/>
      <c r="AO162" s="487">
        <f ca="1"/>
        <v>0</v>
      </c>
      <c r="AP162" s="386">
        <f ca="1"/>
        <v>0</v>
      </c>
      <c r="AQ162" s="493">
        <f ca="1"/>
        <v>0</v>
      </c>
      <c r="AR162" s="397">
        <f ca="1"/>
        <v>0</v>
      </c>
      <c r="AS162" s="386">
        <f ca="1"/>
        <v>0</v>
      </c>
      <c r="AT162" s="493">
        <f ca="1"/>
        <v>0</v>
      </c>
      <c r="AU162" s="493">
        <f ca="1"/>
        <v>0</v>
      </c>
      <c r="AV162" s="494">
        <f ca="1"/>
        <v>0</v>
      </c>
      <c r="AW162" s="434">
        <f ca="1"/>
        <v>0</v>
      </c>
    </row>
    <row r="163" spans="8:49">
      <c r="H163" s="386"/>
      <c r="I163" s="386"/>
      <c r="J163" s="386"/>
      <c r="W163" s="10"/>
      <c r="X163" s="10"/>
      <c r="Y163" s="10"/>
      <c r="Z163" s="10"/>
      <c r="AA163" s="10"/>
      <c r="AB163" s="10"/>
      <c r="AC163" s="10"/>
      <c r="AD163" s="10"/>
      <c r="AE163" s="10"/>
      <c r="AF163" s="10"/>
      <c r="AG163" s="10"/>
      <c r="AH163" s="10"/>
      <c r="AI163" s="10"/>
      <c r="AJ163" s="10"/>
      <c r="AK163" s="10"/>
      <c r="AL163" s="10"/>
      <c r="AM163" s="10"/>
      <c r="AN163" s="10"/>
      <c r="AO163" s="487">
        <f ca="1"/>
        <v>0</v>
      </c>
      <c r="AP163" s="386">
        <f ca="1"/>
        <v>0</v>
      </c>
      <c r="AQ163" s="386">
        <f ca="1"/>
        <v>0</v>
      </c>
      <c r="AR163" s="387">
        <f ca="1"/>
        <v>0</v>
      </c>
      <c r="AS163" s="386">
        <f ca="1"/>
        <v>0</v>
      </c>
      <c r="AT163" s="386">
        <f ca="1"/>
        <v>0</v>
      </c>
      <c r="AU163" s="397">
        <f ca="1"/>
        <v>0</v>
      </c>
      <c r="AV163" s="386">
        <f ca="1"/>
        <v>0</v>
      </c>
      <c r="AW163" s="434">
        <f ca="1"/>
        <v>0</v>
      </c>
    </row>
    <row r="164" spans="8:49">
      <c r="H164" s="386"/>
      <c r="I164" s="386"/>
      <c r="J164" s="386"/>
      <c r="W164" s="10"/>
      <c r="X164" s="10"/>
      <c r="Y164" s="10"/>
      <c r="Z164" s="10"/>
      <c r="AA164" s="10"/>
      <c r="AB164" s="10"/>
      <c r="AC164" s="10"/>
      <c r="AD164" s="10"/>
      <c r="AE164" s="10"/>
      <c r="AF164" s="10"/>
      <c r="AG164" s="10"/>
      <c r="AH164" s="10"/>
      <c r="AI164" s="10"/>
      <c r="AJ164" s="10"/>
      <c r="AK164" s="10"/>
      <c r="AL164" s="10"/>
      <c r="AM164" s="10"/>
      <c r="AN164" s="10"/>
      <c r="AO164" s="487">
        <f ca="1"/>
        <v>0</v>
      </c>
      <c r="AP164" s="386">
        <f ca="1"/>
        <v>0</v>
      </c>
      <c r="AQ164" s="386">
        <f ca="1"/>
        <v>0</v>
      </c>
      <c r="AR164" s="493">
        <f ca="1"/>
        <v>0</v>
      </c>
      <c r="AS164" s="386">
        <f ca="1"/>
        <v>0</v>
      </c>
      <c r="AT164" s="386">
        <f ca="1"/>
        <v>0</v>
      </c>
      <c r="AU164" s="387">
        <f ca="1"/>
        <v>0</v>
      </c>
      <c r="AV164" s="386">
        <f ca="1"/>
        <v>0</v>
      </c>
      <c r="AW164" s="434">
        <f ca="1"/>
        <v>0</v>
      </c>
    </row>
    <row r="165" spans="8:49">
      <c r="W165" s="10"/>
      <c r="X165" s="10"/>
      <c r="Y165" s="10"/>
      <c r="Z165" s="10"/>
      <c r="AA165" s="10"/>
      <c r="AB165" s="10"/>
      <c r="AC165" s="10"/>
      <c r="AD165" s="10"/>
      <c r="AE165" s="10"/>
      <c r="AF165" s="10"/>
      <c r="AG165" s="10"/>
      <c r="AH165" s="10"/>
      <c r="AI165" s="10"/>
      <c r="AJ165" s="10"/>
      <c r="AK165" s="10"/>
      <c r="AL165" s="10"/>
      <c r="AM165" s="10"/>
      <c r="AN165" s="10"/>
      <c r="AO165" s="487">
        <f ca="1"/>
        <v>0</v>
      </c>
      <c r="AP165" s="386">
        <f ca="1"/>
        <v>0</v>
      </c>
      <c r="AQ165" s="386">
        <f ca="1"/>
        <v>0</v>
      </c>
      <c r="AR165" s="386">
        <f ca="1"/>
        <v>0</v>
      </c>
      <c r="AS165" s="386">
        <f ca="1"/>
        <v>0</v>
      </c>
      <c r="AT165" s="386">
        <f ca="1"/>
        <v>0</v>
      </c>
      <c r="AU165" s="390">
        <f ca="1"/>
        <v>0</v>
      </c>
      <c r="AV165" s="386">
        <f ca="1"/>
        <v>0</v>
      </c>
      <c r="AW165" s="434">
        <f ca="1"/>
        <v>0</v>
      </c>
    </row>
    <row r="166" spans="8:49" ht="13.8" thickBot="1">
      <c r="W166" s="10"/>
      <c r="X166" s="10"/>
      <c r="Y166" s="10"/>
      <c r="Z166" s="10"/>
      <c r="AA166" s="10"/>
      <c r="AB166" s="10"/>
      <c r="AC166" s="10"/>
      <c r="AD166" s="10"/>
      <c r="AE166" s="10"/>
      <c r="AF166" s="10"/>
      <c r="AG166" s="10"/>
      <c r="AH166" s="10"/>
      <c r="AI166" s="10"/>
      <c r="AJ166" s="10"/>
      <c r="AK166" s="10"/>
      <c r="AL166" s="10"/>
      <c r="AM166" s="10"/>
      <c r="AN166" s="10"/>
      <c r="AO166" s="495">
        <f ca="1"/>
        <v>0</v>
      </c>
      <c r="AP166" s="496">
        <f ca="1"/>
        <v>0</v>
      </c>
      <c r="AQ166" s="496">
        <f ca="1"/>
        <v>0</v>
      </c>
      <c r="AR166" s="496">
        <f ca="1"/>
        <v>0</v>
      </c>
      <c r="AS166" s="496">
        <f ca="1"/>
        <v>0</v>
      </c>
      <c r="AT166" s="496">
        <f ca="1"/>
        <v>0</v>
      </c>
      <c r="AU166" s="493">
        <f ca="1"/>
        <v>0</v>
      </c>
      <c r="AV166" s="496">
        <f ca="1"/>
        <v>0</v>
      </c>
      <c r="AW166" s="437">
        <f ca="1"/>
        <v>0</v>
      </c>
    </row>
  </sheetData>
  <sheetProtection algorithmName="SHA-512" hashValue="jlbPnYg/+4qt3guIXWR/qCBWKJJK2gDB5mO06Ji87UEen+atRFN2NhtrzLgbfLFkk2aDCdoWmRROIZvMJoSn9Q==" saltValue="Gw1tEYg8JMQIjEpYv1+mmA==" spinCount="100000" sheet="1" objects="1" scenarios="1"/>
  <mergeCells count="52">
    <mergeCell ref="Y127:Y131"/>
    <mergeCell ref="C110:D110"/>
    <mergeCell ref="H108:J108"/>
    <mergeCell ref="H109:J109"/>
    <mergeCell ref="H110:J110"/>
    <mergeCell ref="X127:X131"/>
    <mergeCell ref="H68:J68"/>
    <mergeCell ref="H69:J69"/>
    <mergeCell ref="B87:J87"/>
    <mergeCell ref="X45:X49"/>
    <mergeCell ref="H26:J26"/>
    <mergeCell ref="H27:J27"/>
    <mergeCell ref="C151:D151"/>
    <mergeCell ref="B7:J7"/>
    <mergeCell ref="H17:J17"/>
    <mergeCell ref="H25:J25"/>
    <mergeCell ref="Y86:Y90"/>
    <mergeCell ref="H151:J151"/>
    <mergeCell ref="H140:J140"/>
    <mergeCell ref="H145:J145"/>
    <mergeCell ref="H148:J148"/>
    <mergeCell ref="H149:J149"/>
    <mergeCell ref="H150:J150"/>
    <mergeCell ref="X4:X8"/>
    <mergeCell ref="Y4:Y8"/>
    <mergeCell ref="H28:J28"/>
    <mergeCell ref="C28:D28"/>
    <mergeCell ref="B89:J89"/>
    <mergeCell ref="Z127:Z131"/>
    <mergeCell ref="B128:J128"/>
    <mergeCell ref="B129:J129"/>
    <mergeCell ref="B130:J130"/>
    <mergeCell ref="Z45:Z49"/>
    <mergeCell ref="H99:J99"/>
    <mergeCell ref="H63:J63"/>
    <mergeCell ref="B88:J88"/>
    <mergeCell ref="H66:J66"/>
    <mergeCell ref="C69:D69"/>
    <mergeCell ref="H58:J58"/>
    <mergeCell ref="H104:J104"/>
    <mergeCell ref="H107:J107"/>
    <mergeCell ref="H67:J67"/>
    <mergeCell ref="X86:X90"/>
    <mergeCell ref="Z86:Z90"/>
    <mergeCell ref="Z4:Z8"/>
    <mergeCell ref="H22:J22"/>
    <mergeCell ref="Y45:Y49"/>
    <mergeCell ref="B46:J46"/>
    <mergeCell ref="B47:J47"/>
    <mergeCell ref="B48:J48"/>
    <mergeCell ref="B5:J5"/>
    <mergeCell ref="B6:J6"/>
  </mergeCells>
  <phoneticPr fontId="5" type="noConversion"/>
  <conditionalFormatting sqref="E30 E71 E112 E153">
    <cfRule type="expression" dxfId="61" priority="1" stopIfTrue="1">
      <formula>minergiep=TRUE</formula>
    </cfRule>
  </conditionalFormatting>
  <conditionalFormatting sqref="E24 E65 E106 E147">
    <cfRule type="expression" dxfId="60" priority="2" stopIfTrue="1">
      <formula>M24&gt;1</formula>
    </cfRule>
  </conditionalFormatting>
  <dataValidations xWindow="593" yWindow="642" count="9">
    <dataValidation allowBlank="1" showInputMessage="1" showErrorMessage="1" prompt="Apporto termico scambiatore geotermico:_x000a_È possibile ottenere un apporto termico con lo scambiatore geotermico?" sqref="H145:J145 H63:J63 H104:J104 H22:J22"/>
    <dataValidation type="list" showInputMessage="1" showErrorMessage="1" promptTitle="Azionamento del ventilatione:" prompt="Indicare il tipo di azionamento del ventilatore." sqref="H150:J150 H68:J68">
      <formula1>$N$31:$N$32</formula1>
    </dataValidation>
    <dataValidation type="list" showInputMessage="1" showErrorMessage="1" promptTitle="Sistema di gestione:" prompt="Indicare se la ventilatione deve essere utilizzata a uno o più livelli." sqref="H151:J151 H110:J110 H28:J28">
      <formula1>$N$34:$N$35</formula1>
    </dataValidation>
    <dataValidation type="list" showInputMessage="1" showErrorMessage="1" promptTitle="Azionamento del ventilatore:" prompt="Indicare il tipo di azionamento del ventilatore." sqref="H27:J27 H109:J109">
      <formula1>$N$31:$N$32</formula1>
    </dataValidation>
    <dataValidation type="list" showInputMessage="1" showErrorMessage="1" promptTitle="Sistema di gestione:" prompt="Indicare se la ventilatione deve essere utilizzata un uno o più livelli." sqref="H69:J69">
      <formula1>$N$34:$N$35</formula1>
    </dataValidation>
    <dataValidation type="list" allowBlank="1" showInputMessage="1" showErrorMessage="1" sqref="E30">
      <formula1>$L$14:$L$15</formula1>
    </dataValidation>
    <dataValidation type="list" allowBlank="1" showInputMessage="1" showErrorMessage="1" sqref="E71">
      <formula1>$L$55:$L$56</formula1>
    </dataValidation>
    <dataValidation type="list" allowBlank="1" showInputMessage="1" showErrorMessage="1" sqref="E112">
      <formula1>$L$96:$L$97</formula1>
    </dataValidation>
    <dataValidation type="list" allowBlank="1" showInputMessage="1" showErrorMessage="1" sqref="E153">
      <formula1>$L$137:$L$138</formula1>
    </dataValidation>
  </dataValidations>
  <pageMargins left="0.78740157480314965" right="0.78740157480314965" top="0.39370078740157483" bottom="0.6692913385826772" header="0.31496062992125984" footer="0.51181102362204722"/>
  <pageSetup paperSize="9" scale="93" orientation="portrait" r:id="rId1"/>
  <headerFooter alignWithMargins="0">
    <oddFooter>&amp;L&amp;8&amp;F / &amp;A / &amp;D, &amp;T&amp;R&amp;8MINERGIE-Nachweis</oddFooter>
  </headerFooter>
  <rowBreaks count="3" manualBreakCount="3">
    <brk id="43" max="9" man="1"/>
    <brk id="84" max="9" man="1"/>
    <brk id="12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9299" r:id="rId4" name="Drop Down 867">
              <controlPr defaultSize="0" print="0" autoLine="0" autoPict="0">
                <anchor moveWithCells="1" sizeWithCells="1">
                  <from>
                    <xdr:col>7</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19300" r:id="rId5" name="Drop Down 868">
              <controlPr defaultSize="0" print="0" autoLine="0" autoPict="0">
                <anchor moveWithCells="1" sizeWithCells="1">
                  <from>
                    <xdr:col>7</xdr:col>
                    <xdr:colOff>0</xdr:colOff>
                    <xdr:row>15</xdr:row>
                    <xdr:rowOff>106680</xdr:rowOff>
                  </from>
                  <to>
                    <xdr:col>10</xdr:col>
                    <xdr:colOff>0</xdr:colOff>
                    <xdr:row>17</xdr:row>
                    <xdr:rowOff>0</xdr:rowOff>
                  </to>
                </anchor>
              </controlPr>
            </control>
          </mc:Choice>
        </mc:AlternateContent>
        <mc:AlternateContent xmlns:mc="http://schemas.openxmlformats.org/markup-compatibility/2006">
          <mc:Choice Requires="x14">
            <control shapeId="19301" r:id="rId6" name="Drop Down 869">
              <controlPr defaultSize="0" print="0" autoLine="0" autoPict="0">
                <anchor moveWithCells="1" sizeWithCells="1">
                  <from>
                    <xdr:col>7</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9302" r:id="rId7" name="Drop Down 870">
              <controlPr defaultSize="0" print="0" autoLine="0" autoPict="0">
                <anchor moveWithCells="1" sizeWithCells="1">
                  <from>
                    <xdr:col>7</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9303" r:id="rId8" name="Drop Down 871">
              <controlPr defaultSize="0" print="0" autoLine="0" autoPict="0">
                <anchor moveWithCells="1" sizeWithCells="1">
                  <from>
                    <xdr:col>7</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9304" r:id="rId9" name="Drop Down 872">
              <controlPr defaultSize="0" print="0" autoLine="0" autoPict="0">
                <anchor moveWithCells="1" sizeWithCells="1">
                  <from>
                    <xdr:col>7</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9305" r:id="rId10" name="Drop Down 873">
              <controlPr defaultSize="0" print="0" autoLine="0" autoPict="0">
                <anchor moveWithCells="1" sizeWithCells="1">
                  <from>
                    <xdr:col>7</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9306" r:id="rId11" name="Drop Down 874">
              <controlPr defaultSize="0" print="0" autoLine="0" autoPict="0">
                <anchor moveWithCells="1" sizeWithCells="1">
                  <from>
                    <xdr:col>7</xdr:col>
                    <xdr:colOff>0</xdr:colOff>
                    <xdr:row>56</xdr:row>
                    <xdr:rowOff>106680</xdr:rowOff>
                  </from>
                  <to>
                    <xdr:col>10</xdr:col>
                    <xdr:colOff>0</xdr:colOff>
                    <xdr:row>58</xdr:row>
                    <xdr:rowOff>0</xdr:rowOff>
                  </to>
                </anchor>
              </controlPr>
            </control>
          </mc:Choice>
        </mc:AlternateContent>
        <mc:AlternateContent xmlns:mc="http://schemas.openxmlformats.org/markup-compatibility/2006">
          <mc:Choice Requires="x14">
            <control shapeId="19307" r:id="rId12" name="Drop Down 875">
              <controlPr defaultSize="0" print="0" autoLine="0" autoPict="0">
                <anchor moveWithCells="1" sizeWithCells="1">
                  <from>
                    <xdr:col>7</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9308" r:id="rId13" name="Drop Down 876">
              <controlPr defaultSize="0" print="0" autoLine="0" autoPict="0">
                <anchor moveWithCells="1" sizeWithCells="1">
                  <from>
                    <xdr:col>7</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9309" r:id="rId14" name="Drop Down 877">
              <controlPr defaultSize="0" print="0" autoLine="0" autoPict="0">
                <anchor moveWithCells="1" sizeWithCells="1">
                  <from>
                    <xdr:col>7</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9310" r:id="rId15" name="Drop Down 878">
              <controlPr defaultSize="0" print="0" autoLine="0" autoPict="0">
                <anchor moveWithCells="1" sizeWithCells="1">
                  <from>
                    <xdr:col>7</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9311" r:id="rId16" name="Drop Down 879">
              <controlPr defaultSize="0" print="0" autoLine="0" autoPict="0">
                <anchor moveWithCells="1" sizeWithCells="1">
                  <from>
                    <xdr:col>7</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9312" r:id="rId17" name="Drop Down 880">
              <controlPr defaultSize="0" print="0" autoLine="0" autoPict="0">
                <anchor moveWithCells="1" sizeWithCells="1">
                  <from>
                    <xdr:col>7</xdr:col>
                    <xdr:colOff>0</xdr:colOff>
                    <xdr:row>97</xdr:row>
                    <xdr:rowOff>106680</xdr:rowOff>
                  </from>
                  <to>
                    <xdr:col>10</xdr:col>
                    <xdr:colOff>0</xdr:colOff>
                    <xdr:row>99</xdr:row>
                    <xdr:rowOff>0</xdr:rowOff>
                  </to>
                </anchor>
              </controlPr>
            </control>
          </mc:Choice>
        </mc:AlternateContent>
        <mc:AlternateContent xmlns:mc="http://schemas.openxmlformats.org/markup-compatibility/2006">
          <mc:Choice Requires="x14">
            <control shapeId="19313" r:id="rId18" name="Drop Down 881">
              <controlPr defaultSize="0" print="0" autoLine="0" autoPict="0">
                <anchor moveWithCells="1" sizeWithCells="1">
                  <from>
                    <xdr:col>7</xdr:col>
                    <xdr:colOff>0</xdr:colOff>
                    <xdr:row>103</xdr:row>
                    <xdr:rowOff>0</xdr:rowOff>
                  </from>
                  <to>
                    <xdr:col>10</xdr:col>
                    <xdr:colOff>0</xdr:colOff>
                    <xdr:row>104</xdr:row>
                    <xdr:rowOff>30480</xdr:rowOff>
                  </to>
                </anchor>
              </controlPr>
            </control>
          </mc:Choice>
        </mc:AlternateContent>
        <mc:AlternateContent xmlns:mc="http://schemas.openxmlformats.org/markup-compatibility/2006">
          <mc:Choice Requires="x14">
            <control shapeId="19314" r:id="rId19" name="Drop Down 882">
              <controlPr defaultSize="0" print="0" autoLine="0" autoPict="0">
                <anchor moveWithCells="1" sizeWithCells="1">
                  <from>
                    <xdr:col>7</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9315" r:id="rId20" name="Drop Down 883">
              <controlPr defaultSize="0" print="0" autoLine="0" autoPict="0">
                <anchor moveWithCells="1" sizeWithCells="1">
                  <from>
                    <xdr:col>7</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9316" r:id="rId21" name="Drop Down 884">
              <controlPr defaultSize="0" print="0" autoLine="0" autoPict="0">
                <anchor moveWithCells="1" sizeWithCells="1">
                  <from>
                    <xdr:col>7</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9317" r:id="rId22" name="Drop Down 885">
              <controlPr defaultSize="0" print="0" autoLine="0" autoPict="0">
                <anchor moveWithCells="1" sizeWithCells="1">
                  <from>
                    <xdr:col>7</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9318" r:id="rId23" name="Drop Down 886">
              <controlPr defaultSize="0" print="0" autoLine="0" autoPict="0">
                <anchor moveWithCells="1" sizeWithCells="1">
                  <from>
                    <xdr:col>7</xdr:col>
                    <xdr:colOff>0</xdr:colOff>
                    <xdr:row>138</xdr:row>
                    <xdr:rowOff>106680</xdr:rowOff>
                  </from>
                  <to>
                    <xdr:col>10</xdr:col>
                    <xdr:colOff>0</xdr:colOff>
                    <xdr:row>140</xdr:row>
                    <xdr:rowOff>0</xdr:rowOff>
                  </to>
                </anchor>
              </controlPr>
            </control>
          </mc:Choice>
        </mc:AlternateContent>
        <mc:AlternateContent xmlns:mc="http://schemas.openxmlformats.org/markup-compatibility/2006">
          <mc:Choice Requires="x14">
            <control shapeId="19319" r:id="rId24" name="Drop Down 887">
              <controlPr defaultSize="0" print="0" autoLine="0" autoPict="0">
                <anchor moveWithCells="1" sizeWithCells="1">
                  <from>
                    <xdr:col>7</xdr:col>
                    <xdr:colOff>0</xdr:colOff>
                    <xdr:row>144</xdr:row>
                    <xdr:rowOff>0</xdr:rowOff>
                  </from>
                  <to>
                    <xdr:col>10</xdr:col>
                    <xdr:colOff>0</xdr:colOff>
                    <xdr:row>145</xdr:row>
                    <xdr:rowOff>30480</xdr:rowOff>
                  </to>
                </anchor>
              </controlPr>
            </control>
          </mc:Choice>
        </mc:AlternateContent>
        <mc:AlternateContent xmlns:mc="http://schemas.openxmlformats.org/markup-compatibility/2006">
          <mc:Choice Requires="x14">
            <control shapeId="19320" r:id="rId25" name="Drop Down 888">
              <controlPr defaultSize="0" print="0" autoLine="0" autoPict="0">
                <anchor moveWithCells="1" sizeWithCells="1">
                  <from>
                    <xdr:col>7</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9321" r:id="rId26" name="Drop Down 889">
              <controlPr defaultSize="0" print="0" autoLine="0" autoPict="0">
                <anchor moveWithCells="1" sizeWithCells="1">
                  <from>
                    <xdr:col>7</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9322" r:id="rId27" name="Drop Down 890">
              <controlPr defaultSize="0" print="0" autoLine="0" autoPict="0">
                <anchor moveWithCells="1" sizeWithCells="1">
                  <from>
                    <xdr:col>7</xdr:col>
                    <xdr:colOff>0</xdr:colOff>
                    <xdr:row>150</xdr:row>
                    <xdr:rowOff>0</xdr:rowOff>
                  </from>
                  <to>
                    <xdr:col>10</xdr:col>
                    <xdr:colOff>0</xdr:colOff>
                    <xdr:row>151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AD1063"/>
  <sheetViews>
    <sheetView showZeros="0" topLeftCell="A2" zoomScaleNormal="100" workbookViewId="0">
      <selection activeCell="P29" sqref="P29"/>
    </sheetView>
  </sheetViews>
  <sheetFormatPr baseColWidth="10" defaultRowHeight="13.2"/>
  <cols>
    <col min="1" max="1" width="2" style="1395" customWidth="1"/>
    <col min="2" max="2" width="2.6640625" style="1401" customWidth="1"/>
    <col min="3" max="3" width="31.44140625" style="4" customWidth="1"/>
    <col min="4" max="4" width="7.33203125" style="4" customWidth="1"/>
    <col min="5" max="5" width="5.33203125" style="4" customWidth="1"/>
    <col min="6" max="6" width="14.33203125" style="4" customWidth="1"/>
    <col min="7" max="7" width="6.44140625" customWidth="1"/>
    <col min="8" max="8" width="1" style="4" hidden="1" customWidth="1"/>
    <col min="9" max="9" width="6.44140625" style="4" customWidth="1"/>
    <col min="10" max="10" width="1.109375" customWidth="1"/>
    <col min="11" max="12" width="11.44140625" customWidth="1"/>
    <col min="13" max="13" width="11.44140625" style="59" customWidth="1"/>
    <col min="14" max="15" width="11.44140625" style="290" hidden="1" customWidth="1"/>
    <col min="16" max="16" width="11.44140625" style="290" customWidth="1"/>
    <col min="17" max="30" width="11.44140625" style="59" customWidth="1"/>
  </cols>
  <sheetData>
    <row r="1" spans="1:16" hidden="1">
      <c r="B1" s="1396"/>
      <c r="C1" s="57"/>
      <c r="D1" s="57"/>
      <c r="E1" s="57"/>
      <c r="F1" s="57"/>
      <c r="G1" s="59"/>
      <c r="H1" s="59"/>
      <c r="I1" s="57"/>
      <c r="J1" s="59"/>
      <c r="K1" s="128"/>
      <c r="L1" s="298"/>
      <c r="N1" s="59"/>
      <c r="O1" s="59"/>
      <c r="P1" s="59"/>
    </row>
    <row r="2" spans="1:16" ht="13.8">
      <c r="B2" s="1396"/>
      <c r="C2" s="32" t="s">
        <v>629</v>
      </c>
      <c r="D2" s="57"/>
      <c r="E2" s="57"/>
      <c r="F2" s="57"/>
      <c r="G2" s="59"/>
      <c r="H2" s="59"/>
      <c r="I2" s="57"/>
      <c r="J2" s="129"/>
      <c r="K2" s="59"/>
      <c r="L2" s="1347" t="str">
        <f>Dati!J2</f>
        <v>MINERGIE, versione 2016, da utilizzare fino al 31.12.2016 al più tardi</v>
      </c>
      <c r="N2" s="59"/>
      <c r="O2" s="59"/>
      <c r="P2" s="59"/>
    </row>
    <row r="3" spans="1:16">
      <c r="B3" s="1396"/>
      <c r="C3" s="1769">
        <f>IF(Projekt1="","",Projekt1)</f>
        <v>0</v>
      </c>
      <c r="D3" s="1770"/>
      <c r="E3" s="1770"/>
      <c r="F3" s="1770"/>
      <c r="G3" s="1770"/>
      <c r="H3" s="1770"/>
      <c r="I3" s="1770"/>
      <c r="J3" s="1770"/>
      <c r="K3" s="1770"/>
      <c r="L3" s="1771"/>
      <c r="N3" s="59"/>
      <c r="O3" s="59"/>
      <c r="P3" s="59"/>
    </row>
    <row r="4" spans="1:16">
      <c r="B4" s="1396"/>
      <c r="C4" s="1772">
        <f>IF(Projekt2="","",Projekt2)</f>
        <v>0</v>
      </c>
      <c r="D4" s="1773"/>
      <c r="E4" s="1773"/>
      <c r="F4" s="1773"/>
      <c r="G4" s="1773"/>
      <c r="H4" s="1773"/>
      <c r="I4" s="1773"/>
      <c r="J4" s="1773"/>
      <c r="K4" s="1773"/>
      <c r="L4" s="1774"/>
      <c r="N4" s="59"/>
      <c r="O4" s="59"/>
      <c r="P4" s="59"/>
    </row>
    <row r="5" spans="1:16">
      <c r="B5" s="1396"/>
      <c r="C5" s="1775">
        <f>IF(Projekt3="","",Projekt3)</f>
        <v>0</v>
      </c>
      <c r="D5" s="1776"/>
      <c r="E5" s="1776"/>
      <c r="F5" s="1776"/>
      <c r="G5" s="1776"/>
      <c r="H5" s="1776"/>
      <c r="I5" s="1776"/>
      <c r="J5" s="1776"/>
      <c r="K5" s="1776"/>
      <c r="L5" s="1777"/>
      <c r="N5" s="59"/>
      <c r="O5" s="59"/>
      <c r="P5" s="59"/>
    </row>
    <row r="6" spans="1:16" ht="25.95" customHeight="1">
      <c r="B6" s="1399" t="b">
        <f>IF(OR(AND(_typ1&gt;36,_typ1&lt;43),AND(_typ2&gt;36,_typ2&lt;43),AND(_typ3&gt;36,_typ3&lt;43),AND(_typ4&gt;36,_typ4&lt;43)),TRUE,FALSE)</f>
        <v>0</v>
      </c>
      <c r="C6" s="1874">
        <f>IF(AND(LueftungsWP,OR(Lüftung1=2,Lüftung1=4,Lüftung1=6,Lüftung1=7),Zonen=1),"Stimmt nicht mit Lüftungsanlage (E16) überein",IF(AbluftWP,IF(OR(_typ1=39,_typ2=39,_typ3=39,_typ4=39),"","Scegliere 'Apparecchio d'aerazione con pompa di calore sull'aspirazione'"),IF(AND(Waermepumpe,WRG0=FALSE),IF(OR(_typ1=38,_typ2=38,_typ3=38,_typ4=38,_typ1=41,_typ2=41,_typ3=41,_typ4=41,_typ1=42,_typ2=42,_typ3=42,_typ4=42),"","scegliere 'Aerazione con PdC aspirazione / immissione senza RC' o 'PdC compatta con immissione e aspirazione / AC senza RC'"),IF(AND(Waermepumpe,WRG0),IF(OR(_typ1=37,_typ2=37,_typ3=37,_typ4=37,_typ4=38,_typ1=40,_typ2=40,_typ3=40,_typ4=40),"","scegliere 'Aerazione con PdC aspirazione / immissione più RC' o 'PdC compatta con immissione e aspirazione / AC più RC'"),))))</f>
        <v>0</v>
      </c>
      <c r="D6" s="1874"/>
      <c r="E6" s="1874"/>
      <c r="F6" s="1874"/>
      <c r="G6" s="1874"/>
      <c r="H6" s="43"/>
      <c r="I6" s="129"/>
      <c r="J6" s="59"/>
      <c r="K6" s="43"/>
      <c r="L6" s="1656">
        <f>IF(OR(_typ1=14,_typ2=14,_typ3=14,_typ4=14),"",IF(OR(AND(_typ1&gt;38,_typ1&lt;41),_typ1=42,AND(_typ2&gt;38,_typ2&lt;41),_typ2=42,AND(_typ3&gt;38,_typ3&lt;41),_typ3=42,AND(_typ4&gt;38,_typ4&lt;41),_typ4=42),"Scegliere scalda acqua elettrico complementare",))</f>
        <v>0</v>
      </c>
      <c r="N6" s="59"/>
      <c r="O6" s="59"/>
      <c r="P6" s="59"/>
    </row>
    <row r="7" spans="1:16" ht="16.2" customHeight="1">
      <c r="A7" s="1397" t="s">
        <v>110</v>
      </c>
      <c r="B7" s="1398">
        <v>1</v>
      </c>
      <c r="C7" s="21" t="s">
        <v>1619</v>
      </c>
      <c r="D7" s="22"/>
      <c r="E7" s="3"/>
      <c r="F7" s="6"/>
      <c r="G7" s="15"/>
      <c r="H7" s="3"/>
      <c r="I7" s="5"/>
      <c r="J7" s="59"/>
      <c r="K7" s="269" t="s">
        <v>1620</v>
      </c>
      <c r="L7" s="270"/>
      <c r="N7" s="164" t="s">
        <v>566</v>
      </c>
      <c r="O7" s="290">
        <f>_typ1</f>
        <v>1</v>
      </c>
      <c r="P7" s="59"/>
    </row>
    <row r="8" spans="1:16">
      <c r="A8" s="1397" t="s">
        <v>110</v>
      </c>
      <c r="B8" s="1396">
        <v>2</v>
      </c>
      <c r="C8" s="1348" t="str">
        <f>IF(INDEX(Rechnung!$B$10:$K$650,$B7+(_typ1-1)*14,Rechnung!B$8)=0,"",INDEX(Rechnung!$B$10:$K$650,$B7+(_typ1-1)*14,Rechnung!B$8))</f>
        <v/>
      </c>
      <c r="D8" s="1349" t="str">
        <f>IF(INDEX(Rechnung!$B$10:$K$650,$B7+(_typ1-1)*14,Rechnung!C$8)=0,"",INDEX(Rechnung!$B$10:$K$650,$B7+(_typ1-1)*14,Rechnung!C$8))</f>
        <v/>
      </c>
      <c r="E8" s="179" t="str">
        <f>IF(INDEX(Rechnung!$B$10:$K$650,$B7+(_typ1-1)*14,Rechnung!D$8)=0,"",INDEX(Rechnung!$B$10:$K$650,$B7+(_typ1-1)*14,Rechnung!D$8))</f>
        <v/>
      </c>
      <c r="F8" s="1868"/>
      <c r="G8" s="1869"/>
      <c r="H8" s="191"/>
      <c r="I8" s="192"/>
      <c r="J8" s="59"/>
      <c r="K8" s="1350" t="s">
        <v>858</v>
      </c>
      <c r="L8" s="1350" t="s">
        <v>264</v>
      </c>
      <c r="O8" s="59"/>
      <c r="P8" s="59"/>
    </row>
    <row r="9" spans="1:16">
      <c r="A9" s="1397" t="s">
        <v>110</v>
      </c>
      <c r="B9" s="1396">
        <v>3</v>
      </c>
      <c r="C9" s="1351" t="str">
        <f>IF(INDEX(Rechnung!$B$10:$K$650,$B8+(_typ1-1)*14,Rechnung!B$8)=0,"",INDEX(Rechnung!$B$10:$K$650,$B8+(_typ1-1)*14,Rechnung!B$8))</f>
        <v/>
      </c>
      <c r="D9" s="1353" t="str">
        <f>IF(INDEX(Rechnung!$B$10:$K$650,$B8+(_typ1-1)*14,Rechnung!C$8)=0,"",INDEX(Rechnung!$B$10:$K$650,$B8+(_typ1-1)*14,Rechnung!C$8))</f>
        <v/>
      </c>
      <c r="E9" s="168" t="str">
        <f>IF(INDEX(Rechnung!$B$10:$K$650,$B8+(_typ1-1)*14,Rechnung!D$8)=0,"",INDEX(Rechnung!$B$10:$K$650,$B8+(_typ1-1)*14,Rechnung!D$8))</f>
        <v/>
      </c>
      <c r="F9" s="1352" t="str">
        <f>IF(INDEX(Rechnung!$B$10:$K$650,$B8+(_typ1-1)*14,Rechnung!E$8)=0,"",INDEX(Rechnung!$B$10:$K$650,$B8+(_typ1-1)*14,Rechnung!E$8))</f>
        <v/>
      </c>
      <c r="G9" s="826" t="str">
        <f>IF(INDEX(Rechnung!$B$10:$AM$650,$B8+(_typ1-1)*14,Rechnung!O$8)=0,"",INDEX(Rechnung!$B$10:$AM$650,$B8+(_typ1-1)*14,Rechnung!O$8))</f>
        <v/>
      </c>
      <c r="H9" s="193"/>
      <c r="I9" s="194"/>
      <c r="J9" s="59"/>
      <c r="K9" s="75"/>
      <c r="L9" s="85"/>
      <c r="N9" s="164" t="s">
        <v>387</v>
      </c>
      <c r="O9" s="164" t="s">
        <v>1238</v>
      </c>
      <c r="P9" s="59"/>
    </row>
    <row r="10" spans="1:16">
      <c r="A10" s="1397" t="s">
        <v>110</v>
      </c>
      <c r="B10" s="1396">
        <v>4</v>
      </c>
      <c r="C10" s="1351" t="str">
        <f>IF(INDEX(Rechnung!$B$10:$K$650,$B9+(_typ1-1)*14,Rechnung!B$8)=0,"",INDEX(Rechnung!$B$10:$K$650,$B9+(_typ1-1)*14,Rechnung!B$8))</f>
        <v/>
      </c>
      <c r="D10" s="1353" t="str">
        <f>IF(INDEX(Rechnung!$B$10:$K$650,$B9+(_typ1-1)*14,Rechnung!C$8)=0,"",INDEX(Rechnung!$B$10:$K$650,$B9+(_typ1-1)*14,Rechnung!C$8))</f>
        <v/>
      </c>
      <c r="E10" s="168" t="str">
        <f>IF(INDEX(Rechnung!$B$10:$K$650,$B9+(_typ1-1)*14,Rechnung!D$8)=0,"",INDEX(Rechnung!$B$10:$K$650,$B9+(_typ1-1)*14,Rechnung!D$8))</f>
        <v/>
      </c>
      <c r="F10" s="1352" t="str">
        <f>IF(INDEX(Rechnung!$B$10:$K$650,$B9+(_typ1-1)*14,Rechnung!E$8)=0,"",INDEX(Rechnung!$B$10:$K$650,$B9+(_typ1-1)*14,Rechnung!E$8))</f>
        <v/>
      </c>
      <c r="G10" s="605"/>
      <c r="H10" s="195"/>
      <c r="I10" s="167"/>
      <c r="J10" s="59"/>
      <c r="K10" s="1872" t="str">
        <f>IF(OR(DeckungsgradHeizung&lt;99.5,DeckungsgradHeizung&gt;101),"Tasso di copertura non 100 %",IF(OR(DeckungsgradWW&gt;101,AND(DeckungsgradWW&lt;99,WWSoll)),"Tasso copert. AC non 100%",""))</f>
        <v>Tasso di copertura non 100 %</v>
      </c>
      <c r="L10" s="1873"/>
      <c r="N10" s="59" t="s">
        <v>259</v>
      </c>
      <c r="O10" s="59">
        <f>INDEX(Rechnung!$L$10:$L$650,$B$9+(_typ1-1)*14,1)</f>
        <v>0</v>
      </c>
      <c r="P10" s="59"/>
    </row>
    <row r="11" spans="1:16">
      <c r="A11" s="1397" t="s">
        <v>110</v>
      </c>
      <c r="B11" s="1396">
        <v>5</v>
      </c>
      <c r="C11" s="1351" t="str">
        <f>IF(INDEX(Rechnung!$B$10:$K$650,$B10+(_typ1-1)*14,Rechnung!B$8)=0,"",INDEX(Rechnung!$B$10:$K$650,$B10+(_typ1-1)*14,Rechnung!B$8))</f>
        <v/>
      </c>
      <c r="D11" s="1353" t="str">
        <f>IF(INDEX(Rechnung!$B$10:$K$650,$B10+(_typ1-1)*14,Rechnung!C$8)=0,"",INDEX(Rechnung!$B$10:$K$650,$B10+(_typ1-1)*14,Rechnung!C$8))</f>
        <v/>
      </c>
      <c r="E11" s="168" t="str">
        <f>IF(INDEX(Rechnung!$B$10:$K$650,$B10+(_typ1-1)*14,Rechnung!D$8)=0,"",INDEX(Rechnung!$B$10:$K$650,$B10+(_typ1-1)*14,Rechnung!D$8))</f>
        <v/>
      </c>
      <c r="F11" s="1352" t="str">
        <f>IF(INDEX(Rechnung!$B$10:$K$650,$B10+(_typ1-1)*14,Rechnung!E$8)=0,"",INDEX(Rechnung!$B$10:$K$650,$B10+(_typ1-1)*14,Rechnung!E$8))</f>
        <v/>
      </c>
      <c r="G11" s="190"/>
      <c r="H11" s="303"/>
      <c r="I11" s="304" t="str">
        <f>INDEX(Rechnung!$O$10:$AM$650,$B10+(_typ1-1)*14,1)</f>
        <v/>
      </c>
      <c r="J11" s="59"/>
      <c r="K11" s="1110" t="str">
        <f>IF(OR(AND(Zonen=1,OR(Kategorie1=12,Kategorie1=7)),AND(Zonen=2,OR(AND(Kategorie1=12,Kategorie2=12),AND(Kategorie1=7,Kategorie2=7))),AND(Zonen=3,OR(AND(Kategorie1=12,Kategorie2=12,Kategorie3=12),AND(Kategorie1=7,Kategorie2=7,Kategorie3=7))),AND(Zonen=4,OR(AND(Kategorie1=12,Kategorie2=12,Kategorie3=12,Kategorie4=12),AND(Kategorie1=7,Kategorie2=7,Kategorie3=7,Kategorie4=7)))),"AC esclusa dal calcolo","")</f>
        <v/>
      </c>
      <c r="L11" s="85"/>
      <c r="N11" s="59" t="s">
        <v>258</v>
      </c>
      <c r="O11" s="59">
        <f>INDEX(Rechnung!$L$10:$L$650,$B$11+(_typ1-1)*14,1)</f>
        <v>0</v>
      </c>
      <c r="P11" s="59"/>
    </row>
    <row r="12" spans="1:16">
      <c r="A12" s="1397" t="s">
        <v>110</v>
      </c>
      <c r="B12" s="1396">
        <v>6</v>
      </c>
      <c r="C12" s="1351" t="str">
        <f>IF(INDEX(Rechnung!$B$10:$K$650,$B11+(_typ1-1)*14,Rechnung!B$8)=0,"",INDEX(Rechnung!$B$10:$K$650,$B11+(_typ1-1)*14,Rechnung!B$8))</f>
        <v/>
      </c>
      <c r="D12" s="1353" t="str">
        <f>IF(INDEX(Rechnung!$B$10:$K$650,$B11+(_typ1-1)*14,Rechnung!C$8)=0,"",INDEX(Rechnung!$B$10:$K$650,$B11+(_typ1-1)*14,Rechnung!C$8))</f>
        <v/>
      </c>
      <c r="E12" s="168" t="str">
        <f>IF(INDEX(Rechnung!$B$10:$K$650,$B11+(_typ1-1)*14,Rechnung!D$8)=0,"",INDEX(Rechnung!$B$10:$K$650,$B11+(_typ1-1)*14,Rechnung!D$8))</f>
        <v/>
      </c>
      <c r="F12" s="1352" t="str">
        <f>IF(INDEX(Rechnung!$B$10:$K$650,$B11+(_typ1-1)*14,Rechnung!E$8)=0,"",INDEX(Rechnung!$B$10:$K$650,$B11+(_typ1-1)*14,Rechnung!E$8))</f>
        <v/>
      </c>
      <c r="G12" s="302"/>
      <c r="H12" s="196"/>
      <c r="I12" s="197"/>
      <c r="J12" s="59"/>
      <c r="K12" s="75"/>
      <c r="L12" s="85"/>
      <c r="N12" s="59" t="s">
        <v>1237</v>
      </c>
      <c r="O12" s="59">
        <f>INDEX(Rechnung!$L$10:$L$650,$B$12+(_typ1-1)*14,1)</f>
        <v>0</v>
      </c>
    </row>
    <row r="13" spans="1:16">
      <c r="A13" s="1397" t="s">
        <v>110</v>
      </c>
      <c r="B13" s="1396">
        <v>7</v>
      </c>
      <c r="C13" s="1351" t="str">
        <f>IF(INDEX(Rechnung!$B$10:$K$650,$B12+(_typ1-1)*14,Rechnung!B$8)=0,"",INDEX(Rechnung!$B$10:$K$650,$B12+(_typ1-1)*14,Rechnung!B$8))</f>
        <v/>
      </c>
      <c r="D13" s="1353" t="str">
        <f>IF(INDEX(Rechnung!$B$10:$K$650,$B12+(_typ1-1)*14,Rechnung!C$8)=0,"",INDEX(Rechnung!$B$10:$K$650,$B12+(_typ1-1)*14,Rechnung!C$8))</f>
        <v/>
      </c>
      <c r="E13" s="168" t="str">
        <f>IF(INDEX(Rechnung!$B$10:$AM$650,$B12+(_typ1-1)*14,14)=0,"",INDEX(Rechnung!$B$10:$AM$650,$B12+(_typ1-1)*14,14))</f>
        <v/>
      </c>
      <c r="F13" s="1352" t="str">
        <f>IF(INDEX(Rechnung!$B$10:$K$650,$B12+(_typ1-1)*14,Rechnung!E$8)=0,"",INDEX(Rechnung!$B$10:$K$650,$B12+(_typ1-1)*14,Rechnung!E$8))</f>
        <v/>
      </c>
      <c r="G13" s="302"/>
      <c r="H13" s="193"/>
      <c r="I13" s="198"/>
      <c r="J13" s="59"/>
      <c r="K13" s="75"/>
      <c r="L13" s="85"/>
      <c r="N13" s="59" t="s">
        <v>1354</v>
      </c>
      <c r="O13" s="59">
        <f>INDEX(Rechnung!$L$10:$L$650,$B$13+(_typ1-1)*14,1)</f>
        <v>0</v>
      </c>
    </row>
    <row r="14" spans="1:16">
      <c r="A14" s="1397" t="s">
        <v>110</v>
      </c>
      <c r="B14" s="1396">
        <v>8</v>
      </c>
      <c r="C14" s="1351" t="str">
        <f>IF(INDEX(Rechnung!$B$10:$K$650,$B13+(_typ1-1)*14,Rechnung!B$8)=0,"",INDEX(Rechnung!$B$10:$K$650,$B13+(_typ1-1)*14,Rechnung!B$8))</f>
        <v/>
      </c>
      <c r="D14" s="1353" t="str">
        <f>IF(INDEX(Rechnung!$B$10:$K$650,$B13+(_typ1-1)*14,Rechnung!C$8)=0,"",INDEX(Rechnung!$B$10:$K$650,$B13+(_typ1-1)*14,Rechnung!C$8))</f>
        <v/>
      </c>
      <c r="E14" s="168" t="str">
        <f>IF(INDEX(Rechnung!$B$10:$K$650,$B13+(_typ1-1)*14,Rechnung!D$8)=0,"",INDEX(Rechnung!$B$10:$K$650,$B13+(_typ1-1)*14,Rechnung!D$8))</f>
        <v/>
      </c>
      <c r="F14" s="1352" t="str">
        <f>IF(INDEX(Rechnung!$B$10:$K$650,$B13+(_typ1-1)*14,Rechnung!E$8)=0,"",INDEX(Rechnung!$B$10:$K$650,$B13+(_typ1-1)*14,Rechnung!E$8))</f>
        <v/>
      </c>
      <c r="G14" s="308"/>
      <c r="H14" s="193"/>
      <c r="I14" s="198"/>
      <c r="J14" s="59"/>
      <c r="K14" s="75"/>
      <c r="L14" s="85"/>
      <c r="N14" s="59" t="s">
        <v>1355</v>
      </c>
      <c r="O14" s="59">
        <f>INDEX(Rechnung!$L$10:$L$650,$B$14+(_typ1-1)*14,1)</f>
        <v>0</v>
      </c>
    </row>
    <row r="15" spans="1:16">
      <c r="A15" s="1397" t="s">
        <v>110</v>
      </c>
      <c r="B15" s="1396">
        <v>9</v>
      </c>
      <c r="C15" s="1351" t="str">
        <f>IF(INDEX(Rechnung!$B$10:$K$650,$B14+(_typ1-1)*14,Rechnung!B$8)=0,"",INDEX(Rechnung!$B$10:$K$650,$B14+(_typ1-1)*14,Rechnung!B$8))</f>
        <v/>
      </c>
      <c r="D15" s="1353" t="str">
        <f>IF(INDEX(Rechnung!$B$10:$K$650,$B14+(_typ1-1)*14,Rechnung!C$8)=0,"",INDEX(Rechnung!$B$10:$K$650,$B14+(_typ1-1)*14,Rechnung!C$8))</f>
        <v/>
      </c>
      <c r="E15" s="168" t="str">
        <f>IF(INDEX(Rechnung!$B$10:$K$650,$B14+(_typ1-1)*14,Rechnung!D$8)=0,"",INDEX(Rechnung!$B$10:$K$650,$B14+(_typ1-1)*14,Rechnung!D$8))</f>
        <v/>
      </c>
      <c r="F15" s="1352" t="str">
        <f>IF(INDEX(Rechnung!$B$10:$K$650,$B14+(_typ1-1)*14,Rechnung!E$8)=0,"",INDEX(Rechnung!$B$10:$K$650,$B14+(_typ1-1)*14,Rechnung!E$8))</f>
        <v/>
      </c>
      <c r="G15" s="308"/>
      <c r="H15" s="196"/>
      <c r="I15" s="199"/>
      <c r="J15" s="59"/>
      <c r="K15" s="75"/>
      <c r="L15" s="187" t="str">
        <f>IF(INDEX(Rechnung!$O$10:$AM$650,Rechnung!$A17+(_typ1-1)*14,4)=0,"",INDEX(Rechnung!$O$10:$AM$650,Rechnung!$A17+(_typ1-1)*14,4))</f>
        <v/>
      </c>
      <c r="N15" s="59"/>
      <c r="O15" s="59"/>
    </row>
    <row r="16" spans="1:16">
      <c r="A16" s="1397" t="s">
        <v>110</v>
      </c>
      <c r="B16" s="1396">
        <v>10</v>
      </c>
      <c r="C16" s="1351" t="str">
        <f>IF(INDEX(Rechnung!$B$10:$K$650,$B15+(_typ1-1)*14,Rechnung!B$8)=0,"",INDEX(Rechnung!$B$10:$K$650,$B15+(_typ1-1)*14,Rechnung!B$8))</f>
        <v/>
      </c>
      <c r="D16" s="1353" t="str">
        <f>IF(INDEX(Rechnung!$B$10:$K$650,$B15+(_typ1-1)*14,Rechnung!C$8)=0,"",INDEX(Rechnung!$B$10:$K$650,$B15+(_typ1-1)*14,Rechnung!C$8))</f>
        <v/>
      </c>
      <c r="E16" s="168" t="str">
        <f>IF(INDEX(Rechnung!$B$10:$K$650,$B15+(_typ1-1)*14,Rechnung!D$8)=0,"",INDEX(Rechnung!$B$10:$K$650,$B15+(_typ1-1)*14,Rechnung!D$8))</f>
        <v/>
      </c>
      <c r="F16" s="1352" t="str">
        <f>IF(INDEX(Rechnung!$B$10:$K$650,$B15+(_typ1-1)*14,Rechnung!E$8)=0,"",INDEX(Rechnung!$B$10:$K$650,$B15+(_typ1-1)*14,Rechnung!E$8))</f>
        <v/>
      </c>
      <c r="G16" s="23"/>
      <c r="H16" s="303"/>
      <c r="I16" s="305">
        <f>IF(INDEX(Rechnung!$O$10:$AM$650,$B15+(_typ1-1)*14,1)=0,,INDEX(Rechnung!$O$10:$AM$650,$B15+(_typ1-1)*14,1))</f>
        <v>0</v>
      </c>
      <c r="J16" s="59"/>
      <c r="K16" s="188">
        <f>INDEX(Rechnung!$O$10:$AM$650,$B15+(_typ1-1)*14,3)</f>
        <v>0</v>
      </c>
      <c r="L16" s="189">
        <f>INDEX(Rechnung!$O$10:$AM$650,$B15+(_typ1-1)*14,4)</f>
        <v>0</v>
      </c>
      <c r="N16" s="59"/>
      <c r="O16" s="59"/>
    </row>
    <row r="17" spans="1:15">
      <c r="A17" s="1397" t="s">
        <v>110</v>
      </c>
      <c r="B17" s="1396">
        <v>11</v>
      </c>
      <c r="C17" s="1351" t="str">
        <f>IF(INDEX(Rechnung!$B$10:$K$650,$B16+(_typ1-1)*14,Rechnung!B$8)=0,"",INDEX(Rechnung!$B$10:$K$650,$B16+(_typ1-1)*14,Rechnung!B$8))</f>
        <v/>
      </c>
      <c r="D17" s="1353" t="str">
        <f>IF(INDEX(Rechnung!$B$10:$K$650,$B16+(_typ1-1)*14,Rechnung!C$8)=0,"",INDEX(Rechnung!$B$10:$K$650,$B16+(_typ1-1)*14,Rechnung!C$8))</f>
        <v/>
      </c>
      <c r="E17" s="168" t="str">
        <f>IF(INDEX(Rechnung!$B$10:$K$650,$B16+(_typ1-1)*14,Rechnung!D$8)=0,"",INDEX(Rechnung!$B$10:$K$650,$B16+(_typ1-1)*14,Rechnung!D$8))</f>
        <v/>
      </c>
      <c r="F17" s="1352" t="str">
        <f>IF(INDEX(Rechnung!$B$10:$K$650,$B16+(_typ1-1)*14,Rechnung!E$8)=0,"",INDEX(Rechnung!$B$10:$K$650,$B16+(_typ1-1)*14,Rechnung!E$8))</f>
        <v/>
      </c>
      <c r="G17" s="16"/>
      <c r="H17" s="303"/>
      <c r="I17" s="305">
        <f>IF(INDEX(Rechnung!$O$10:$AM$650,$B16+(_typ1-1)*14,1)=0,,INDEX(Rechnung!$O$10:$AM$650,$B16+(_typ1-1)*14,1))</f>
        <v>0</v>
      </c>
      <c r="J17" s="59"/>
      <c r="K17" s="216">
        <f>IF(INDEX(Rechnung!$O$10:$AM$650,$B16+(_typ1-1)*14,3)=0,,INDEX(Rechnung!$O$10:$AM$650,$B16+(_typ1-1)*14,3))</f>
        <v>0</v>
      </c>
      <c r="L17" s="217">
        <f>IF(INDEX(Rechnung!$O$10:$AM$650,$B16+(_typ1-1)*14,4)=0,,INDEX(Rechnung!$O$10:$AM$650,$B16+(_typ1-1)*14,4))</f>
        <v>0</v>
      </c>
      <c r="N17" s="59" t="s">
        <v>1296</v>
      </c>
      <c r="O17" s="59"/>
    </row>
    <row r="18" spans="1:15">
      <c r="A18" s="1397" t="s">
        <v>110</v>
      </c>
      <c r="B18" s="1396">
        <v>12</v>
      </c>
      <c r="C18" s="1354" t="str">
        <f>IF(INDEX(Rechnung!$B$10:$K$650,$B17+(_typ1-1)*14,Rechnung!B$8)=0,"",INDEX(Rechnung!$B$10:$K$650,$B17+(_typ1-1)*14,Rechnung!B$8))</f>
        <v/>
      </c>
      <c r="D18" s="1355" t="str">
        <f>IF(INDEX(Rechnung!$B$10:$K$650,$B17+(_typ1-1)*14,Rechnung!C$8)=0,"",INDEX(Rechnung!$B$10:$K$650,$B17+(_typ1-1)*14,Rechnung!C$8))</f>
        <v/>
      </c>
      <c r="E18" s="169" t="str">
        <f>IF(INDEX(Rechnung!$B$10:$K$650,$B17+(_typ1-1)*14,Rechnung!D$8)=0,"",INDEX(Rechnung!$B$10:$K$650,$B17+(_typ1-1)*14,Rechnung!D$8))</f>
        <v/>
      </c>
      <c r="F18" s="1356" t="str">
        <f>IF(INDEX(Rechnung!$B$10:$K$650,$B17+(_typ1-1)*14,Rechnung!E$8)=0,"",INDEX(Rechnung!$B$10:$K$650,$B17+(_typ1-1)*14,Rechnung!E$8))</f>
        <v/>
      </c>
      <c r="G18" s="24"/>
      <c r="H18" s="306"/>
      <c r="I18" s="307">
        <f>IF(INDEX(Rechnung!$O$10:$AM$650,$B17+(_typ1-1)*14,1)=0,,INDEX(Rechnung!$O$10:$AM$650,$B17+(_typ1-1)*14,1))</f>
        <v>0</v>
      </c>
      <c r="J18" s="59"/>
      <c r="K18" s="299"/>
      <c r="L18" s="299"/>
      <c r="N18" s="59">
        <f ca="1">OFFSET(Rechnung!$J$10,(_typ1-1)*14,0)</f>
        <v>0</v>
      </c>
      <c r="O18" s="59">
        <f ca="1">IF(Warmwasser,OFFSET(Rechnung!$K$10,(_typ1-1)*14,0),0)</f>
        <v>0</v>
      </c>
    </row>
    <row r="19" spans="1:15">
      <c r="B19" s="1399">
        <v>13</v>
      </c>
      <c r="C19" s="129"/>
      <c r="D19" s="129"/>
      <c r="E19" s="147"/>
      <c r="F19" s="151"/>
      <c r="G19" s="59"/>
      <c r="H19" s="147"/>
      <c r="I19" s="151"/>
      <c r="J19" s="59"/>
      <c r="K19" s="1374" t="str">
        <f>IF(INDEX(Rechnung!$O$10:$AM$650,$B18+(_typ1-1)*14,3)=0,"",INDEX(Rechnung!$O$10:$AM$650,$B18+(_typ1-1)*14,3))</f>
        <v/>
      </c>
      <c r="L19" s="59"/>
      <c r="N19" s="59"/>
      <c r="O19" s="59"/>
    </row>
    <row r="20" spans="1:15" ht="12.15" hidden="1" customHeight="1">
      <c r="B20" s="1396"/>
      <c r="C20" s="129"/>
      <c r="D20" s="129"/>
      <c r="E20" s="129"/>
      <c r="F20" s="129"/>
      <c r="G20" s="59"/>
      <c r="H20" s="147"/>
      <c r="I20" s="151"/>
      <c r="J20" s="59"/>
      <c r="K20" s="59"/>
      <c r="L20" s="59"/>
      <c r="N20" s="59"/>
      <c r="O20" s="59"/>
    </row>
    <row r="21" spans="1:15" ht="16.2" customHeight="1">
      <c r="A21" s="1397" t="s">
        <v>110</v>
      </c>
      <c r="B21" s="1398">
        <v>13</v>
      </c>
      <c r="C21" s="21" t="s">
        <v>1419</v>
      </c>
      <c r="D21" s="22"/>
      <c r="E21" s="9"/>
      <c r="F21" s="18"/>
      <c r="G21" s="15"/>
      <c r="H21" s="18"/>
      <c r="I21" s="19"/>
      <c r="J21" s="59"/>
      <c r="K21" s="1357" t="s">
        <v>1620</v>
      </c>
      <c r="L21" s="14"/>
      <c r="N21" s="164" t="s">
        <v>566</v>
      </c>
      <c r="O21" s="290">
        <f>_typ2</f>
        <v>1</v>
      </c>
    </row>
    <row r="22" spans="1:15">
      <c r="B22" s="1396"/>
      <c r="C22" s="1348" t="str">
        <f>IF(INDEX(Rechnung!$B$10:$K$650,$B7+(_typ2-1)*14,Rechnung!B$8)=0,"",INDEX(Rechnung!$B$10:$K$650,$B7+(_typ2-1)*14,Rechnung!B$8))</f>
        <v/>
      </c>
      <c r="D22" s="1349" t="str">
        <f>IF(INDEX(Rechnung!$B$10:$K$650,$B7+(_typ2-1)*14,Rechnung!C$8)=0,"",INDEX(Rechnung!$B$10:$K$650,$B7+(_typ2-1)*14,Rechnung!C$8))</f>
        <v/>
      </c>
      <c r="E22" s="751" t="str">
        <f>IF(INDEX(Rechnung!$B$10:$K$650,$B7+(_typ2-1)*14,Rechnung!D$8)=0,"",INDEX(Rechnung!$B$10:$K$650,$B7+(_typ2-1)*14,Rechnung!D$8))</f>
        <v/>
      </c>
      <c r="F22" s="1868"/>
      <c r="G22" s="1869"/>
      <c r="H22" s="191"/>
      <c r="I22" s="192"/>
      <c r="J22" s="59"/>
      <c r="K22" s="1358" t="s">
        <v>858</v>
      </c>
      <c r="L22" s="11" t="s">
        <v>264</v>
      </c>
      <c r="N22" s="59"/>
      <c r="O22" s="59"/>
    </row>
    <row r="23" spans="1:15">
      <c r="B23" s="1396"/>
      <c r="C23" s="1351" t="str">
        <f>IF(INDEX(Rechnung!$B$10:$K$650,$B8+(_typ2-1)*14,Rechnung!B$8)=0,"",INDEX(Rechnung!$B$10:$K$650,$B8+(_typ2-1)*14,Rechnung!B$8))</f>
        <v/>
      </c>
      <c r="D23" s="1353" t="str">
        <f>IF(INDEX(Rechnung!$B$10:$K$650,$B8+(_typ2-1)*14,Rechnung!C$8)=0,"",INDEX(Rechnung!$B$10:$K$650,$B8+(_typ2-1)*14,Rechnung!C$8))</f>
        <v/>
      </c>
      <c r="E23" s="185" t="str">
        <f>IF(INDEX(Rechnung!$B$10:$K$650,$B8+(_typ2-1)*14,Rechnung!D$8)=0,"",INDEX(Rechnung!$B$10:$K$650,$B8+(_typ2-1)*14,Rechnung!D$8))</f>
        <v/>
      </c>
      <c r="F23" s="1359" t="str">
        <f>IF(INDEX(Rechnung!$B$10:$K$650,$B8+(_typ2-1)*14,Rechnung!E$8)=0,"",INDEX(Rechnung!$B$10:$K$650,$B8+(_typ2-1)*14,Rechnung!E$8))</f>
        <v/>
      </c>
      <c r="G23" s="826" t="str">
        <f>IF(INDEX(Rechnung!$B$10:$AM$650,$B8+(_typ2-1)*14,Rechnung!V$8)=0,"",INDEX(Rechnung!$B$10:$AM$650,$B8+(_typ2-1)*14,Rechnung!V$8))</f>
        <v/>
      </c>
      <c r="H23" s="196"/>
      <c r="I23" s="200"/>
      <c r="J23" s="59"/>
      <c r="K23" s="68"/>
      <c r="L23" s="183"/>
      <c r="N23" s="164" t="s">
        <v>387</v>
      </c>
      <c r="O23" s="164" t="s">
        <v>1238</v>
      </c>
    </row>
    <row r="24" spans="1:15">
      <c r="B24" s="1396"/>
      <c r="C24" s="1351" t="str">
        <f>IF(INDEX(Rechnung!$B$10:$K$650,$B9+(_typ2-1)*14,Rechnung!B$8)=0,"",INDEX(Rechnung!$B$10:$K$650,$B9+(_typ2-1)*14,Rechnung!B$8))</f>
        <v/>
      </c>
      <c r="D24" s="1353" t="str">
        <f>IF(INDEX(Rechnung!$B$10:$K$650,$B9+(_typ2-1)*14,Rechnung!C$8)=0,"",INDEX(Rechnung!$B$10:$K$650,$B9+(_typ2-1)*14,Rechnung!C$8))</f>
        <v/>
      </c>
      <c r="E24" s="185" t="str">
        <f>IF(INDEX(Rechnung!$B$10:$K$650,$B9+(_typ2-1)*14,Rechnung!D$8)=0,"",INDEX(Rechnung!$B$10:$K$650,$B9+(_typ2-1)*14,Rechnung!D$8))</f>
        <v/>
      </c>
      <c r="F24" s="1359" t="str">
        <f>IF(INDEX(Rechnung!$B$10:$K$650,$B9+(_typ2-1)*14,Rechnung!E$8)=0,"",INDEX(Rechnung!$B$10:$K$650,$B9+(_typ2-1)*14,Rechnung!E$8))</f>
        <v/>
      </c>
      <c r="G24" s="605"/>
      <c r="H24" s="196"/>
      <c r="I24" s="167"/>
      <c r="J24" s="59"/>
      <c r="K24" s="1872" t="str">
        <f>IF(OR(DeckungsgradHeizung&lt;99.5,DeckungsgradHeizung&gt;101),"Tasso di copertura non 100 %",IF(OR(DeckungsgradWW&gt;101,AND(DeckungsgradWW&lt;99,WWSoll)),"Tasso copert. AC non 100%",""))</f>
        <v>Tasso di copertura non 100 %</v>
      </c>
      <c r="L24" s="1873"/>
      <c r="N24" s="59" t="s">
        <v>259</v>
      </c>
      <c r="O24" s="59">
        <f>INDEX(Rechnung!$L$10:$L$650,$B$9+(_typ2-1)*14,1)</f>
        <v>0</v>
      </c>
    </row>
    <row r="25" spans="1:15">
      <c r="B25" s="1396"/>
      <c r="C25" s="1351" t="str">
        <f>IF(INDEX(Rechnung!$B$10:$K$650,$B10+(_typ2-1)*14,Rechnung!B$8)=0,"",INDEX(Rechnung!$B$10:$K$650,$B10+(_typ2-1)*14,Rechnung!B$8))</f>
        <v/>
      </c>
      <c r="D25" s="1353" t="str">
        <f>IF(INDEX(Rechnung!$B$10:$K$650,$B10+(_typ2-1)*14,Rechnung!C$8)=0,"",INDEX(Rechnung!$B$10:$K$650,$B10+(_typ2-1)*14,Rechnung!C$8))</f>
        <v/>
      </c>
      <c r="E25" s="185" t="str">
        <f>IF(INDEX(Rechnung!$B$10:$K$650,$B10+(_typ2-1)*14,Rechnung!D$8)=0,"",INDEX(Rechnung!$B$10:$K$650,$B10+(_typ2-1)*14,Rechnung!D$8))</f>
        <v/>
      </c>
      <c r="F25" s="1359" t="str">
        <f>IF(INDEX(Rechnung!$B$10:$K$650,$B10+(_typ2-1)*14,Rechnung!E$8)=0,"",INDEX(Rechnung!$B$10:$K$650,$B10+(_typ2-1)*14,Rechnung!E$8))</f>
        <v/>
      </c>
      <c r="G25" s="190"/>
      <c r="H25" s="303"/>
      <c r="I25" s="304" t="str">
        <f>INDEX(Rechnung!$O$10:$AM$650,$B10+(_typ2-1)*14,8)</f>
        <v/>
      </c>
      <c r="J25" s="59"/>
      <c r="K25" s="1110" t="str">
        <f>K11</f>
        <v/>
      </c>
      <c r="L25" s="85"/>
      <c r="N25" s="59" t="s">
        <v>258</v>
      </c>
      <c r="O25" s="59">
        <f>INDEX(Rechnung!$L$10:$L$650,$B$11+(_typ2-1)*14,1)</f>
        <v>0</v>
      </c>
    </row>
    <row r="26" spans="1:15">
      <c r="B26" s="1396"/>
      <c r="C26" s="1351" t="str">
        <f>IF(INDEX(Rechnung!$B$10:$K$650,$B11+(_typ2-1)*14,Rechnung!B$8)=0,"",INDEX(Rechnung!$B$10:$K$650,$B11+(_typ2-1)*14,Rechnung!B$8))</f>
        <v/>
      </c>
      <c r="D26" s="1353" t="str">
        <f>IF(INDEX(Rechnung!$B$10:$K$650,$B11+(_typ2-1)*14,Rechnung!C$8)=0,"",INDEX(Rechnung!$B$10:$K$650,$B11+(_typ2-1)*14,Rechnung!C$8))</f>
        <v/>
      </c>
      <c r="E26" s="185" t="str">
        <f>IF(INDEX(Rechnung!$B$10:$K$650,$B11+(_typ2-1)*14,Rechnung!D$8)=0,"",INDEX(Rechnung!$B$10:$K$650,$B11+(_typ2-1)*14,Rechnung!D$8))</f>
        <v/>
      </c>
      <c r="F26" s="1359" t="str">
        <f>IF(INDEX(Rechnung!$B$10:$K$650,$B11+(_typ2-1)*14,Rechnung!E$8)=0,"",INDEX(Rechnung!$B$10:$K$650,$B11+(_typ2-1)*14,Rechnung!E$8))</f>
        <v/>
      </c>
      <c r="G26" s="302"/>
      <c r="H26" s="193"/>
      <c r="I26" s="199"/>
      <c r="J26" s="59"/>
      <c r="K26" s="75"/>
      <c r="L26" s="85"/>
      <c r="N26" s="59" t="s">
        <v>1237</v>
      </c>
      <c r="O26" s="59">
        <f>INDEX(Rechnung!$L$10:$L$650,$B$12+(_typ2-1)*14,1)</f>
        <v>0</v>
      </c>
    </row>
    <row r="27" spans="1:15">
      <c r="B27" s="1396"/>
      <c r="C27" s="1351" t="str">
        <f>IF(INDEX(Rechnung!$B$10:$K$650,$B12+(_typ2-1)*14,Rechnung!B$8)=0,"",INDEX(Rechnung!$B$10:$K$650,$B12+(_typ2-1)*14,Rechnung!B$8))</f>
        <v/>
      </c>
      <c r="D27" s="1353" t="str">
        <f>IF(INDEX(Rechnung!$B$10:$K$650,$B12+(_typ2-1)*14,Rechnung!C$8)=0,"",INDEX(Rechnung!$B$10:$K$650,$B12+(_typ2-1)*14,Rechnung!C$8))</f>
        <v/>
      </c>
      <c r="E27" s="185" t="str">
        <f>IF(INDEX(Rechnung!$B$10:$AM$650,$B12+(_typ2-1)*14,21)=0,"",INDEX(Rechnung!$B$10:$AM$650,$B12+(_typ2-1)*14,21))</f>
        <v/>
      </c>
      <c r="F27" s="1359" t="str">
        <f>IF(INDEX(Rechnung!$B$10:$K$650,$B12+(_typ2-1)*14,Rechnung!E$8)=0,"",INDEX(Rechnung!$B$10:$K$650,$B12+(_typ2-1)*14,Rechnung!E$8))</f>
        <v/>
      </c>
      <c r="G27" s="308"/>
      <c r="H27" s="193"/>
      <c r="I27" s="198"/>
      <c r="J27" s="59"/>
      <c r="K27" s="75"/>
      <c r="L27" s="85"/>
      <c r="N27" s="59" t="s">
        <v>1354</v>
      </c>
      <c r="O27" s="59">
        <f>INDEX(Rechnung!$L$10:$L$650,$B$13+(_typ2-1)*14,1)</f>
        <v>0</v>
      </c>
    </row>
    <row r="28" spans="1:15">
      <c r="B28" s="1400"/>
      <c r="C28" s="1351" t="str">
        <f>IF(INDEX(Rechnung!$B$10:$K$650,$B13+(_typ2-1)*14,Rechnung!B$8)=0,"",INDEX(Rechnung!$B$10:$K$650,$B13+(_typ2-1)*14,Rechnung!B$8))</f>
        <v/>
      </c>
      <c r="D28" s="1353" t="str">
        <f>IF(INDEX(Rechnung!$B$10:$K$650,$B13+(_typ2-1)*14,Rechnung!C$8)=0,"",INDEX(Rechnung!$B$10:$K$650,$B13+(_typ2-1)*14,Rechnung!C$8))</f>
        <v/>
      </c>
      <c r="E28" s="185" t="str">
        <f>IF(INDEX(Rechnung!$B$10:$K$650,$B13+(_typ2-1)*14,Rechnung!D$8)=0,"",INDEX(Rechnung!$B$10:$K$650,$B13+(_typ2-1)*14,Rechnung!D$8))</f>
        <v/>
      </c>
      <c r="F28" s="1359" t="str">
        <f>IF(INDEX(Rechnung!$B$10:$K$650,$B13+(_typ2-1)*14,Rechnung!E$8)=0,"",INDEX(Rechnung!$B$10:$K$650,$B13+(_typ2-1)*14,Rechnung!E$8))</f>
        <v/>
      </c>
      <c r="G28" s="308"/>
      <c r="H28" s="196"/>
      <c r="I28" s="199"/>
      <c r="J28" s="59"/>
      <c r="K28" s="75"/>
      <c r="L28" s="85"/>
      <c r="N28" s="59" t="s">
        <v>1355</v>
      </c>
      <c r="O28" s="59">
        <f>INDEX(Rechnung!$L$10:$L$650,$B$14+(_typ2-1)*14,1)</f>
        <v>0</v>
      </c>
    </row>
    <row r="29" spans="1:15">
      <c r="B29" s="1396"/>
      <c r="C29" s="1351" t="str">
        <f>IF(INDEX(Rechnung!$B$10:$K$650,$B14+(_typ2-1)*14,Rechnung!B$8)=0,"",INDEX(Rechnung!$B$10:$K$650,$B14+(_typ2-1)*14,Rechnung!B$8))</f>
        <v/>
      </c>
      <c r="D29" s="1353" t="str">
        <f>IF(INDEX(Rechnung!$B$10:$K$650,$B14+(_typ2-1)*14,Rechnung!C$8)=0,"",INDEX(Rechnung!$B$10:$K$650,$B14+(_typ2-1)*14,Rechnung!C$8))</f>
        <v/>
      </c>
      <c r="E29" s="185" t="str">
        <f>IF(INDEX(Rechnung!$B$10:$K$650,$B14+(_typ2-1)*14,Rechnung!D$8)=0,"",INDEX(Rechnung!$B$10:$K$650,$B14+(_typ2-1)*14,Rechnung!D$8))</f>
        <v/>
      </c>
      <c r="F29" s="1359" t="str">
        <f>IF(INDEX(Rechnung!$B$10:$K$650,$B14+(_typ2-1)*14,Rechnung!E$8)=0,"",INDEX(Rechnung!$B$10:$K$650,$B14+(_typ2-1)*14,Rechnung!E$8))</f>
        <v/>
      </c>
      <c r="G29" s="308"/>
      <c r="H29" s="196"/>
      <c r="I29" s="198"/>
      <c r="J29" s="59"/>
      <c r="K29" s="75"/>
      <c r="L29" s="187" t="str">
        <f>IF(INDEX(Rechnung!$O$10:$AM$650,Rechnung!$A31+(_typ2-2)*14,11)=0,"",INDEX(Rechnung!$O$10:$AM$650,Rechnung!$A31+(_typ2-2)*14,11))</f>
        <v/>
      </c>
      <c r="O29" s="59"/>
    </row>
    <row r="30" spans="1:15">
      <c r="B30" s="1396"/>
      <c r="C30" s="1351" t="str">
        <f>IF(INDEX(Rechnung!$B$10:$K$650,$B15+(_typ2-1)*14,Rechnung!B$8)=0,"",INDEX(Rechnung!$B$10:$K$650,$B15+(_typ2-1)*14,Rechnung!B$8))</f>
        <v/>
      </c>
      <c r="D30" s="1353" t="str">
        <f>IF(INDEX(Rechnung!$B$10:$K$650,$B15+(_typ2-1)*14,Rechnung!C$8)=0,"",INDEX(Rechnung!$B$10:$K$650,$B15+(_typ2-1)*14,Rechnung!C$8))</f>
        <v/>
      </c>
      <c r="E30" s="185" t="str">
        <f>IF(INDEX(Rechnung!$B$10:$K$650,$B15+(_typ2-1)*14,Rechnung!D$8)=0,"",INDEX(Rechnung!$B$10:$K$650,$B15+(_typ2-1)*14,Rechnung!D$8))</f>
        <v/>
      </c>
      <c r="F30" s="1359" t="str">
        <f>IF(INDEX(Rechnung!$B$10:$K$650,$B15+(_typ2-1)*14,Rechnung!E$8)=0,"",INDEX(Rechnung!$B$10:$K$650,$B15+(_typ2-1)*14,Rechnung!E$8))</f>
        <v/>
      </c>
      <c r="G30" s="205"/>
      <c r="H30" s="303"/>
      <c r="I30" s="305">
        <f>IF(INDEX(Rechnung!$O$10:$AM$650,$B15+(_typ2-1)*14,8)=0,,INDEX(Rechnung!$O$10:$AM$650,$B15+(_typ2-1)*14,8))</f>
        <v>0</v>
      </c>
      <c r="J30" s="59"/>
      <c r="K30" s="188">
        <f>INDEX(Rechnung!$O$10:$AM$650,$B15+(_typ2-1)*14,10)</f>
        <v>0</v>
      </c>
      <c r="L30" s="189">
        <f>INDEX(Rechnung!$O$10:$AM$650,$B15+(_typ2-1)*14,11)</f>
        <v>0</v>
      </c>
    </row>
    <row r="31" spans="1:15">
      <c r="B31" s="1396"/>
      <c r="C31" s="1351" t="str">
        <f>IF(INDEX(Rechnung!$B$10:$K$650,$B16+(_typ2-1)*14,Rechnung!B$8)=0,"",INDEX(Rechnung!$B$10:$K$650,$B16+(_typ2-1)*14,Rechnung!B$8))</f>
        <v/>
      </c>
      <c r="D31" s="1353" t="str">
        <f>IF(INDEX(Rechnung!$B$10:$K$650,$B16+(_typ2-1)*14,Rechnung!C$8)=0,"",INDEX(Rechnung!$B$10:$K$650,$B16+(_typ2-1)*14,Rechnung!C$8))</f>
        <v/>
      </c>
      <c r="E31" s="185" t="str">
        <f>IF(INDEX(Rechnung!$B$10:$K$650,$B16+(_typ2-1)*14,Rechnung!D$8)=0,"",INDEX(Rechnung!$B$10:$K$650,$B16+(_typ2-1)*14,Rechnung!D$8))</f>
        <v/>
      </c>
      <c r="F31" s="1359" t="str">
        <f>IF(INDEX(Rechnung!$B$10:$K$650,$B16+(_typ2-1)*14,Rechnung!E$8)=0,"",INDEX(Rechnung!$B$10:$K$650,$B16+(_typ2-1)*14,Rechnung!E$8))</f>
        <v/>
      </c>
      <c r="G31" s="208"/>
      <c r="H31" s="303"/>
      <c r="I31" s="305">
        <f>IF(INDEX(Rechnung!$O$10:$AM$650,$B16+(_typ2-1)*14,8)=0,,INDEX(Rechnung!$O$10:$AM$650,$B16+(_typ2-1)*14,8))</f>
        <v>0</v>
      </c>
      <c r="J31" s="59"/>
      <c r="K31" s="216">
        <f>IF(INDEX(Rechnung!$O$10:$AM$650,$B16+(_typ2-1)*14,10)=0,,INDEX(Rechnung!$O$10:$AM$650,$B16+(_typ2-1)*14,10))</f>
        <v>0</v>
      </c>
      <c r="L31" s="217">
        <f>IF(INDEX(Rechnung!$O$10:$AM$650,$B16+(_typ2-1)*14,11)=0,,INDEX(Rechnung!$O$10:$AM$650,$B16+(_typ2-1)*14,11))</f>
        <v>0</v>
      </c>
      <c r="N31" s="59" t="s">
        <v>1296</v>
      </c>
      <c r="O31" s="59"/>
    </row>
    <row r="32" spans="1:15">
      <c r="B32" s="1396"/>
      <c r="C32" s="1354" t="str">
        <f>IF(INDEX(Rechnung!$B$10:$K$650,$B17+(_typ2-1)*14,Rechnung!B$8)=0,"",INDEX(Rechnung!$B$10:$K$650,$B17+(_typ2-1)*14,Rechnung!B$8))</f>
        <v/>
      </c>
      <c r="D32" s="1355" t="str">
        <f>IF(INDEX(Rechnung!$B$10:$K$650,$B17+(_typ2-1)*14,Rechnung!C$8)=0,"",INDEX(Rechnung!$B$10:$K$650,$B17+(_typ2-1)*14,Rechnung!C$8))</f>
        <v/>
      </c>
      <c r="E32" s="186" t="str">
        <f>IF(INDEX(Rechnung!$B$10:$K$650,$B17+(_typ2-1)*14,Rechnung!D$8)=0,"",INDEX(Rechnung!$B$10:$K$650,$B17+(_typ2-1)*14,Rechnung!D$8))</f>
        <v/>
      </c>
      <c r="F32" s="1360" t="str">
        <f>IF(INDEX(Rechnung!$B$10:$K$650,$B17+(_typ2-1)*14,Rechnung!E$8)=0,"",INDEX(Rechnung!$B$10:$K$650,$B17+(_typ2-1)*14,Rechnung!E$8))</f>
        <v/>
      </c>
      <c r="G32" s="206"/>
      <c r="H32" s="306"/>
      <c r="I32" s="307">
        <f>IF(INDEX(Rechnung!$O$10:$AM$650,$B17+(_typ2-1)*14,8)=0,,INDEX(Rechnung!$O$10:$AM$650,$B17+(_typ2-1)*14,8))</f>
        <v>0</v>
      </c>
      <c r="J32" s="59"/>
      <c r="K32" s="299"/>
      <c r="L32" s="299"/>
      <c r="N32" s="59">
        <f ca="1">OFFSET(Rechnung!$J$10,(_typ2-1)*14,0)</f>
        <v>0</v>
      </c>
      <c r="O32" s="59">
        <f ca="1">IF(Warmwasser,OFFSET(Rechnung!$K$10,(_typ2-1)*14,0),0)</f>
        <v>0</v>
      </c>
    </row>
    <row r="33" spans="1:15">
      <c r="B33" s="1396"/>
      <c r="C33" s="129"/>
      <c r="D33" s="129"/>
      <c r="E33" s="129"/>
      <c r="F33" s="129"/>
      <c r="G33" s="59"/>
      <c r="H33" s="129"/>
      <c r="I33" s="129"/>
      <c r="J33" s="59"/>
      <c r="K33" s="1374" t="str">
        <f>IF(INDEX(Rechnung!$O$10:$AM$650,$B18+(_typ2-1)*14,10)=FALSE,"",INDEX(Rechnung!$O$10:$AM$650,$B18+(_typ2-1)*14,10))</f>
        <v/>
      </c>
      <c r="L33" s="59"/>
    </row>
    <row r="34" spans="1:15" hidden="1">
      <c r="B34" s="1396"/>
      <c r="C34" s="129"/>
      <c r="D34" s="129"/>
      <c r="E34" s="129"/>
      <c r="F34" s="129"/>
      <c r="G34" s="59"/>
      <c r="H34" s="129"/>
      <c r="I34" s="129"/>
      <c r="J34" s="59"/>
      <c r="K34" s="59"/>
      <c r="L34" s="59"/>
    </row>
    <row r="35" spans="1:15" ht="16.2" customHeight="1">
      <c r="A35" s="1397" t="s">
        <v>110</v>
      </c>
      <c r="B35" s="1398">
        <v>14</v>
      </c>
      <c r="C35" s="21" t="s">
        <v>1420</v>
      </c>
      <c r="D35" s="1"/>
      <c r="E35" s="9"/>
      <c r="F35" s="25"/>
      <c r="G35" s="15"/>
      <c r="H35" s="1"/>
      <c r="I35" s="2"/>
      <c r="J35" s="59"/>
      <c r="K35" s="1357" t="s">
        <v>1620</v>
      </c>
      <c r="L35" s="14"/>
      <c r="N35" s="164" t="s">
        <v>566</v>
      </c>
      <c r="O35" s="290">
        <f>_typ3</f>
        <v>1</v>
      </c>
    </row>
    <row r="36" spans="1:15">
      <c r="B36" s="1396"/>
      <c r="C36" s="1348" t="str">
        <f>IF(INDEX(Rechnung!$B$10:$K$650,$B7+(_typ3-1)*14,Rechnung!B$8)=0,"",INDEX(Rechnung!$B$10:$K$650,$B7+(_typ3-1)*14,Rechnung!B$8))</f>
        <v/>
      </c>
      <c r="D36" s="1349" t="str">
        <f>IF(INDEX(Rechnung!$B$10:$K$650,$B7+(_typ3-1)*14,Rechnung!C$8)=0,"",INDEX(Rechnung!$B$10:$K$650,$B7+(_typ3-1)*14,Rechnung!C$8))</f>
        <v/>
      </c>
      <c r="E36" s="751" t="str">
        <f>IF(INDEX(Rechnung!$B$10:$K$650,$B7+(_typ3-1)*14,Rechnung!D$8)=0,"",INDEX(Rechnung!$B$10:$K$650,$B7+(_typ3-1)*14,Rechnung!D$8))</f>
        <v/>
      </c>
      <c r="F36" s="1870"/>
      <c r="G36" s="1871"/>
      <c r="H36" s="191"/>
      <c r="I36" s="192"/>
      <c r="J36" s="59"/>
      <c r="K36" s="1358" t="s">
        <v>858</v>
      </c>
      <c r="L36" s="11" t="s">
        <v>264</v>
      </c>
    </row>
    <row r="37" spans="1:15">
      <c r="B37" s="1396"/>
      <c r="C37" s="1351" t="str">
        <f>IF(INDEX(Rechnung!$B$10:$K$650,$B8+(_typ3-1)*14,Rechnung!B$8)=0,"",INDEX(Rechnung!$B$10:$K$650,$B8+(_typ3-1)*14,Rechnung!B$8))</f>
        <v/>
      </c>
      <c r="D37" s="1353" t="str">
        <f>IF(INDEX(Rechnung!$B$10:$K$650,$B8+(_typ3-1)*14,Rechnung!C$8)=0,"",INDEX(Rechnung!$B$10:$K$650,$B8+(_typ3-1)*14,Rechnung!C$8))</f>
        <v/>
      </c>
      <c r="E37" s="185" t="str">
        <f>IF(INDEX(Rechnung!$B$10:$K$650,$B8+(_typ3-1)*14,Rechnung!D$8)=0,"",INDEX(Rechnung!$B$10:$K$650,$B8+(_typ3-1)*14,Rechnung!D$8))</f>
        <v/>
      </c>
      <c r="F37" s="1352" t="str">
        <f>IF(INDEX(Rechnung!$B$10:$K$650,$B8+(_typ3-1)*14,Rechnung!E$8)=0,"",INDEX(Rechnung!$B$10:$K$650,$B8+(_typ3-1)*14,Rechnung!E$8))</f>
        <v/>
      </c>
      <c r="G37" s="826" t="str">
        <f>IF(INDEX(Rechnung!$B$10:$AM$650,$B8+(_typ3-1)*14,Rechnung!AC$8)=0,"",INDEX(Rechnung!$B$10:$AM$650,$B8+(_typ3-1)*14,Rechnung!AC$8))</f>
        <v/>
      </c>
      <c r="H37" s="201"/>
      <c r="I37" s="202"/>
      <c r="J37" s="59"/>
      <c r="K37" s="75"/>
      <c r="L37" s="85"/>
      <c r="N37" s="164" t="s">
        <v>387</v>
      </c>
      <c r="O37" s="164" t="s">
        <v>1238</v>
      </c>
    </row>
    <row r="38" spans="1:15">
      <c r="B38" s="1400"/>
      <c r="C38" s="1351" t="str">
        <f>IF(INDEX(Rechnung!$B$10:$K$650,$B9+(_typ3-1)*14,Rechnung!B$8)=0,"",INDEX(Rechnung!$B$10:$K$650,$B9+(_typ3-1)*14,Rechnung!B$8))</f>
        <v/>
      </c>
      <c r="D38" s="1353" t="str">
        <f>IF(INDEX(Rechnung!$B$10:$K$650,$B9+(_typ3-1)*14,Rechnung!C$8)=0,"",INDEX(Rechnung!$B$10:$K$650,$B9+(_typ3-1)*14,Rechnung!C$8))</f>
        <v/>
      </c>
      <c r="E38" s="185" t="str">
        <f>IF(INDEX(Rechnung!$B$10:$K$650,$B9+(_typ3-1)*14,Rechnung!D$8)=0,"",INDEX(Rechnung!$B$10:$K$650,$B9+(_typ3-1)*14,Rechnung!D$8))</f>
        <v/>
      </c>
      <c r="F38" s="1352" t="str">
        <f>IF(INDEX(Rechnung!$B$10:$K$650,$B9+(_typ3-1)*14,Rechnung!E$8)=0,"",INDEX(Rechnung!$B$10:$K$650,$B9+(_typ3-1)*14,Rechnung!E$8))</f>
        <v/>
      </c>
      <c r="G38" s="605"/>
      <c r="H38" s="203"/>
      <c r="I38" s="167"/>
      <c r="J38" s="59"/>
      <c r="K38" s="1872" t="str">
        <f>IF(OR(DeckungsgradHeizung&lt;99.5,DeckungsgradHeizung&gt;101),"Tasso di copertura non 100 %",IF(OR(DeckungsgradWW&gt;101,AND(DeckungsgradWW&lt;99,WWSoll)),"Tasso copert. AC non 100%",""))</f>
        <v>Tasso di copertura non 100 %</v>
      </c>
      <c r="L38" s="1873"/>
      <c r="N38" s="59" t="s">
        <v>259</v>
      </c>
      <c r="O38" s="59">
        <f>INDEX(Rechnung!$L$10:$L$650,$B$9+(_typ3-1)*14,1)</f>
        <v>0</v>
      </c>
    </row>
    <row r="39" spans="1:15">
      <c r="B39" s="1396"/>
      <c r="C39" s="1351" t="str">
        <f>IF(INDEX(Rechnung!$B$10:$K$650,$B10+(_typ3-1)*14,Rechnung!B$8)=0,"",INDEX(Rechnung!$B$10:$K$650,$B10+(_typ3-1)*14,Rechnung!B$8))</f>
        <v/>
      </c>
      <c r="D39" s="1353" t="str">
        <f>IF(INDEX(Rechnung!$B$10:$K$650,$B10+(_typ3-1)*14,Rechnung!C$8)=0,"",INDEX(Rechnung!$B$10:$K$650,$B10+(_typ3-1)*14,Rechnung!C$8))</f>
        <v/>
      </c>
      <c r="E39" s="185" t="str">
        <f>IF(INDEX(Rechnung!$B$10:$K$650,$B10+(_typ3-1)*14,Rechnung!D$8)=0,"",INDEX(Rechnung!$B$10:$K$650,$B10+(_typ3-1)*14,Rechnung!D$8))</f>
        <v/>
      </c>
      <c r="F39" s="1352" t="str">
        <f>IF(INDEX(Rechnung!$B$10:$K$650,$B10+(_typ3-1)*14,Rechnung!E$8)=0,"",INDEX(Rechnung!$B$10:$K$650,$B10+(_typ3-1)*14,Rechnung!E$8))</f>
        <v/>
      </c>
      <c r="G39" s="190"/>
      <c r="H39" s="309"/>
      <c r="I39" s="304" t="str">
        <f>INDEX(Rechnung!$O$10:$AM$650,$B10+(_typ3-1)*14,15)</f>
        <v/>
      </c>
      <c r="J39" s="59"/>
      <c r="K39" s="1110" t="str">
        <f>K25</f>
        <v/>
      </c>
      <c r="L39" s="85"/>
      <c r="N39" s="59" t="s">
        <v>258</v>
      </c>
      <c r="O39" s="59">
        <f>INDEX(Rechnung!$L$10:$L$650,$B$11+(_typ3-1)*14,1)</f>
        <v>0</v>
      </c>
    </row>
    <row r="40" spans="1:15">
      <c r="B40" s="1396"/>
      <c r="C40" s="1351" t="str">
        <f>IF(INDEX(Rechnung!$B$10:$K$650,$B11+(_typ3-1)*14,Rechnung!B$8)=0,"",INDEX(Rechnung!$B$10:$K$650,$B11+(_typ3-1)*14,Rechnung!B$8))</f>
        <v/>
      </c>
      <c r="D40" s="1353" t="str">
        <f>IF(INDEX(Rechnung!$B$10:$K$650,$B11+(_typ3-1)*14,Rechnung!C$8)=0,"",INDEX(Rechnung!$B$10:$K$650,$B11+(_typ3-1)*14,Rechnung!C$8))</f>
        <v/>
      </c>
      <c r="E40" s="185" t="str">
        <f>IF(INDEX(Rechnung!$B$10:$K$650,$B11+(_typ3-1)*14,Rechnung!D$8)=0,"",INDEX(Rechnung!$B$10:$K$650,$B11+(_typ3-1)*14,Rechnung!D$8))</f>
        <v/>
      </c>
      <c r="F40" s="1352" t="str">
        <f>IF(INDEX(Rechnung!$B$10:$K$650,$B11+(_typ3-1)*14,Rechnung!E$8)=0,"",INDEX(Rechnung!$B$10:$K$650,$B11+(_typ3-1)*14,Rechnung!E$8))</f>
        <v/>
      </c>
      <c r="G40" s="302"/>
      <c r="H40" s="196"/>
      <c r="I40" s="197"/>
      <c r="J40" s="59"/>
      <c r="K40" s="75"/>
      <c r="L40" s="85"/>
      <c r="N40" s="59" t="s">
        <v>1237</v>
      </c>
      <c r="O40" s="59">
        <f>INDEX(Rechnung!$L$10:$L$650,$B$12+(_typ3-1)*14,1)</f>
        <v>0</v>
      </c>
    </row>
    <row r="41" spans="1:15">
      <c r="B41" s="1396"/>
      <c r="C41" s="1351" t="str">
        <f>IF(INDEX(Rechnung!$B$10:$K$650,$B12+(_typ3-1)*14,Rechnung!B$8)=0,"",INDEX(Rechnung!$B$10:$K$650,$B12+(_typ3-1)*14,Rechnung!B$8))</f>
        <v/>
      </c>
      <c r="D41" s="1353" t="str">
        <f>IF(INDEX(Rechnung!$B$10:$K$650,$B12+(_typ3-1)*14,Rechnung!C$8)=0,"",INDEX(Rechnung!$B$10:$K$650,$B12+(_typ3-1)*14,Rechnung!C$8))</f>
        <v/>
      </c>
      <c r="E41" s="185" t="str">
        <f>IF(INDEX(Rechnung!$B$10:$AM$650,$B12+(_typ3-1)*14,28)=0,"",INDEX(Rechnung!$B$10:$AM$650,$B12+(_typ3-1)*14,28))</f>
        <v/>
      </c>
      <c r="F41" s="1352" t="str">
        <f>IF(INDEX(Rechnung!$B$10:$K$650,$B12+(_typ3-1)*14,Rechnung!E$8)=0,"",INDEX(Rechnung!$B$10:$K$650,$B12+(_typ3-1)*14,Rechnung!E$8))</f>
        <v/>
      </c>
      <c r="G41" s="302"/>
      <c r="H41" s="193"/>
      <c r="I41" s="198"/>
      <c r="J41" s="59"/>
      <c r="K41" s="75"/>
      <c r="L41" s="85"/>
      <c r="N41" s="59" t="s">
        <v>1354</v>
      </c>
      <c r="O41" s="59">
        <f>INDEX(Rechnung!$L$10:$L$650,$B$13+(_typ3-1)*14,1)</f>
        <v>0</v>
      </c>
    </row>
    <row r="42" spans="1:15">
      <c r="B42" s="1396"/>
      <c r="C42" s="1351" t="str">
        <f>IF(INDEX(Rechnung!$B$10:$K$650,$B13+(_typ3-1)*14,Rechnung!B$8)=0,"",INDEX(Rechnung!$B$10:$K$650,$B13+(_typ3-1)*14,Rechnung!B$8))</f>
        <v/>
      </c>
      <c r="D42" s="1353" t="str">
        <f>IF(INDEX(Rechnung!$B$10:$K$650,$B13+(_typ3-1)*14,Rechnung!C$8)=0,"",INDEX(Rechnung!$B$10:$K$650,$B13+(_typ3-1)*14,Rechnung!C$8))</f>
        <v/>
      </c>
      <c r="E42" s="185" t="str">
        <f>IF(INDEX(Rechnung!$B$10:$K$650,$B13+(_typ3-1)*14,Rechnung!D$8)=0,"",INDEX(Rechnung!$B$10:$K$650,$B13+(_typ3-1)*14,Rechnung!D$8))</f>
        <v/>
      </c>
      <c r="F42" s="1352" t="str">
        <f>IF(INDEX(Rechnung!$B$10:$K$650,$B13+(_typ3-1)*14,Rechnung!E$8)=0,"",INDEX(Rechnung!$B$10:$K$650,$B13+(_typ3-1)*14,Rechnung!E$8))</f>
        <v/>
      </c>
      <c r="G42" s="308"/>
      <c r="H42" s="193"/>
      <c r="I42" s="198"/>
      <c r="J42" s="59"/>
      <c r="K42" s="75"/>
      <c r="L42" s="85"/>
      <c r="N42" s="59" t="s">
        <v>1355</v>
      </c>
      <c r="O42" s="59">
        <f>INDEX(Rechnung!$L$10:$L$650,$B$14+(_typ3-1)*14,1)</f>
        <v>0</v>
      </c>
    </row>
    <row r="43" spans="1:15">
      <c r="B43" s="1396"/>
      <c r="C43" s="1351" t="str">
        <f>IF(INDEX(Rechnung!$B$10:$K$650,$B14+(_typ3-1)*14,Rechnung!B$8)=0,"",INDEX(Rechnung!$B$10:$K$650,$B14+(_typ3-1)*14,Rechnung!B$8))</f>
        <v/>
      </c>
      <c r="D43" s="1353" t="str">
        <f>IF(INDEX(Rechnung!$B$10:$K$650,$B14+(_typ3-1)*14,Rechnung!C$8)=0,"",INDEX(Rechnung!$B$10:$K$650,$B14+(_typ3-1)*14,Rechnung!C$8))</f>
        <v/>
      </c>
      <c r="E43" s="185" t="str">
        <f>IF(INDEX(Rechnung!$B$10:$K$650,$B14+(_typ3-1)*14,Rechnung!D$8)=0,"",INDEX(Rechnung!$B$10:$K$650,$B14+(_typ3-1)*14,Rechnung!D$8))</f>
        <v/>
      </c>
      <c r="F43" s="1352" t="str">
        <f>IF(INDEX(Rechnung!$B$10:$K$650,$B14+(_typ3-1)*14,Rechnung!E$8)=0,"",INDEX(Rechnung!$B$10:$K$650,$B14+(_typ3-1)*14,Rechnung!E$8))</f>
        <v/>
      </c>
      <c r="G43" s="308"/>
      <c r="H43" s="196"/>
      <c r="I43" s="199"/>
      <c r="J43" s="59"/>
      <c r="K43" s="75"/>
      <c r="L43" s="187" t="str">
        <f>IF(INDEX(Rechnung!$O$10:$AM$650,$B14+(_typ3-1)*14,18)=0,"",INDEX(Rechnung!$O$10:$AM$650,$B14+(_typ3-1)*14,18))</f>
        <v/>
      </c>
    </row>
    <row r="44" spans="1:15">
      <c r="B44" s="1396"/>
      <c r="C44" s="1351" t="str">
        <f>IF(INDEX(Rechnung!$B$10:$K$650,$B15+(_typ3-1)*14,Rechnung!B$8)=0,"",INDEX(Rechnung!$B$10:$K$650,$B15+(_typ3-1)*14,Rechnung!B$8))</f>
        <v/>
      </c>
      <c r="D44" s="1353" t="str">
        <f>IF(INDEX(Rechnung!$B$10:$K$650,$B15+(_typ3-1)*14,Rechnung!C$8)=0,"",INDEX(Rechnung!$B$10:$K$650,$B15+(_typ3-1)*14,Rechnung!C$8))</f>
        <v/>
      </c>
      <c r="E44" s="185" t="str">
        <f>IF(INDEX(Rechnung!$B$10:$K$650,$B15+(_typ3-1)*14,Rechnung!D$8)=0,"",INDEX(Rechnung!$B$10:$K$650,$B15+(_typ3-1)*14,Rechnung!D$8))</f>
        <v/>
      </c>
      <c r="F44" s="1352" t="str">
        <f>IF(INDEX(Rechnung!$B$10:$K$650,$B15+(_typ3-1)*14,Rechnung!E$8)=0,"",INDEX(Rechnung!$B$10:$K$650,$B15+(_typ3-1)*14,Rechnung!E$8))</f>
        <v/>
      </c>
      <c r="G44" s="204"/>
      <c r="H44" s="303"/>
      <c r="I44" s="305">
        <f>IF(INDEX(Rechnung!$O$10:$AM$650,$B15+(_typ3-1)*14,15)=0,,INDEX(Rechnung!$O$10:$AM$650,$B15+(_typ3-1)*14,15))</f>
        <v>0</v>
      </c>
      <c r="J44" s="59"/>
      <c r="K44" s="188">
        <f>INDEX(Rechnung!$O$10:$AM$650,$B15+(_typ3-1)*14,17)</f>
        <v>0</v>
      </c>
      <c r="L44" s="189">
        <f>INDEX(Rechnung!$O$10:$AM$650,$B15+(_typ3-1)*14,18)</f>
        <v>0</v>
      </c>
    </row>
    <row r="45" spans="1:15">
      <c r="B45" s="1396"/>
      <c r="C45" s="1351" t="str">
        <f>IF(INDEX(Rechnung!$B$10:$K$650,$B16+(_typ3-1)*14,Rechnung!B$8)=0,"",INDEX(Rechnung!$B$10:$K$650,$B16+(_typ3-1)*14,Rechnung!B$8))</f>
        <v/>
      </c>
      <c r="D45" s="1353" t="str">
        <f>IF(INDEX(Rechnung!$B$10:$K$650,$B16+(_typ3-1)*14,Rechnung!C$8)=0,"",INDEX(Rechnung!$B$10:$K$650,$B16+(_typ3-1)*14,Rechnung!C$8))</f>
        <v/>
      </c>
      <c r="E45" s="185" t="str">
        <f>IF(INDEX(Rechnung!$B$10:$K$650,$B16+(_typ3-1)*14,Rechnung!D$8)=0,"",INDEX(Rechnung!$B$10:$K$650,$B16+(_typ3-1)*14,Rechnung!D$8))</f>
        <v/>
      </c>
      <c r="F45" s="1352" t="str">
        <f>IF(INDEX(Rechnung!$B$10:$K$650,$B16+(_typ3-1)*14,Rechnung!E$8)=0,"",INDEX(Rechnung!$B$10:$K$650,$B16+(_typ3-1)*14,Rechnung!E$8))</f>
        <v/>
      </c>
      <c r="G45" s="205"/>
      <c r="H45" s="303"/>
      <c r="I45" s="305">
        <f>IF(INDEX(Rechnung!$O$10:$AM$650,$B16+(_typ3-1)*14,15)=0,,INDEX(Rechnung!$O$10:$AM$650,$B16+(_typ3-1)*14,15))</f>
        <v>0</v>
      </c>
      <c r="J45" s="59"/>
      <c r="K45" s="216">
        <f>IF(INDEX(Rechnung!$O$10:$AM$650,$B16+(_typ3-1)*14,17)=0,,INDEX(Rechnung!$O$10:$AM$650,$B16+(_typ3-1)*14,17))</f>
        <v>0</v>
      </c>
      <c r="L45" s="217">
        <f>IF(INDEX(Rechnung!$O$10:$AM$650,$B16+(_typ3-1)*14,18)=0,,INDEX(Rechnung!$O$10:$AM$650,$B16+(_typ3-1)*14,18))</f>
        <v>0</v>
      </c>
      <c r="N45" s="59" t="s">
        <v>1296</v>
      </c>
      <c r="O45" s="59"/>
    </row>
    <row r="46" spans="1:15">
      <c r="B46" s="1400"/>
      <c r="C46" s="1354" t="str">
        <f>IF(INDEX(Rechnung!$B$10:$K$650,$B17+(_typ3-1)*14,Rechnung!B$8)=0,"",INDEX(Rechnung!$B$10:$K$650,$B17+(_typ3-1)*14,Rechnung!B$8))</f>
        <v/>
      </c>
      <c r="D46" s="1355" t="str">
        <f>IF(INDEX(Rechnung!$B$10:$K$650,$B17+(_typ3-1)*14,Rechnung!C$8)=0,"",INDEX(Rechnung!$B$10:$K$650,$B17+(_typ3-1)*14,Rechnung!C$8))</f>
        <v/>
      </c>
      <c r="E46" s="186" t="str">
        <f>IF(INDEX(Rechnung!$B$10:$K$650,$B17+(_typ3-1)*14,Rechnung!D$8)=0,"",INDEX(Rechnung!$B$10:$K$650,$B17+(_typ3-1)*14,Rechnung!D$8))</f>
        <v/>
      </c>
      <c r="F46" s="1356" t="str">
        <f>IF(INDEX(Rechnung!$B$10:$K$650,$B17+(_typ3-1)*14,Rechnung!E$8)=0,"",INDEX(Rechnung!$B$10:$K$650,$B17+(_typ3-1)*14,Rechnung!E$8))</f>
        <v/>
      </c>
      <c r="G46" s="206"/>
      <c r="H46" s="306"/>
      <c r="I46" s="307">
        <f>IF(INDEX(Rechnung!$O$10:$AM$650,$B17+(_typ3-1)*14,15)=0,,INDEX(Rechnung!$O$10:$AM$650,$B17+(_typ3-1)*14,15))</f>
        <v>0</v>
      </c>
      <c r="J46" s="59"/>
      <c r="K46" s="299"/>
      <c r="L46" s="299"/>
      <c r="N46" s="59">
        <f ca="1">OFFSET(Rechnung!$J$10,(_typ3-1)*14,0)</f>
        <v>0</v>
      </c>
      <c r="O46" s="59">
        <f ca="1">IF(Warmwasser,OFFSET(Rechnung!$K$10,(_typ3-1)*14,0),0)</f>
        <v>0</v>
      </c>
    </row>
    <row r="47" spans="1:15">
      <c r="B47" s="1396"/>
      <c r="C47" s="129"/>
      <c r="D47" s="129"/>
      <c r="E47" s="129"/>
      <c r="F47" s="129"/>
      <c r="G47" s="59"/>
      <c r="H47" s="134"/>
      <c r="I47" s="136"/>
      <c r="J47" s="59"/>
      <c r="K47" s="1374" t="str">
        <f>IF(INDEX(Rechnung!$O$10:$AM$650,$B18+(_typ3-1)*14,17)=0,"",INDEX(Rechnung!$O$10:$AM$650,$B18+(_typ3-1)*14,17))</f>
        <v/>
      </c>
      <c r="L47" s="59"/>
    </row>
    <row r="48" spans="1:15" hidden="1">
      <c r="B48" s="1396"/>
      <c r="C48" s="129"/>
      <c r="D48" s="129"/>
      <c r="E48" s="129"/>
      <c r="F48" s="129"/>
      <c r="G48" s="59"/>
      <c r="H48" s="129"/>
      <c r="I48" s="129"/>
      <c r="J48" s="59"/>
      <c r="K48" s="59"/>
      <c r="L48" s="59"/>
    </row>
    <row r="49" spans="1:15" ht="16.2" customHeight="1">
      <c r="A49" s="1397" t="s">
        <v>110</v>
      </c>
      <c r="B49" s="1398">
        <v>15</v>
      </c>
      <c r="C49" s="21" t="s">
        <v>1421</v>
      </c>
      <c r="D49" s="1"/>
      <c r="E49" s="9"/>
      <c r="F49" s="25"/>
      <c r="G49" s="15"/>
      <c r="H49" s="20"/>
      <c r="I49" s="26"/>
      <c r="J49" s="59"/>
      <c r="K49" s="1357" t="s">
        <v>1620</v>
      </c>
      <c r="L49" s="14"/>
      <c r="N49" s="164" t="s">
        <v>566</v>
      </c>
      <c r="O49" s="290">
        <f>_typ4</f>
        <v>1</v>
      </c>
    </row>
    <row r="50" spans="1:15">
      <c r="B50" s="1396"/>
      <c r="C50" s="1348" t="str">
        <f>IF(INDEX(Rechnung!$B$10:$K$650,$B7+(_typ4-1)*14,Rechnung!B$8)=0,"",INDEX(Rechnung!$B$10:$K$650,$B7+(_typ4-1)*14,Rechnung!B$8))</f>
        <v/>
      </c>
      <c r="D50" s="1349" t="str">
        <f>IF(INDEX(Rechnung!$B$10:$K$650,$B7+(_typ4-1)*14,Rechnung!C$8)=0,"",INDEX(Rechnung!$B$10:$K$650,$B7+(_typ4-1)*14,Rechnung!C$8))</f>
        <v/>
      </c>
      <c r="E50" s="751" t="str">
        <f>IF(INDEX(Rechnung!$B$10:$K$650,$B7+(_typ4-1)*14,Rechnung!D$8)=0,"",INDEX(Rechnung!$B$10:$K$650,$B7+(_typ4-1)*14,Rechnung!D$8))</f>
        <v/>
      </c>
      <c r="F50" s="1870"/>
      <c r="G50" s="1871"/>
      <c r="H50" s="191"/>
      <c r="I50" s="192"/>
      <c r="J50" s="59"/>
      <c r="K50" s="1358" t="s">
        <v>858</v>
      </c>
      <c r="L50" s="11" t="s">
        <v>264</v>
      </c>
    </row>
    <row r="51" spans="1:15">
      <c r="B51" s="1396"/>
      <c r="C51" s="1351" t="str">
        <f>IF(INDEX(Rechnung!$B$10:$K$650,$B8+(_typ4-1)*14,Rechnung!B$8)=0,"",INDEX(Rechnung!$B$10:$K$650,$B8+(_typ4-1)*14,Rechnung!B$8))</f>
        <v/>
      </c>
      <c r="D51" s="1353" t="str">
        <f>IF(INDEX(Rechnung!$B$10:$K$650,$B8+(_typ4-1)*14,Rechnung!C$8)=0,"",INDEX(Rechnung!$B$10:$K$650,$B8+(_typ4-1)*14,Rechnung!C$8))</f>
        <v/>
      </c>
      <c r="E51" s="185" t="str">
        <f>IF(INDEX(Rechnung!$B$10:$K$650,$B8+(_typ4-1)*14,Rechnung!D$8)=0,"",INDEX(Rechnung!$B$10:$K$650,$B8+(_typ4-1)*14,Rechnung!D$8))</f>
        <v/>
      </c>
      <c r="F51" s="1352" t="str">
        <f>IF(INDEX(Rechnung!$B$10:$K$650,$B8+(_typ4-1)*14,Rechnung!E$8)=0,"",INDEX(Rechnung!$B$10:$K$650,$B8+(_typ4-1)*14,Rechnung!E$8))</f>
        <v/>
      </c>
      <c r="G51" s="826" t="str">
        <f>IF(INDEX(Rechnung!$B$10:$AM$650,$B8+(_typ4-1)*14,Rechnung!AJ$8)=0,"",INDEX(Rechnung!$B$10:$AM$650,$B8+(_typ4-1)*14,Rechnung!AJ$8))</f>
        <v/>
      </c>
      <c r="H51" s="193"/>
      <c r="I51" s="167"/>
      <c r="J51" s="59"/>
      <c r="K51" s="68"/>
      <c r="L51" s="183"/>
      <c r="N51" s="164" t="s">
        <v>387</v>
      </c>
      <c r="O51" s="164" t="s">
        <v>1238</v>
      </c>
    </row>
    <row r="52" spans="1:15">
      <c r="B52" s="1396"/>
      <c r="C52" s="1351" t="str">
        <f>IF(INDEX(Rechnung!$B$10:$K$650,$B9+(_typ4-1)*14,Rechnung!B$8)=0,"",INDEX(Rechnung!$B$10:$K$650,$B9+(_typ4-1)*14,Rechnung!B$8))</f>
        <v/>
      </c>
      <c r="D52" s="1353" t="str">
        <f>IF(INDEX(Rechnung!$B$10:$K$650,$B9+(_typ4-1)*14,Rechnung!C$8)=0,"",INDEX(Rechnung!$B$10:$K$650,$B9+(_typ4-1)*14,Rechnung!C$8))</f>
        <v/>
      </c>
      <c r="E52" s="185" t="str">
        <f>IF(INDEX(Rechnung!$B$10:$K$650,$B9+(_typ4-1)*14,Rechnung!D$8)=0,"",INDEX(Rechnung!$B$10:$K$650,$B9+(_typ4-1)*14,Rechnung!D$8))</f>
        <v/>
      </c>
      <c r="F52" s="1352" t="str">
        <f>IF(INDEX(Rechnung!$B$10:$K$650,$B9+(_typ4-1)*14,Rechnung!E$8)=0,"",INDEX(Rechnung!$B$10:$K$650,$B9+(_typ4-1)*14,Rechnung!E$8))</f>
        <v/>
      </c>
      <c r="G52" s="605"/>
      <c r="H52" s="193"/>
      <c r="I52" s="167"/>
      <c r="J52" s="59"/>
      <c r="K52" s="1872" t="str">
        <f>IF(OR(DeckungsgradHeizung&lt;99.5,DeckungsgradHeizung&gt;101),"Tasso di copertura non 100 %",IF(OR(DeckungsgradWW&gt;101,AND(DeckungsgradWW&lt;99,WWSoll)),"Tasso copert. AC non 100%",""))</f>
        <v>Tasso di copertura non 100 %</v>
      </c>
      <c r="L52" s="1873"/>
      <c r="N52" s="59" t="s">
        <v>259</v>
      </c>
      <c r="O52" s="59">
        <f>INDEX(Rechnung!$L$10:$L$650,$B$9+(_typ4-1)*14,1)</f>
        <v>0</v>
      </c>
    </row>
    <row r="53" spans="1:15">
      <c r="B53" s="1396"/>
      <c r="C53" s="1351" t="str">
        <f>IF(INDEX(Rechnung!$B$10:$K$650,$B10+(_typ4-1)*14,Rechnung!B$8)=0,"",INDEX(Rechnung!$B$10:$K$650,$B10+(_typ4-1)*14,Rechnung!B$8))</f>
        <v/>
      </c>
      <c r="D53" s="1353" t="str">
        <f>IF(INDEX(Rechnung!$B$10:$K$650,$B10+(_typ4-1)*14,Rechnung!C$8)=0,"",INDEX(Rechnung!$B$10:$K$650,$B10+(_typ4-1)*14,Rechnung!C$8))</f>
        <v/>
      </c>
      <c r="E53" s="185" t="str">
        <f>IF(INDEX(Rechnung!$B$10:$K$650,$B10+(_typ4-1)*14,Rechnung!D$8)=0,"",INDEX(Rechnung!$B$10:$K$650,$B10+(_typ4-1)*14,Rechnung!D$8))</f>
        <v/>
      </c>
      <c r="F53" s="1352" t="str">
        <f>IF(INDEX(Rechnung!$B$10:$K$650,$B10+(_typ4-1)*14,Rechnung!E$8)=0,"",INDEX(Rechnung!$B$10:$K$650,$B10+(_typ4-1)*14,Rechnung!E$8))</f>
        <v/>
      </c>
      <c r="G53" s="207"/>
      <c r="H53" s="310"/>
      <c r="I53" s="304" t="str">
        <f>INDEX(Rechnung!$O$10:$AM$650,$B10+(_typ4-1)*14,22)</f>
        <v/>
      </c>
      <c r="J53" s="59"/>
      <c r="K53" s="1110" t="str">
        <f>K39</f>
        <v/>
      </c>
      <c r="L53" s="85"/>
      <c r="N53" s="59" t="s">
        <v>258</v>
      </c>
      <c r="O53" s="59">
        <f>INDEX(Rechnung!$L$10:$L$650,$B$11+(_typ4-1)*14,1)</f>
        <v>0</v>
      </c>
    </row>
    <row r="54" spans="1:15">
      <c r="B54" s="1400"/>
      <c r="C54" s="1351" t="str">
        <f>IF(INDEX(Rechnung!$B$10:$K$650,$B11+(_typ4-1)*14,Rechnung!B$8)=0,"",INDEX(Rechnung!$B$10:$K$650,$B11+(_typ4-1)*14,Rechnung!B$8))</f>
        <v/>
      </c>
      <c r="D54" s="1353" t="str">
        <f>IF(INDEX(Rechnung!$B$10:$K$650,$B11+(_typ4-1)*14,Rechnung!C$8)=0,"",INDEX(Rechnung!$B$10:$K$650,$B11+(_typ4-1)*14,Rechnung!C$8))</f>
        <v/>
      </c>
      <c r="E54" s="185" t="str">
        <f>IF(INDEX(Rechnung!$B$10:$K$650,$B11+(_typ4-1)*14,Rechnung!D$8)=0,"",INDEX(Rechnung!$B$10:$K$650,$B11+(_typ4-1)*14,Rechnung!D$8))</f>
        <v/>
      </c>
      <c r="F54" s="1352" t="str">
        <f>IF(INDEX(Rechnung!$B$10:$K$650,$B11+(_typ4-1)*14,Rechnung!E$8)=0,"",INDEX(Rechnung!$B$10:$K$650,$B11+(_typ4-1)*14,Rechnung!E$8))</f>
        <v/>
      </c>
      <c r="G54" s="302"/>
      <c r="H54" s="196"/>
      <c r="I54" s="197"/>
      <c r="J54" s="59"/>
      <c r="K54" s="75"/>
      <c r="L54" s="85"/>
      <c r="N54" s="59" t="s">
        <v>1237</v>
      </c>
      <c r="O54" s="59">
        <f>INDEX(Rechnung!$L$10:$L$650,$B$12+(_typ4-1)*14,1)</f>
        <v>0</v>
      </c>
    </row>
    <row r="55" spans="1:15">
      <c r="B55" s="1400"/>
      <c r="C55" s="1351" t="str">
        <f>IF(INDEX(Rechnung!$B$10:$K$650,$B12+(_typ4-1)*14,Rechnung!B$8)=0,"",INDEX(Rechnung!$B$10:$K$650,$B12+(_typ4-1)*14,Rechnung!B$8))</f>
        <v/>
      </c>
      <c r="D55" s="1353" t="str">
        <f>IF(INDEX(Rechnung!$B$10:$K$650,$B12+(_typ4-1)*14,Rechnung!C$8)=0,"",INDEX(Rechnung!$B$10:$K$650,$B12+(_typ4-1)*14,Rechnung!C$8))</f>
        <v/>
      </c>
      <c r="E55" s="185" t="str">
        <f>IF(INDEX(Rechnung!$B$10:$AM$650,$B12+(_typ4-1)*14,35)=0,"",INDEX(Rechnung!$B$10:$AM$650,$B12+(_typ4-1)*14,35))</f>
        <v/>
      </c>
      <c r="F55" s="1352" t="str">
        <f>IF(INDEX(Rechnung!$B$10:$K$650,$B12+(_typ4-1)*14,Rechnung!E$8)=0,"",INDEX(Rechnung!$B$10:$K$650,$B12+(_typ4-1)*14,Rechnung!E$8))</f>
        <v/>
      </c>
      <c r="G55" s="302"/>
      <c r="H55" s="193"/>
      <c r="I55" s="198"/>
      <c r="J55" s="59"/>
      <c r="K55" s="75"/>
      <c r="L55" s="85"/>
      <c r="N55" s="59" t="s">
        <v>1354</v>
      </c>
      <c r="O55" s="59">
        <f>INDEX(Rechnung!$L$10:$L$650,$B$13+(_typ4-1)*14,1)</f>
        <v>0</v>
      </c>
    </row>
    <row r="56" spans="1:15">
      <c r="B56" s="1400"/>
      <c r="C56" s="1351" t="str">
        <f>IF(INDEX(Rechnung!$B$10:$K$650,$B13+(_typ4-1)*14,Rechnung!B$8)=0,"",INDEX(Rechnung!$B$10:$K$650,$B13+(_typ4-1)*14,Rechnung!B$8))</f>
        <v/>
      </c>
      <c r="D56" s="1353" t="str">
        <f>IF(INDEX(Rechnung!$B$10:$K$650,$B13+(_typ4-1)*14,Rechnung!C$8)=0,"",INDEX(Rechnung!$B$10:$K$650,$B13+(_typ4-1)*14,Rechnung!C$8))</f>
        <v/>
      </c>
      <c r="E56" s="185" t="str">
        <f>IF(INDEX(Rechnung!$B$10:$K$650,$B13+(_typ4-1)*14,Rechnung!D$8)=0,"",INDEX(Rechnung!$B$10:$K$650,$B13+(_typ4-1)*14,Rechnung!D$8))</f>
        <v/>
      </c>
      <c r="F56" s="1352" t="str">
        <f>IF(INDEX(Rechnung!$B$10:$K$650,$B13+(_typ4-1)*14,Rechnung!E$8)=0,"",INDEX(Rechnung!$B$10:$K$650,$B13+(_typ4-1)*14,Rechnung!E$8))</f>
        <v/>
      </c>
      <c r="G56" s="308"/>
      <c r="H56" s="193"/>
      <c r="I56" s="198"/>
      <c r="J56" s="59"/>
      <c r="K56" s="75"/>
      <c r="L56" s="85"/>
      <c r="N56" s="59" t="s">
        <v>1355</v>
      </c>
      <c r="O56" s="59">
        <f>INDEX(Rechnung!$L$10:$L$650,$B$14+(_typ4-1)*14,1)</f>
        <v>0</v>
      </c>
    </row>
    <row r="57" spans="1:15">
      <c r="B57" s="1400"/>
      <c r="C57" s="1351" t="str">
        <f>IF(INDEX(Rechnung!$B$10:$K$650,$B14+(_typ4-1)*14,Rechnung!B$8)=0,"",INDEX(Rechnung!$B$10:$K$650,$B14+(_typ4-1)*14,Rechnung!B$8))</f>
        <v/>
      </c>
      <c r="D57" s="1353" t="str">
        <f>IF(INDEX(Rechnung!$B$10:$K$650,$B14+(_typ4-1)*14,Rechnung!C$8)=0,"",INDEX(Rechnung!$B$10:$K$650,$B14+(_typ4-1)*14,Rechnung!C$8))</f>
        <v/>
      </c>
      <c r="E57" s="185" t="str">
        <f>IF(INDEX(Rechnung!$B$10:$K$650,$B14+(_typ4-1)*14,Rechnung!D$8)=0,"",INDEX(Rechnung!$B$10:$K$650,$B14+(_typ4-1)*14,Rechnung!D$8))</f>
        <v/>
      </c>
      <c r="F57" s="1352" t="str">
        <f>IF(INDEX(Rechnung!$B$10:$K$650,$B14+(_typ4-1)*14,Rechnung!E$8)=0,"",INDEX(Rechnung!$B$10:$K$650,$B14+(_typ4-1)*14,Rechnung!E$8))</f>
        <v/>
      </c>
      <c r="G57" s="308"/>
      <c r="H57" s="196"/>
      <c r="I57" s="199"/>
      <c r="J57" s="59"/>
      <c r="K57" s="75"/>
      <c r="L57" s="187" t="str">
        <f>IF(INDEX(Rechnung!$O$10:$AM$650,$B14+(_typ4-1)*14,25)=0,"",INDEX(Rechnung!$O$10:$AM$650,$B14+(_typ4-1)*14,25))</f>
        <v/>
      </c>
    </row>
    <row r="58" spans="1:15">
      <c r="B58" s="1400"/>
      <c r="C58" s="1351" t="str">
        <f>IF(INDEX(Rechnung!$B$10:$K$650,$B15+(_typ4-1)*14,Rechnung!B$8)=0,"",INDEX(Rechnung!$B$10:$K$650,$B15+(_typ4-1)*14,Rechnung!B$8))</f>
        <v/>
      </c>
      <c r="D58" s="1353" t="str">
        <f>IF(INDEX(Rechnung!$B$10:$K$650,$B15+(_typ4-1)*14,Rechnung!C$8)=0,"",INDEX(Rechnung!$B$10:$K$650,$B15+(_typ4-1)*14,Rechnung!C$8))</f>
        <v/>
      </c>
      <c r="E58" s="185" t="str">
        <f>IF(INDEX(Rechnung!$B$10:$K$650,$B15+(_typ4-1)*14,Rechnung!D$8)=0,"",INDEX(Rechnung!$B$10:$K$650,$B15+(_typ4-1)*14,Rechnung!D$8))</f>
        <v/>
      </c>
      <c r="F58" s="1352" t="str">
        <f>IF(INDEX(Rechnung!$B$10:$K$650,$B15+(_typ4-1)*14,Rechnung!E$8)=0,"",INDEX(Rechnung!$B$10:$K$650,$B15+(_typ4-1)*14,Rechnung!E$8))</f>
        <v/>
      </c>
      <c r="G58" s="208"/>
      <c r="H58" s="303"/>
      <c r="I58" s="848">
        <f>IF(INDEX(Rechnung!$O$10:$AM$650,$B15+(_typ4-1)*14,22)=0,,INDEX(Rechnung!$O$10:$AM$650,$B15+(_typ4-1)*14,22))</f>
        <v>0</v>
      </c>
      <c r="J58" s="59"/>
      <c r="K58" s="188">
        <f>INDEX(Rechnung!$O$10:$AM$650,$B15+(_typ4-1)*14,24)</f>
        <v>0</v>
      </c>
      <c r="L58" s="189">
        <f>INDEX(Rechnung!$O$10:$AM$650,$B15+(_typ4-1)*14,25)</f>
        <v>0</v>
      </c>
    </row>
    <row r="59" spans="1:15">
      <c r="B59" s="1400"/>
      <c r="C59" s="1351" t="str">
        <f>IF(INDEX(Rechnung!$B$10:$K$650,$B16+(_typ4-1)*14,Rechnung!B$8)=0,"",INDEX(Rechnung!$B$10:$K$650,$B16+(_typ4-1)*14,Rechnung!B$8))</f>
        <v/>
      </c>
      <c r="D59" s="1353" t="str">
        <f>IF(INDEX(Rechnung!$B$10:$K$650,$B16+(_typ4-1)*14,Rechnung!C$8)=0,"",INDEX(Rechnung!$B$10:$K$650,$B16+(_typ4-1)*14,Rechnung!C$8))</f>
        <v/>
      </c>
      <c r="E59" s="185" t="str">
        <f>IF(INDEX(Rechnung!$B$10:$K$650,$B16+(_typ4-1)*14,Rechnung!D$8)=0,"",INDEX(Rechnung!$B$10:$K$650,$B16+(_typ4-1)*14,Rechnung!D$8))</f>
        <v/>
      </c>
      <c r="F59" s="1352" t="str">
        <f>IF(INDEX(Rechnung!$B$10:$K$650,$B16+(_typ4-1)*14,Rechnung!E$8)=0,"",INDEX(Rechnung!$B$10:$K$650,$B16+(_typ4-1)*14,Rechnung!E$8))</f>
        <v/>
      </c>
      <c r="G59" s="205"/>
      <c r="H59" s="303"/>
      <c r="I59" s="848">
        <f>IF(INDEX(Rechnung!$O$10:$AM$650,$B16+(_typ4-1)*14,22)=0,,INDEX(Rechnung!$O$10:$AM$650,$B16+(_typ4-1)*14,22))</f>
        <v>0</v>
      </c>
      <c r="J59" s="59"/>
      <c r="K59" s="216">
        <f>IF(INDEX(Rechnung!$O$10:$AM$650,$B16+(_typ4-1)*14,24)=0,,INDEX(Rechnung!$O$10:$AM$650,$B16+(_typ4-1)*14,24))</f>
        <v>0</v>
      </c>
      <c r="L59" s="217">
        <f>IF(INDEX(Rechnung!$O$10:$AM$650,$B16+(_typ4-1)*14,25)=0,,INDEX(Rechnung!$O$10:$AM$650,$B16+(_typ4-1)*14,25))</f>
        <v>0</v>
      </c>
      <c r="N59" s="59" t="s">
        <v>1296</v>
      </c>
      <c r="O59" s="59"/>
    </row>
    <row r="60" spans="1:15">
      <c r="B60" s="1400"/>
      <c r="C60" s="1354" t="str">
        <f>IF(INDEX(Rechnung!$B$10:$K$650,$B17+(_typ4-1)*14,Rechnung!B$8)=0,"",INDEX(Rechnung!$B$10:$K$650,$B17+(_typ4-1)*14,Rechnung!B$8))</f>
        <v/>
      </c>
      <c r="D60" s="1355" t="str">
        <f>IF(INDEX(Rechnung!$B$10:$K$650,$B17+(_typ4-1)*14,Rechnung!C$8)=0,"",INDEX(Rechnung!$B$10:$K$650,$B17+(_typ4-1)*14,Rechnung!C$8))</f>
        <v/>
      </c>
      <c r="E60" s="186" t="str">
        <f>IF(INDEX(Rechnung!$B$10:$K$650,$B17+(_typ4-1)*14,Rechnung!D$8)=0,"",INDEX(Rechnung!$B$10:$K$650,$B17+(_typ4-1)*14,Rechnung!D$8))</f>
        <v/>
      </c>
      <c r="F60" s="1356" t="str">
        <f>IF(INDEX(Rechnung!$B$10:$K$650,$B17+(_typ4-1)*14,Rechnung!E$8)=0,"",INDEX(Rechnung!$B$10:$K$650,$B17+(_typ4-1)*14,Rechnung!E$8))</f>
        <v/>
      </c>
      <c r="G60" s="206"/>
      <c r="H60" s="306"/>
      <c r="I60" s="307">
        <f>IF(INDEX(Rechnung!$O$10:$AM$650,$B17+(_typ4-1)*14,22)=0,,INDEX(Rechnung!$O$10:$AM$650,$B17+(_typ4-1)*14,22))</f>
        <v>0</v>
      </c>
      <c r="J60" s="59"/>
      <c r="K60" s="299"/>
      <c r="L60" s="299"/>
      <c r="N60" s="59">
        <f ca="1">OFFSET(Rechnung!$J$10,(_typ4-1)*14,0)</f>
        <v>0</v>
      </c>
      <c r="O60" s="59">
        <f ca="1">IF(Warmwasser,OFFSET(Rechnung!$K$10,(_typ4-1)*14,0),0)</f>
        <v>0</v>
      </c>
    </row>
    <row r="61" spans="1:15">
      <c r="B61" s="1400"/>
      <c r="C61" s="129"/>
      <c r="D61" s="129"/>
      <c r="E61" s="129"/>
      <c r="F61" s="129"/>
      <c r="G61" s="59"/>
      <c r="H61" s="129"/>
      <c r="I61" s="129"/>
      <c r="J61" s="59"/>
      <c r="K61" s="1374" t="str">
        <f>IF(INDEX(Rechnung!$O$10:$AM$650,$B18+(_typ4-1)*14,24)=0,"",INDEX(Rechnung!$O$10:$AM$650,$B18+(_typ4-1)*14,24))</f>
        <v/>
      </c>
      <c r="L61" s="59"/>
    </row>
    <row r="62" spans="1:15">
      <c r="A62" s="1397" t="s">
        <v>110</v>
      </c>
      <c r="B62" s="1400">
        <v>16</v>
      </c>
      <c r="C62" s="262" t="s">
        <v>1693</v>
      </c>
      <c r="D62" s="221"/>
      <c r="E62" s="221" t="s">
        <v>806</v>
      </c>
      <c r="F62" s="17"/>
      <c r="G62" s="228"/>
      <c r="H62" s="221"/>
      <c r="I62" s="263"/>
      <c r="J62" s="74"/>
      <c r="K62" s="1361" t="s">
        <v>1620</v>
      </c>
      <c r="L62" s="268"/>
    </row>
    <row r="63" spans="1:15">
      <c r="A63" s="1397" t="s">
        <v>110</v>
      </c>
      <c r="B63" s="1400">
        <v>17</v>
      </c>
      <c r="C63" s="1362" t="s">
        <v>807</v>
      </c>
      <c r="D63" s="1363"/>
      <c r="E63" s="264"/>
      <c r="F63" s="1878"/>
      <c r="G63" s="1879"/>
      <c r="H63" s="146"/>
      <c r="I63" s="132"/>
      <c r="J63" s="74"/>
      <c r="K63" s="1350" t="s">
        <v>858</v>
      </c>
      <c r="L63" s="1350" t="s">
        <v>264</v>
      </c>
    </row>
    <row r="64" spans="1:15" ht="13.8">
      <c r="A64" s="1397" t="s">
        <v>110</v>
      </c>
      <c r="B64" s="1400">
        <v>18</v>
      </c>
      <c r="C64" s="1364" t="s">
        <v>42</v>
      </c>
      <c r="D64" s="1352" t="s">
        <v>799</v>
      </c>
      <c r="E64" s="166"/>
      <c r="F64" s="166"/>
      <c r="G64" s="265"/>
      <c r="H64" s="300"/>
      <c r="I64" s="1283"/>
      <c r="J64" s="74"/>
      <c r="K64" s="68"/>
      <c r="L64" s="183"/>
    </row>
    <row r="65" spans="1:12" ht="13.8">
      <c r="A65" s="1397" t="s">
        <v>110</v>
      </c>
      <c r="B65" s="1400">
        <v>19</v>
      </c>
      <c r="C65" s="1364" t="s">
        <v>652</v>
      </c>
      <c r="D65" s="1352" t="s">
        <v>799</v>
      </c>
      <c r="E65" s="166"/>
      <c r="F65" s="166"/>
      <c r="G65" s="265"/>
      <c r="H65" s="300"/>
      <c r="I65" s="839">
        <f>(qw*L66+qh/3.6*K66)/100</f>
        <v>0</v>
      </c>
      <c r="J65" s="74"/>
      <c r="K65" s="1876"/>
      <c r="L65" s="1877"/>
    </row>
    <row r="66" spans="1:12" ht="13.8">
      <c r="A66" s="1397" t="s">
        <v>110</v>
      </c>
      <c r="B66" s="1400">
        <v>20</v>
      </c>
      <c r="C66" s="1365" t="s">
        <v>43</v>
      </c>
      <c r="D66" s="1356" t="s">
        <v>799</v>
      </c>
      <c r="E66" s="266"/>
      <c r="F66" s="266"/>
      <c r="G66" s="267"/>
      <c r="H66" s="301"/>
      <c r="I66" s="1284"/>
      <c r="J66" s="74"/>
      <c r="K66" s="1285"/>
      <c r="L66" s="1285"/>
    </row>
    <row r="67" spans="1:12" ht="4.6500000000000004" customHeight="1">
      <c r="B67" s="1400"/>
      <c r="C67" s="129"/>
      <c r="D67" s="129"/>
      <c r="E67" s="129"/>
      <c r="F67" s="129"/>
      <c r="G67" s="59"/>
      <c r="H67" s="129"/>
      <c r="I67" s="129"/>
      <c r="J67" s="59"/>
      <c r="K67" s="59"/>
      <c r="L67" s="59"/>
    </row>
    <row r="68" spans="1:12">
      <c r="A68" s="1397" t="s">
        <v>110</v>
      </c>
      <c r="B68" s="1400">
        <v>21</v>
      </c>
      <c r="C68" s="129"/>
      <c r="D68" s="129"/>
      <c r="E68" s="1875" t="str">
        <f>IF(OR(DeckungsgradHeizung&lt;99.5,DeckungsgradHeizung&gt;101,DeckungsgradWW&gt;101),"Tasso di copertura non 100 %","Controllo del tasso di copertura [%]")</f>
        <v>Tasso di copertura non 100 %</v>
      </c>
      <c r="F68" s="1875"/>
      <c r="G68" s="1875"/>
      <c r="H68" s="1875"/>
      <c r="I68" s="1875"/>
      <c r="J68" s="59"/>
      <c r="K68" s="261">
        <f>K16+K30+K44+K58+K66</f>
        <v>0</v>
      </c>
      <c r="L68" s="261">
        <f>IF(qw=0,,SUM(L16+L30+L44+L58+L66))</f>
        <v>0</v>
      </c>
    </row>
    <row r="69" spans="1:12">
      <c r="B69" s="1400"/>
      <c r="C69" s="129"/>
      <c r="D69" s="129"/>
      <c r="E69" s="129"/>
      <c r="F69" s="129"/>
      <c r="G69" s="59"/>
      <c r="H69" s="129"/>
      <c r="I69" s="129"/>
      <c r="J69" s="59"/>
      <c r="K69" s="74"/>
      <c r="L69" s="74"/>
    </row>
    <row r="70" spans="1:12">
      <c r="B70" s="1400"/>
      <c r="C70" s="129"/>
      <c r="D70" s="129"/>
      <c r="E70" s="129"/>
      <c r="F70" s="129"/>
      <c r="G70" s="59"/>
      <c r="H70" s="129"/>
      <c r="I70" s="129"/>
      <c r="J70" s="59"/>
      <c r="K70" s="59"/>
      <c r="L70" s="59"/>
    </row>
    <row r="71" spans="1:12">
      <c r="B71" s="1400"/>
      <c r="C71" s="129"/>
      <c r="D71" s="129"/>
      <c r="E71" s="129"/>
      <c r="F71" s="129"/>
      <c r="G71" s="59"/>
      <c r="H71" s="129"/>
      <c r="I71" s="129"/>
      <c r="J71" s="59"/>
      <c r="K71" s="59"/>
      <c r="L71" s="59"/>
    </row>
    <row r="72" spans="1:12">
      <c r="B72" s="1400"/>
      <c r="C72" s="129"/>
      <c r="D72" s="129"/>
      <c r="E72" s="129"/>
      <c r="F72" s="129"/>
      <c r="G72" s="59"/>
      <c r="H72" s="129"/>
      <c r="I72" s="129"/>
      <c r="J72" s="59"/>
      <c r="K72" s="59"/>
      <c r="L72" s="59"/>
    </row>
    <row r="73" spans="1:12">
      <c r="B73" s="1400"/>
      <c r="C73" s="129"/>
      <c r="D73" s="129"/>
      <c r="E73" s="129"/>
      <c r="F73" s="129"/>
      <c r="G73" s="59"/>
      <c r="H73" s="129"/>
      <c r="I73" s="129"/>
      <c r="J73" s="59"/>
      <c r="K73" s="59"/>
      <c r="L73" s="59"/>
    </row>
    <row r="74" spans="1:12">
      <c r="B74" s="1400"/>
      <c r="C74" s="129"/>
      <c r="D74" s="129"/>
      <c r="E74" s="129"/>
      <c r="F74" s="129"/>
      <c r="G74" s="59"/>
      <c r="H74" s="129"/>
      <c r="I74" s="129"/>
      <c r="J74" s="59"/>
      <c r="K74" s="59"/>
      <c r="L74" s="59"/>
    </row>
    <row r="75" spans="1:12">
      <c r="B75" s="1400"/>
      <c r="C75" s="129"/>
      <c r="D75" s="129"/>
      <c r="E75" s="129"/>
      <c r="F75" s="129"/>
      <c r="G75" s="59"/>
      <c r="H75" s="129"/>
      <c r="I75" s="129"/>
      <c r="J75" s="59"/>
      <c r="K75" s="59"/>
      <c r="L75" s="59"/>
    </row>
    <row r="76" spans="1:12">
      <c r="B76" s="1400"/>
      <c r="C76" s="129"/>
      <c r="D76" s="129"/>
      <c r="E76" s="129"/>
      <c r="F76" s="129"/>
      <c r="G76" s="59"/>
      <c r="H76" s="129"/>
      <c r="I76" s="129"/>
      <c r="J76" s="59"/>
      <c r="K76" s="59"/>
      <c r="L76" s="59"/>
    </row>
    <row r="77" spans="1:12">
      <c r="B77" s="1400"/>
      <c r="C77" s="129"/>
      <c r="D77" s="129"/>
      <c r="E77" s="129"/>
      <c r="F77" s="129"/>
      <c r="G77" s="59"/>
      <c r="H77" s="129"/>
      <c r="I77" s="129"/>
      <c r="J77" s="59"/>
      <c r="K77" s="59"/>
      <c r="L77" s="59"/>
    </row>
    <row r="78" spans="1:12">
      <c r="B78" s="1400"/>
      <c r="C78" s="129"/>
      <c r="D78" s="129"/>
      <c r="E78" s="129"/>
      <c r="F78" s="129"/>
      <c r="G78" s="59"/>
      <c r="H78" s="129"/>
      <c r="I78" s="129"/>
      <c r="J78" s="59"/>
      <c r="K78" s="59"/>
      <c r="L78" s="59"/>
    </row>
    <row r="79" spans="1:12">
      <c r="B79" s="1400"/>
      <c r="C79" s="129"/>
      <c r="D79" s="129"/>
      <c r="E79" s="129"/>
      <c r="F79" s="129"/>
      <c r="G79" s="59"/>
      <c r="H79" s="129"/>
      <c r="I79" s="129"/>
      <c r="J79" s="59"/>
      <c r="K79" s="59"/>
      <c r="L79" s="59"/>
    </row>
    <row r="80" spans="1:12">
      <c r="B80" s="1400"/>
      <c r="C80" s="129"/>
      <c r="D80" s="129"/>
      <c r="E80" s="129"/>
      <c r="F80" s="129"/>
      <c r="G80" s="59"/>
      <c r="H80" s="129"/>
      <c r="I80" s="129"/>
      <c r="J80" s="59"/>
      <c r="K80" s="59"/>
      <c r="L80" s="59"/>
    </row>
    <row r="81" spans="2:12">
      <c r="B81" s="1400"/>
      <c r="C81" s="129"/>
      <c r="D81" s="129"/>
      <c r="E81" s="129"/>
      <c r="F81" s="129"/>
      <c r="G81" s="59"/>
      <c r="H81" s="129"/>
      <c r="I81" s="129"/>
      <c r="J81" s="59"/>
      <c r="K81" s="59"/>
      <c r="L81" s="59"/>
    </row>
    <row r="82" spans="2:12">
      <c r="B82" s="1400"/>
      <c r="C82" s="129"/>
      <c r="D82" s="129"/>
      <c r="E82" s="129"/>
      <c r="F82" s="129"/>
      <c r="G82" s="59"/>
      <c r="H82" s="129"/>
      <c r="I82" s="129"/>
      <c r="J82" s="59"/>
      <c r="K82" s="59"/>
      <c r="L82" s="59"/>
    </row>
    <row r="83" spans="2:12">
      <c r="B83" s="1400"/>
      <c r="C83" s="129"/>
      <c r="D83" s="129"/>
      <c r="E83" s="129"/>
      <c r="F83" s="129"/>
      <c r="G83" s="59"/>
      <c r="H83" s="129"/>
      <c r="I83" s="129"/>
      <c r="J83" s="59"/>
      <c r="K83" s="59"/>
      <c r="L83" s="59"/>
    </row>
    <row r="84" spans="2:12">
      <c r="B84" s="1400"/>
      <c r="C84" s="129"/>
      <c r="D84" s="129"/>
      <c r="E84" s="129"/>
      <c r="F84" s="129"/>
      <c r="G84" s="59"/>
      <c r="H84" s="129"/>
      <c r="I84" s="129"/>
      <c r="J84" s="59"/>
      <c r="K84" s="59"/>
      <c r="L84" s="59"/>
    </row>
    <row r="85" spans="2:12">
      <c r="B85" s="1400"/>
      <c r="C85" s="129"/>
      <c r="D85" s="129"/>
      <c r="E85" s="129"/>
      <c r="F85" s="129"/>
      <c r="G85" s="59"/>
      <c r="H85" s="129"/>
      <c r="I85" s="129"/>
      <c r="J85" s="59"/>
      <c r="K85" s="59"/>
      <c r="L85" s="59"/>
    </row>
    <row r="86" spans="2:12">
      <c r="B86" s="1400"/>
      <c r="C86" s="129"/>
      <c r="D86" s="129"/>
      <c r="E86" s="129"/>
      <c r="F86" s="129"/>
      <c r="G86" s="59"/>
      <c r="H86" s="129"/>
      <c r="I86" s="129"/>
      <c r="J86" s="59"/>
      <c r="K86" s="59"/>
      <c r="L86" s="59"/>
    </row>
    <row r="87" spans="2:12">
      <c r="B87" s="1400"/>
      <c r="C87" s="129"/>
      <c r="D87" s="129"/>
      <c r="E87" s="129"/>
      <c r="F87" s="129"/>
      <c r="G87" s="59"/>
      <c r="H87" s="129"/>
      <c r="I87" s="129"/>
      <c r="J87" s="59"/>
      <c r="K87" s="59"/>
      <c r="L87" s="59"/>
    </row>
    <row r="88" spans="2:12">
      <c r="B88" s="1400"/>
      <c r="C88" s="129"/>
      <c r="D88" s="129"/>
      <c r="E88" s="129"/>
      <c r="F88" s="129"/>
      <c r="G88" s="59"/>
      <c r="H88" s="129"/>
      <c r="I88" s="129"/>
      <c r="J88" s="59"/>
      <c r="K88" s="59"/>
      <c r="L88" s="59"/>
    </row>
    <row r="89" spans="2:12">
      <c r="B89" s="1400"/>
      <c r="C89" s="129"/>
      <c r="D89" s="129"/>
      <c r="E89" s="129"/>
      <c r="F89" s="129"/>
      <c r="G89" s="59"/>
      <c r="H89" s="129"/>
      <c r="I89" s="129"/>
      <c r="J89" s="59"/>
      <c r="K89" s="59"/>
      <c r="L89" s="59"/>
    </row>
    <row r="90" spans="2:12">
      <c r="B90" s="1400"/>
      <c r="C90" s="129"/>
      <c r="D90" s="129"/>
      <c r="E90" s="129"/>
      <c r="F90" s="129"/>
      <c r="G90" s="59"/>
      <c r="H90" s="129"/>
      <c r="I90" s="129"/>
      <c r="J90" s="59"/>
      <c r="K90" s="59"/>
      <c r="L90" s="59"/>
    </row>
    <row r="91" spans="2:12">
      <c r="B91" s="1400"/>
      <c r="C91" s="129"/>
      <c r="D91" s="129"/>
      <c r="E91" s="129"/>
      <c r="F91" s="129"/>
      <c r="G91" s="59"/>
      <c r="H91" s="129"/>
      <c r="I91" s="129"/>
      <c r="J91" s="59"/>
      <c r="K91" s="59"/>
      <c r="L91" s="59"/>
    </row>
    <row r="92" spans="2:12">
      <c r="B92" s="1400"/>
      <c r="C92" s="129"/>
      <c r="D92" s="129"/>
      <c r="E92" s="129"/>
      <c r="F92" s="129"/>
      <c r="G92" s="59"/>
      <c r="H92" s="129"/>
      <c r="I92" s="129"/>
      <c r="J92" s="59"/>
      <c r="K92" s="59"/>
      <c r="L92" s="59"/>
    </row>
    <row r="93" spans="2:12">
      <c r="B93" s="1400"/>
      <c r="C93" s="129"/>
      <c r="D93" s="129"/>
      <c r="E93" s="129"/>
      <c r="F93" s="129"/>
      <c r="G93" s="59"/>
      <c r="H93" s="129"/>
      <c r="I93" s="129"/>
      <c r="J93" s="59"/>
      <c r="K93" s="59"/>
      <c r="L93" s="59"/>
    </row>
    <row r="94" spans="2:12">
      <c r="B94" s="1400"/>
      <c r="C94" s="129"/>
      <c r="D94" s="129"/>
      <c r="E94" s="129"/>
      <c r="F94" s="129"/>
      <c r="G94" s="59"/>
      <c r="H94" s="129"/>
      <c r="I94" s="129"/>
      <c r="J94" s="59"/>
      <c r="K94" s="59"/>
      <c r="L94" s="59"/>
    </row>
    <row r="95" spans="2:12">
      <c r="B95" s="1400"/>
      <c r="C95" s="129"/>
      <c r="D95" s="129"/>
      <c r="E95" s="129"/>
      <c r="F95" s="129"/>
      <c r="G95" s="59"/>
      <c r="H95" s="129"/>
      <c r="I95" s="129"/>
      <c r="J95" s="59"/>
      <c r="K95" s="59"/>
      <c r="L95" s="59"/>
    </row>
    <row r="96" spans="2:12">
      <c r="B96" s="1400"/>
      <c r="C96" s="129"/>
      <c r="D96" s="129"/>
      <c r="E96" s="129"/>
      <c r="F96" s="129"/>
      <c r="G96" s="59"/>
      <c r="H96" s="129"/>
      <c r="I96" s="129"/>
      <c r="J96" s="59"/>
      <c r="K96" s="59"/>
      <c r="L96" s="59"/>
    </row>
    <row r="97" spans="2:12">
      <c r="B97" s="1400"/>
      <c r="C97" s="129"/>
      <c r="D97" s="129"/>
      <c r="E97" s="129"/>
      <c r="F97" s="129"/>
      <c r="G97" s="59"/>
      <c r="H97" s="129"/>
      <c r="I97" s="129"/>
      <c r="J97" s="59"/>
      <c r="K97" s="59"/>
      <c r="L97" s="59"/>
    </row>
    <row r="98" spans="2:12">
      <c r="B98" s="1400"/>
      <c r="C98" s="129"/>
      <c r="D98" s="129"/>
      <c r="E98" s="129"/>
      <c r="F98" s="129"/>
      <c r="G98" s="59"/>
      <c r="H98" s="129"/>
      <c r="I98" s="129"/>
      <c r="J98" s="59"/>
      <c r="K98" s="59"/>
      <c r="L98" s="59"/>
    </row>
    <row r="99" spans="2:12">
      <c r="B99" s="1400"/>
      <c r="C99" s="129"/>
      <c r="D99" s="129"/>
      <c r="E99" s="129"/>
      <c r="F99" s="129"/>
      <c r="G99" s="59"/>
      <c r="H99" s="129"/>
      <c r="I99" s="129"/>
      <c r="J99" s="59"/>
      <c r="K99" s="59"/>
      <c r="L99" s="59"/>
    </row>
    <row r="100" spans="2:12">
      <c r="B100" s="1400"/>
      <c r="C100" s="129"/>
      <c r="D100" s="129"/>
      <c r="E100" s="129"/>
      <c r="F100" s="129"/>
      <c r="G100" s="59"/>
      <c r="H100" s="129"/>
      <c r="I100" s="129"/>
      <c r="J100" s="59"/>
      <c r="K100" s="59"/>
      <c r="L100" s="59"/>
    </row>
    <row r="101" spans="2:12">
      <c r="B101" s="1400"/>
      <c r="C101" s="129"/>
      <c r="D101" s="129"/>
      <c r="E101" s="129"/>
      <c r="F101" s="129"/>
      <c r="G101" s="59"/>
      <c r="H101" s="129"/>
      <c r="I101" s="129"/>
      <c r="J101" s="59"/>
      <c r="K101" s="59"/>
      <c r="L101" s="59"/>
    </row>
    <row r="102" spans="2:12">
      <c r="B102" s="1400"/>
      <c r="C102" s="129"/>
      <c r="D102" s="129"/>
      <c r="E102" s="129"/>
      <c r="F102" s="129"/>
      <c r="G102" s="59"/>
      <c r="H102" s="129"/>
      <c r="I102" s="129"/>
      <c r="J102" s="59"/>
      <c r="K102" s="59"/>
      <c r="L102" s="59"/>
    </row>
    <row r="103" spans="2:12">
      <c r="B103" s="1400"/>
      <c r="C103" s="129"/>
      <c r="D103" s="129"/>
      <c r="E103" s="129"/>
      <c r="F103" s="129"/>
      <c r="G103" s="59"/>
      <c r="H103" s="129"/>
      <c r="I103" s="129"/>
      <c r="J103" s="59"/>
      <c r="K103" s="59"/>
      <c r="L103" s="59"/>
    </row>
    <row r="104" spans="2:12">
      <c r="B104" s="1400"/>
      <c r="C104" s="129"/>
      <c r="D104" s="129"/>
      <c r="E104" s="129"/>
      <c r="F104" s="129"/>
      <c r="G104" s="59"/>
      <c r="H104" s="129"/>
      <c r="I104" s="129"/>
      <c r="J104" s="59"/>
      <c r="K104" s="59"/>
      <c r="L104" s="59"/>
    </row>
    <row r="105" spans="2:12">
      <c r="B105" s="1400"/>
      <c r="C105" s="129"/>
      <c r="D105" s="129"/>
      <c r="E105" s="129"/>
      <c r="F105" s="129"/>
      <c r="G105" s="59"/>
      <c r="H105" s="129"/>
      <c r="I105" s="129"/>
      <c r="J105" s="59"/>
      <c r="K105" s="59"/>
      <c r="L105" s="59"/>
    </row>
    <row r="106" spans="2:12">
      <c r="B106" s="1400"/>
      <c r="C106" s="129"/>
      <c r="D106" s="129"/>
      <c r="E106" s="129"/>
      <c r="F106" s="129"/>
      <c r="G106" s="59"/>
      <c r="H106" s="129"/>
      <c r="I106" s="129"/>
      <c r="J106" s="59"/>
      <c r="K106" s="59"/>
      <c r="L106" s="59"/>
    </row>
    <row r="107" spans="2:12">
      <c r="B107" s="1400"/>
      <c r="C107" s="129"/>
      <c r="D107" s="129"/>
      <c r="E107" s="129"/>
      <c r="F107" s="129"/>
      <c r="G107" s="59"/>
      <c r="H107" s="129"/>
      <c r="I107" s="129"/>
      <c r="J107" s="59"/>
      <c r="K107" s="59"/>
      <c r="L107" s="59"/>
    </row>
    <row r="108" spans="2:12">
      <c r="B108" s="1400"/>
      <c r="C108" s="129"/>
      <c r="D108" s="129"/>
      <c r="E108" s="129"/>
      <c r="F108" s="129"/>
      <c r="G108" s="59"/>
      <c r="H108" s="129"/>
      <c r="I108" s="129"/>
      <c r="J108" s="59"/>
      <c r="K108" s="59"/>
      <c r="L108" s="59"/>
    </row>
    <row r="109" spans="2:12">
      <c r="B109" s="1400"/>
      <c r="C109" s="129"/>
      <c r="D109" s="129"/>
      <c r="E109" s="129"/>
      <c r="F109" s="129"/>
      <c r="G109" s="59"/>
      <c r="H109" s="129"/>
      <c r="I109" s="129"/>
      <c r="J109" s="59"/>
      <c r="K109" s="59"/>
      <c r="L109" s="59"/>
    </row>
    <row r="110" spans="2:12">
      <c r="B110" s="1400"/>
      <c r="C110" s="129"/>
      <c r="D110" s="129"/>
      <c r="E110" s="129"/>
      <c r="F110" s="129"/>
      <c r="G110" s="59"/>
      <c r="H110" s="129"/>
      <c r="I110" s="129"/>
      <c r="J110" s="59"/>
      <c r="K110" s="59"/>
      <c r="L110" s="59"/>
    </row>
    <row r="111" spans="2:12">
      <c r="B111" s="1400"/>
      <c r="C111" s="129"/>
      <c r="D111" s="129"/>
      <c r="E111" s="129"/>
      <c r="F111" s="129"/>
      <c r="G111" s="59"/>
      <c r="H111" s="129"/>
      <c r="I111" s="129"/>
      <c r="J111" s="59"/>
      <c r="K111" s="59"/>
      <c r="L111" s="59"/>
    </row>
    <row r="112" spans="2:12">
      <c r="B112" s="1400"/>
      <c r="C112" s="129"/>
      <c r="D112" s="129"/>
      <c r="E112" s="129"/>
      <c r="F112" s="129"/>
      <c r="G112" s="59"/>
      <c r="H112" s="129"/>
      <c r="I112" s="129"/>
      <c r="J112" s="59"/>
      <c r="K112" s="59"/>
      <c r="L112" s="59"/>
    </row>
    <row r="113" spans="2:12">
      <c r="B113" s="1400"/>
      <c r="C113" s="129"/>
      <c r="D113" s="129"/>
      <c r="E113" s="129"/>
      <c r="F113" s="129"/>
      <c r="G113" s="59"/>
      <c r="H113" s="129"/>
      <c r="I113" s="129"/>
      <c r="J113" s="59"/>
      <c r="K113" s="59"/>
      <c r="L113" s="59"/>
    </row>
    <row r="114" spans="2:12">
      <c r="B114" s="1400"/>
      <c r="C114" s="129"/>
      <c r="D114" s="129"/>
      <c r="E114" s="129"/>
      <c r="F114" s="129"/>
      <c r="G114" s="59"/>
      <c r="H114" s="129"/>
      <c r="I114" s="129"/>
      <c r="J114" s="59"/>
      <c r="K114" s="59"/>
      <c r="L114" s="59"/>
    </row>
    <row r="115" spans="2:12">
      <c r="B115" s="1400"/>
      <c r="C115" s="129"/>
      <c r="D115" s="129"/>
      <c r="E115" s="129"/>
      <c r="F115" s="129"/>
      <c r="G115" s="59"/>
      <c r="H115" s="129"/>
      <c r="I115" s="129"/>
      <c r="J115" s="59"/>
      <c r="K115" s="59"/>
      <c r="L115" s="59"/>
    </row>
    <row r="116" spans="2:12">
      <c r="B116" s="1400"/>
      <c r="C116" s="129"/>
      <c r="D116" s="129"/>
      <c r="E116" s="129"/>
      <c r="F116" s="129"/>
      <c r="G116" s="59"/>
      <c r="H116" s="129"/>
      <c r="I116" s="129"/>
      <c r="J116" s="59"/>
      <c r="K116" s="59"/>
      <c r="L116" s="59"/>
    </row>
    <row r="117" spans="2:12">
      <c r="B117" s="1400"/>
      <c r="C117" s="129"/>
      <c r="D117" s="129"/>
      <c r="E117" s="129"/>
      <c r="F117" s="129"/>
      <c r="G117" s="59"/>
      <c r="H117" s="129"/>
      <c r="I117" s="129"/>
      <c r="J117" s="59"/>
      <c r="K117" s="59"/>
      <c r="L117" s="59"/>
    </row>
    <row r="118" spans="2:12">
      <c r="B118" s="1400"/>
      <c r="C118" s="129"/>
      <c r="D118" s="129"/>
      <c r="E118" s="129"/>
      <c r="F118" s="129"/>
      <c r="G118" s="59"/>
      <c r="H118" s="129"/>
      <c r="I118" s="129"/>
      <c r="J118" s="59"/>
      <c r="K118" s="59"/>
      <c r="L118" s="59"/>
    </row>
    <row r="119" spans="2:12">
      <c r="B119" s="1400"/>
      <c r="C119" s="129"/>
      <c r="D119" s="129"/>
      <c r="E119" s="129"/>
      <c r="F119" s="129"/>
      <c r="G119" s="59"/>
      <c r="H119" s="129"/>
      <c r="I119" s="129"/>
      <c r="J119" s="59"/>
      <c r="K119" s="59"/>
      <c r="L119" s="59"/>
    </row>
    <row r="120" spans="2:12">
      <c r="B120" s="1400"/>
      <c r="C120" s="129"/>
      <c r="D120" s="129"/>
      <c r="E120" s="129"/>
      <c r="F120" s="129"/>
      <c r="G120" s="59"/>
      <c r="H120" s="129"/>
      <c r="I120" s="129"/>
      <c r="J120" s="59"/>
      <c r="K120" s="59"/>
      <c r="L120" s="59"/>
    </row>
    <row r="121" spans="2:12">
      <c r="B121" s="1400"/>
      <c r="C121" s="129"/>
      <c r="D121" s="129"/>
      <c r="E121" s="129"/>
      <c r="F121" s="129"/>
      <c r="G121" s="59"/>
      <c r="H121" s="129"/>
      <c r="I121" s="129"/>
      <c r="J121" s="59"/>
      <c r="K121" s="59"/>
      <c r="L121" s="59"/>
    </row>
    <row r="122" spans="2:12">
      <c r="B122" s="1400"/>
      <c r="C122" s="129"/>
      <c r="D122" s="129"/>
      <c r="E122" s="129"/>
      <c r="F122" s="129"/>
      <c r="G122" s="59"/>
      <c r="H122" s="129"/>
      <c r="I122" s="129"/>
      <c r="J122" s="59"/>
      <c r="K122" s="59"/>
      <c r="L122" s="59"/>
    </row>
    <row r="123" spans="2:12">
      <c r="B123" s="1400"/>
      <c r="C123" s="129"/>
      <c r="D123" s="129"/>
      <c r="E123" s="129"/>
      <c r="F123" s="129"/>
      <c r="G123" s="59"/>
      <c r="H123" s="129"/>
      <c r="I123" s="129"/>
      <c r="J123" s="59"/>
      <c r="K123" s="59"/>
      <c r="L123" s="59"/>
    </row>
    <row r="124" spans="2:12">
      <c r="B124" s="1400"/>
      <c r="C124" s="129"/>
      <c r="D124" s="129"/>
      <c r="E124" s="129"/>
      <c r="F124" s="129"/>
      <c r="G124" s="59"/>
      <c r="H124" s="129"/>
      <c r="I124" s="129"/>
      <c r="J124" s="59"/>
      <c r="K124" s="59"/>
      <c r="L124" s="59"/>
    </row>
    <row r="125" spans="2:12">
      <c r="B125" s="1400"/>
      <c r="C125" s="129"/>
      <c r="D125" s="129"/>
      <c r="E125" s="129"/>
      <c r="F125" s="129"/>
      <c r="G125" s="59"/>
      <c r="H125" s="129"/>
      <c r="I125" s="129"/>
      <c r="J125" s="59"/>
      <c r="K125" s="59"/>
      <c r="L125" s="59"/>
    </row>
    <row r="126" spans="2:12">
      <c r="B126" s="1400"/>
      <c r="C126" s="129"/>
      <c r="D126" s="129"/>
      <c r="E126" s="129"/>
      <c r="F126" s="129"/>
      <c r="G126" s="59"/>
      <c r="H126" s="129"/>
      <c r="I126" s="129"/>
      <c r="J126" s="59"/>
      <c r="K126" s="59"/>
      <c r="L126" s="59"/>
    </row>
    <row r="127" spans="2:12">
      <c r="B127" s="1400"/>
      <c r="C127" s="129"/>
      <c r="D127" s="129"/>
      <c r="E127" s="129"/>
      <c r="F127" s="129"/>
      <c r="G127" s="59"/>
      <c r="H127" s="129"/>
      <c r="I127" s="129"/>
      <c r="J127" s="59"/>
      <c r="K127" s="59"/>
      <c r="L127" s="59"/>
    </row>
    <row r="128" spans="2:12">
      <c r="B128" s="1400"/>
      <c r="C128" s="129"/>
      <c r="D128" s="129"/>
      <c r="E128" s="129"/>
      <c r="F128" s="129"/>
      <c r="G128" s="59"/>
      <c r="H128" s="129"/>
      <c r="I128" s="129"/>
      <c r="J128" s="59"/>
      <c r="K128" s="59"/>
      <c r="L128" s="59"/>
    </row>
    <row r="129" spans="2:12">
      <c r="B129" s="1400"/>
      <c r="C129" s="129"/>
      <c r="D129" s="129"/>
      <c r="E129" s="129"/>
      <c r="F129" s="129"/>
      <c r="G129" s="59"/>
      <c r="H129" s="129"/>
      <c r="I129" s="129"/>
      <c r="J129" s="59"/>
      <c r="K129" s="59"/>
      <c r="L129" s="59"/>
    </row>
    <row r="130" spans="2:12">
      <c r="B130" s="1400"/>
      <c r="C130" s="129"/>
      <c r="D130" s="129"/>
      <c r="E130" s="129"/>
      <c r="F130" s="129"/>
      <c r="G130" s="59"/>
      <c r="H130" s="129"/>
      <c r="I130" s="129"/>
      <c r="J130" s="59"/>
      <c r="K130" s="59"/>
      <c r="L130" s="59"/>
    </row>
    <row r="131" spans="2:12">
      <c r="B131" s="1400"/>
      <c r="C131" s="129"/>
      <c r="D131" s="129"/>
      <c r="E131" s="129"/>
      <c r="F131" s="129"/>
      <c r="G131" s="59"/>
      <c r="H131" s="129"/>
      <c r="I131" s="129"/>
      <c r="J131" s="59"/>
      <c r="K131" s="59"/>
      <c r="L131" s="59"/>
    </row>
    <row r="132" spans="2:12">
      <c r="B132" s="1400"/>
      <c r="C132" s="129"/>
      <c r="D132" s="129"/>
      <c r="E132" s="129"/>
      <c r="F132" s="129"/>
      <c r="G132" s="59"/>
      <c r="H132" s="129"/>
      <c r="I132" s="129"/>
      <c r="J132" s="59"/>
      <c r="K132" s="59"/>
      <c r="L132" s="59"/>
    </row>
    <row r="133" spans="2:12">
      <c r="B133" s="1400"/>
      <c r="C133" s="129"/>
      <c r="D133" s="129"/>
      <c r="E133" s="129"/>
      <c r="F133" s="129"/>
      <c r="G133" s="59"/>
      <c r="H133" s="129"/>
      <c r="I133" s="129"/>
      <c r="J133" s="59"/>
      <c r="K133" s="59"/>
      <c r="L133" s="59"/>
    </row>
    <row r="134" spans="2:12">
      <c r="B134" s="1400"/>
      <c r="C134" s="129"/>
      <c r="D134" s="129"/>
      <c r="E134" s="129"/>
      <c r="F134" s="129"/>
      <c r="G134" s="59"/>
      <c r="H134" s="129"/>
      <c r="I134" s="129"/>
      <c r="J134" s="59"/>
      <c r="K134" s="59"/>
      <c r="L134" s="59"/>
    </row>
    <row r="135" spans="2:12">
      <c r="B135" s="1400"/>
      <c r="C135" s="129"/>
      <c r="D135" s="129"/>
      <c r="E135" s="129"/>
      <c r="F135" s="129"/>
      <c r="G135" s="59"/>
      <c r="H135" s="129"/>
      <c r="I135" s="129"/>
      <c r="J135" s="59"/>
      <c r="K135" s="59"/>
      <c r="L135" s="59"/>
    </row>
    <row r="136" spans="2:12">
      <c r="B136" s="1400"/>
      <c r="C136" s="129"/>
      <c r="D136" s="129"/>
      <c r="E136" s="129"/>
      <c r="F136" s="129"/>
      <c r="G136" s="59"/>
      <c r="H136" s="129"/>
      <c r="I136" s="129"/>
      <c r="J136" s="59"/>
      <c r="K136" s="59"/>
      <c r="L136" s="59"/>
    </row>
    <row r="137" spans="2:12">
      <c r="B137" s="1400"/>
      <c r="C137" s="129"/>
      <c r="D137" s="129"/>
      <c r="E137" s="129"/>
      <c r="F137" s="129"/>
      <c r="G137" s="59"/>
      <c r="H137" s="129"/>
      <c r="I137" s="129"/>
      <c r="J137" s="59"/>
      <c r="K137" s="59"/>
      <c r="L137" s="59"/>
    </row>
    <row r="138" spans="2:12">
      <c r="B138" s="1400"/>
      <c r="C138" s="129"/>
      <c r="D138" s="129"/>
      <c r="E138" s="129"/>
      <c r="F138" s="129"/>
      <c r="G138" s="59"/>
      <c r="H138" s="129"/>
      <c r="I138" s="129"/>
      <c r="J138" s="59"/>
      <c r="K138" s="59"/>
      <c r="L138" s="59"/>
    </row>
    <row r="139" spans="2:12">
      <c r="B139" s="1400"/>
      <c r="C139" s="129"/>
      <c r="D139" s="129"/>
      <c r="E139" s="129"/>
      <c r="F139" s="129"/>
      <c r="G139" s="59"/>
      <c r="H139" s="129"/>
      <c r="I139" s="129"/>
      <c r="J139" s="59"/>
      <c r="K139" s="59"/>
      <c r="L139" s="59"/>
    </row>
    <row r="140" spans="2:12">
      <c r="B140" s="1400"/>
      <c r="C140" s="129"/>
      <c r="D140" s="129"/>
      <c r="E140" s="129"/>
      <c r="F140" s="129"/>
      <c r="G140" s="59"/>
      <c r="H140" s="129"/>
      <c r="I140" s="129"/>
      <c r="J140" s="59"/>
      <c r="K140" s="59"/>
      <c r="L140" s="59"/>
    </row>
    <row r="141" spans="2:12">
      <c r="B141" s="1400"/>
      <c r="C141" s="129"/>
      <c r="D141" s="129"/>
      <c r="E141" s="129"/>
      <c r="F141" s="129"/>
      <c r="G141" s="59"/>
      <c r="H141" s="129"/>
      <c r="I141" s="129"/>
      <c r="J141" s="59"/>
      <c r="K141" s="59"/>
      <c r="L141" s="59"/>
    </row>
    <row r="142" spans="2:12">
      <c r="B142" s="1400"/>
      <c r="C142" s="129"/>
      <c r="D142" s="129"/>
      <c r="E142" s="129"/>
      <c r="F142" s="129"/>
      <c r="G142" s="59"/>
      <c r="H142" s="129"/>
      <c r="I142" s="129"/>
      <c r="J142" s="59"/>
      <c r="K142" s="59"/>
      <c r="L142" s="59"/>
    </row>
    <row r="143" spans="2:12">
      <c r="B143" s="1400"/>
      <c r="C143" s="129"/>
      <c r="D143" s="129"/>
      <c r="E143" s="129"/>
      <c r="F143" s="129"/>
      <c r="G143" s="59"/>
      <c r="H143" s="129"/>
      <c r="I143" s="129"/>
      <c r="J143" s="59"/>
      <c r="K143" s="59"/>
      <c r="L143" s="59"/>
    </row>
    <row r="144" spans="2:12">
      <c r="B144" s="1400"/>
      <c r="C144" s="129"/>
      <c r="D144" s="129"/>
      <c r="E144" s="129"/>
      <c r="F144" s="129"/>
      <c r="G144" s="59"/>
      <c r="H144" s="129"/>
      <c r="I144" s="129"/>
      <c r="J144" s="59"/>
      <c r="K144" s="59"/>
      <c r="L144" s="59"/>
    </row>
    <row r="145" spans="2:12">
      <c r="B145" s="1400"/>
      <c r="C145" s="129"/>
      <c r="D145" s="129"/>
      <c r="E145" s="129"/>
      <c r="F145" s="129"/>
      <c r="G145" s="59"/>
      <c r="H145" s="129"/>
      <c r="I145" s="129"/>
      <c r="J145" s="59"/>
      <c r="K145" s="59"/>
      <c r="L145" s="59"/>
    </row>
    <row r="146" spans="2:12">
      <c r="B146" s="1400"/>
      <c r="C146" s="129"/>
      <c r="D146" s="129"/>
      <c r="E146" s="129"/>
      <c r="F146" s="129"/>
      <c r="G146" s="59"/>
      <c r="H146" s="129"/>
      <c r="I146" s="129"/>
      <c r="J146" s="59"/>
      <c r="K146" s="59"/>
      <c r="L146" s="59"/>
    </row>
    <row r="147" spans="2:12">
      <c r="B147" s="1400"/>
      <c r="C147" s="129"/>
      <c r="D147" s="129"/>
      <c r="E147" s="129"/>
      <c r="F147" s="129"/>
      <c r="G147" s="59"/>
      <c r="H147" s="129"/>
      <c r="I147" s="129"/>
      <c r="J147" s="59"/>
      <c r="K147" s="59"/>
      <c r="L147" s="59"/>
    </row>
    <row r="148" spans="2:12">
      <c r="B148" s="1400"/>
      <c r="C148" s="129"/>
      <c r="D148" s="129"/>
      <c r="E148" s="129"/>
      <c r="F148" s="129"/>
      <c r="G148" s="59"/>
      <c r="H148" s="129"/>
      <c r="I148" s="129"/>
      <c r="J148" s="59"/>
      <c r="K148" s="59"/>
      <c r="L148" s="59"/>
    </row>
    <row r="149" spans="2:12">
      <c r="B149" s="1400"/>
      <c r="C149" s="129"/>
      <c r="D149" s="129"/>
      <c r="E149" s="129"/>
      <c r="F149" s="129"/>
      <c r="G149" s="59"/>
      <c r="H149" s="129"/>
      <c r="I149" s="129"/>
      <c r="J149" s="59"/>
      <c r="K149" s="59"/>
      <c r="L149" s="59"/>
    </row>
    <row r="150" spans="2:12">
      <c r="B150" s="1400"/>
      <c r="C150" s="129"/>
      <c r="D150" s="129"/>
      <c r="E150" s="129"/>
      <c r="F150" s="129"/>
      <c r="G150" s="59"/>
      <c r="H150" s="129"/>
      <c r="I150" s="129"/>
      <c r="J150" s="59"/>
      <c r="K150" s="59"/>
      <c r="L150" s="59"/>
    </row>
    <row r="151" spans="2:12">
      <c r="B151" s="1400"/>
      <c r="C151" s="129"/>
      <c r="D151" s="129"/>
      <c r="E151" s="129"/>
      <c r="F151" s="129"/>
      <c r="G151" s="59"/>
      <c r="H151" s="129"/>
      <c r="I151" s="129"/>
      <c r="J151" s="59"/>
      <c r="K151" s="59"/>
      <c r="L151" s="59"/>
    </row>
    <row r="152" spans="2:12">
      <c r="B152" s="1400"/>
      <c r="C152" s="129"/>
      <c r="D152" s="129"/>
      <c r="E152" s="129"/>
      <c r="F152" s="129"/>
      <c r="G152" s="59"/>
      <c r="H152" s="129"/>
      <c r="I152" s="129"/>
      <c r="J152" s="59"/>
      <c r="K152" s="59"/>
      <c r="L152" s="59"/>
    </row>
    <row r="153" spans="2:12">
      <c r="B153" s="1400"/>
      <c r="C153" s="129"/>
      <c r="D153" s="129"/>
      <c r="E153" s="129"/>
      <c r="F153" s="129"/>
      <c r="G153" s="59"/>
      <c r="H153" s="129"/>
      <c r="I153" s="129"/>
      <c r="J153" s="59"/>
      <c r="K153" s="59"/>
      <c r="L153" s="59"/>
    </row>
    <row r="154" spans="2:12">
      <c r="B154" s="1400"/>
      <c r="C154" s="129"/>
      <c r="D154" s="129"/>
      <c r="E154" s="129"/>
      <c r="F154" s="129"/>
      <c r="G154" s="59"/>
      <c r="H154" s="129"/>
      <c r="I154" s="129"/>
      <c r="J154" s="59"/>
      <c r="K154" s="59"/>
      <c r="L154" s="59"/>
    </row>
    <row r="155" spans="2:12">
      <c r="B155" s="1400"/>
      <c r="C155" s="129"/>
      <c r="D155" s="129"/>
      <c r="E155" s="129"/>
      <c r="F155" s="129"/>
      <c r="G155" s="59"/>
      <c r="H155" s="129"/>
      <c r="I155" s="129"/>
      <c r="J155" s="59"/>
      <c r="K155" s="59"/>
      <c r="L155" s="59"/>
    </row>
    <row r="156" spans="2:12">
      <c r="B156" s="1400"/>
      <c r="C156" s="129"/>
      <c r="D156" s="129"/>
      <c r="E156" s="129"/>
      <c r="F156" s="129"/>
      <c r="G156" s="59"/>
      <c r="H156" s="129"/>
      <c r="I156" s="129"/>
      <c r="J156" s="59"/>
      <c r="K156" s="59"/>
      <c r="L156" s="59"/>
    </row>
    <row r="157" spans="2:12">
      <c r="B157" s="1400"/>
      <c r="C157" s="129"/>
      <c r="D157" s="129"/>
      <c r="E157" s="129"/>
      <c r="F157" s="129"/>
      <c r="G157" s="59"/>
      <c r="H157" s="129"/>
      <c r="I157" s="129"/>
      <c r="J157" s="59"/>
      <c r="K157" s="59"/>
      <c r="L157" s="59"/>
    </row>
    <row r="158" spans="2:12">
      <c r="B158" s="1400"/>
      <c r="C158" s="129"/>
      <c r="D158" s="129"/>
      <c r="E158" s="129"/>
      <c r="F158" s="129"/>
      <c r="G158" s="59"/>
      <c r="H158" s="129"/>
      <c r="I158" s="129"/>
      <c r="J158" s="59"/>
      <c r="K158" s="59"/>
      <c r="L158" s="59"/>
    </row>
    <row r="159" spans="2:12">
      <c r="B159" s="1400"/>
      <c r="C159" s="129"/>
      <c r="D159" s="129"/>
      <c r="E159" s="129"/>
      <c r="F159" s="129"/>
      <c r="G159" s="59"/>
      <c r="H159" s="129"/>
      <c r="I159" s="129"/>
      <c r="J159" s="59"/>
      <c r="K159" s="59"/>
      <c r="L159" s="59"/>
    </row>
    <row r="160" spans="2:12">
      <c r="B160" s="1400"/>
      <c r="C160" s="129"/>
      <c r="D160" s="129"/>
      <c r="E160" s="129"/>
      <c r="F160" s="129"/>
      <c r="G160" s="59"/>
      <c r="H160" s="129"/>
      <c r="I160" s="129"/>
      <c r="J160" s="59"/>
      <c r="K160" s="59"/>
      <c r="L160" s="59"/>
    </row>
    <row r="161" spans="2:12">
      <c r="B161" s="1400"/>
      <c r="C161" s="129"/>
      <c r="D161" s="129"/>
      <c r="E161" s="129"/>
      <c r="F161" s="129"/>
      <c r="G161" s="59"/>
      <c r="H161" s="129"/>
      <c r="I161" s="129"/>
      <c r="J161" s="59"/>
      <c r="K161" s="59"/>
      <c r="L161" s="59"/>
    </row>
    <row r="162" spans="2:12">
      <c r="B162" s="1400"/>
      <c r="C162" s="129"/>
      <c r="D162" s="129"/>
      <c r="E162" s="129"/>
      <c r="F162" s="129"/>
      <c r="G162" s="59"/>
      <c r="H162" s="129"/>
      <c r="I162" s="129"/>
      <c r="J162" s="59"/>
      <c r="K162" s="59"/>
      <c r="L162" s="59"/>
    </row>
    <row r="163" spans="2:12">
      <c r="B163" s="1400"/>
      <c r="C163" s="129"/>
      <c r="D163" s="129"/>
      <c r="E163" s="129"/>
      <c r="F163" s="129"/>
      <c r="G163" s="59"/>
      <c r="H163" s="129"/>
      <c r="I163" s="129"/>
      <c r="J163" s="59"/>
      <c r="K163" s="59"/>
      <c r="L163" s="59"/>
    </row>
    <row r="164" spans="2:12">
      <c r="B164" s="1400"/>
      <c r="C164" s="129"/>
      <c r="D164" s="129"/>
      <c r="E164" s="129"/>
      <c r="F164" s="129"/>
      <c r="G164" s="59"/>
      <c r="H164" s="129"/>
      <c r="I164" s="129"/>
      <c r="J164" s="59"/>
      <c r="K164" s="59"/>
      <c r="L164" s="59"/>
    </row>
    <row r="165" spans="2:12">
      <c r="B165" s="1400"/>
      <c r="C165" s="129"/>
      <c r="D165" s="129"/>
      <c r="E165" s="129"/>
      <c r="F165" s="129"/>
      <c r="G165" s="59"/>
      <c r="H165" s="129"/>
      <c r="I165" s="129"/>
      <c r="J165" s="59"/>
      <c r="K165" s="59"/>
      <c r="L165" s="59"/>
    </row>
    <row r="166" spans="2:12">
      <c r="B166" s="1400"/>
      <c r="C166" s="129"/>
      <c r="D166" s="129"/>
      <c r="E166" s="129"/>
      <c r="F166" s="129"/>
      <c r="G166" s="59"/>
      <c r="H166" s="129"/>
      <c r="I166" s="129"/>
      <c r="J166" s="59"/>
      <c r="K166" s="59"/>
      <c r="L166" s="59"/>
    </row>
    <row r="167" spans="2:12">
      <c r="B167" s="1400"/>
      <c r="C167" s="129"/>
      <c r="D167" s="129"/>
      <c r="E167" s="129"/>
      <c r="F167" s="129"/>
      <c r="G167" s="59"/>
      <c r="H167" s="129"/>
      <c r="I167" s="129"/>
      <c r="J167" s="59"/>
      <c r="K167" s="59"/>
      <c r="L167" s="59"/>
    </row>
    <row r="168" spans="2:12">
      <c r="B168" s="1400"/>
      <c r="C168" s="129"/>
      <c r="D168" s="129"/>
      <c r="E168" s="129"/>
      <c r="F168" s="129"/>
      <c r="G168" s="59"/>
      <c r="H168" s="129"/>
      <c r="I168" s="129"/>
      <c r="J168" s="59"/>
      <c r="K168" s="59"/>
      <c r="L168" s="59"/>
    </row>
    <row r="169" spans="2:12">
      <c r="B169" s="1400"/>
      <c r="C169" s="129"/>
      <c r="D169" s="129"/>
      <c r="E169" s="129"/>
      <c r="F169" s="129"/>
      <c r="G169" s="59"/>
      <c r="H169" s="129"/>
      <c r="I169" s="129"/>
      <c r="J169" s="59"/>
      <c r="K169" s="59"/>
      <c r="L169" s="59"/>
    </row>
    <row r="170" spans="2:12">
      <c r="B170" s="1400"/>
      <c r="C170" s="129"/>
      <c r="D170" s="129"/>
      <c r="E170" s="129"/>
      <c r="F170" s="129"/>
      <c r="G170" s="59"/>
      <c r="H170" s="129"/>
      <c r="I170" s="129"/>
      <c r="J170" s="59"/>
      <c r="K170" s="59"/>
      <c r="L170" s="59"/>
    </row>
    <row r="171" spans="2:12">
      <c r="B171" s="1400"/>
      <c r="C171" s="129"/>
      <c r="D171" s="129"/>
      <c r="E171" s="129"/>
      <c r="F171" s="129"/>
      <c r="G171" s="59"/>
      <c r="H171" s="129"/>
      <c r="I171" s="129"/>
      <c r="J171" s="59"/>
      <c r="K171" s="59"/>
      <c r="L171" s="59"/>
    </row>
    <row r="172" spans="2:12">
      <c r="B172" s="1400"/>
      <c r="C172" s="129"/>
      <c r="D172" s="129"/>
      <c r="E172" s="129"/>
      <c r="F172" s="129"/>
      <c r="G172" s="59"/>
      <c r="H172" s="129"/>
      <c r="I172" s="129"/>
      <c r="J172" s="59"/>
      <c r="K172" s="59"/>
      <c r="L172" s="59"/>
    </row>
    <row r="173" spans="2:12">
      <c r="B173" s="1400"/>
      <c r="C173" s="129"/>
      <c r="D173" s="129"/>
      <c r="E173" s="129"/>
      <c r="F173" s="129"/>
      <c r="G173" s="59"/>
      <c r="H173" s="129"/>
      <c r="I173" s="129"/>
      <c r="J173" s="59"/>
      <c r="K173" s="59"/>
      <c r="L173" s="59"/>
    </row>
    <row r="174" spans="2:12">
      <c r="B174" s="1400"/>
      <c r="C174" s="129"/>
      <c r="D174" s="129"/>
      <c r="E174" s="129"/>
      <c r="F174" s="129"/>
      <c r="G174" s="59"/>
      <c r="H174" s="129"/>
      <c r="I174" s="129"/>
      <c r="J174" s="59"/>
      <c r="K174" s="59"/>
      <c r="L174" s="59"/>
    </row>
    <row r="175" spans="2:12">
      <c r="B175" s="1400"/>
      <c r="C175" s="129"/>
      <c r="D175" s="129"/>
      <c r="E175" s="129"/>
      <c r="F175" s="129"/>
      <c r="G175" s="59"/>
      <c r="H175" s="129"/>
      <c r="I175" s="129"/>
      <c r="J175" s="59"/>
      <c r="K175" s="59"/>
      <c r="L175" s="59"/>
    </row>
    <row r="176" spans="2:12">
      <c r="B176" s="1400"/>
      <c r="C176" s="129"/>
      <c r="D176" s="129"/>
      <c r="E176" s="129"/>
      <c r="F176" s="129"/>
      <c r="G176" s="59"/>
      <c r="H176" s="129"/>
      <c r="I176" s="129"/>
      <c r="J176" s="59"/>
      <c r="K176" s="59"/>
      <c r="L176" s="59"/>
    </row>
    <row r="177" spans="2:12">
      <c r="B177" s="1400"/>
      <c r="C177" s="129"/>
      <c r="D177" s="129"/>
      <c r="E177" s="129"/>
      <c r="F177" s="129"/>
      <c r="G177" s="59"/>
      <c r="H177" s="129"/>
      <c r="I177" s="129"/>
      <c r="J177" s="59"/>
      <c r="K177" s="59"/>
      <c r="L177" s="59"/>
    </row>
    <row r="178" spans="2:12">
      <c r="B178" s="1400"/>
      <c r="C178" s="129"/>
      <c r="D178" s="129"/>
      <c r="E178" s="129"/>
      <c r="F178" s="129"/>
      <c r="G178" s="59"/>
      <c r="H178" s="129"/>
      <c r="I178" s="129"/>
      <c r="J178" s="59"/>
      <c r="K178" s="59"/>
      <c r="L178" s="59"/>
    </row>
    <row r="179" spans="2:12">
      <c r="B179" s="1400"/>
      <c r="C179" s="129"/>
      <c r="D179" s="129"/>
      <c r="E179" s="129"/>
      <c r="F179" s="129"/>
      <c r="G179" s="59"/>
      <c r="H179" s="129"/>
      <c r="I179" s="129"/>
      <c r="J179" s="59"/>
      <c r="K179" s="59"/>
      <c r="L179" s="59"/>
    </row>
    <row r="180" spans="2:12">
      <c r="B180" s="1400"/>
      <c r="C180" s="129"/>
      <c r="D180" s="129"/>
      <c r="E180" s="129"/>
      <c r="F180" s="129"/>
      <c r="G180" s="59"/>
      <c r="H180" s="129"/>
      <c r="I180" s="129"/>
      <c r="J180" s="59"/>
      <c r="K180" s="59"/>
      <c r="L180" s="59"/>
    </row>
    <row r="181" spans="2:12">
      <c r="B181" s="1400"/>
      <c r="C181" s="129"/>
      <c r="D181" s="129"/>
      <c r="E181" s="129"/>
      <c r="F181" s="129"/>
      <c r="G181" s="59"/>
      <c r="H181" s="129"/>
      <c r="I181" s="129"/>
      <c r="J181" s="59"/>
      <c r="K181" s="59"/>
      <c r="L181" s="59"/>
    </row>
    <row r="182" spans="2:12">
      <c r="B182" s="1400"/>
      <c r="C182" s="129"/>
      <c r="D182" s="129"/>
      <c r="E182" s="129"/>
      <c r="F182" s="129"/>
      <c r="G182" s="59"/>
      <c r="H182" s="129"/>
      <c r="I182" s="129"/>
      <c r="J182" s="59"/>
      <c r="K182" s="59"/>
      <c r="L182" s="59"/>
    </row>
    <row r="183" spans="2:12">
      <c r="B183" s="1400"/>
      <c r="C183" s="129"/>
      <c r="D183" s="129"/>
      <c r="E183" s="129"/>
      <c r="F183" s="129"/>
      <c r="G183" s="59"/>
      <c r="H183" s="129"/>
      <c r="I183" s="129"/>
      <c r="J183" s="59"/>
      <c r="K183" s="59"/>
      <c r="L183" s="59"/>
    </row>
    <row r="184" spans="2:12">
      <c r="B184" s="1400"/>
      <c r="C184" s="129"/>
      <c r="D184" s="129"/>
      <c r="E184" s="129"/>
      <c r="F184" s="129"/>
      <c r="G184" s="59"/>
      <c r="H184" s="129"/>
      <c r="I184" s="129"/>
      <c r="J184" s="59"/>
      <c r="K184" s="59"/>
      <c r="L184" s="59"/>
    </row>
    <row r="185" spans="2:12">
      <c r="B185" s="1400"/>
      <c r="C185" s="129"/>
      <c r="D185" s="129"/>
      <c r="E185" s="129"/>
      <c r="F185" s="129"/>
      <c r="G185" s="59"/>
      <c r="H185" s="129"/>
      <c r="I185" s="129"/>
      <c r="J185" s="59"/>
      <c r="K185" s="59"/>
      <c r="L185" s="59"/>
    </row>
    <row r="186" spans="2:12">
      <c r="B186" s="1400"/>
      <c r="C186" s="129"/>
      <c r="D186" s="129"/>
      <c r="E186" s="129"/>
      <c r="F186" s="129"/>
      <c r="G186" s="59"/>
      <c r="H186" s="129"/>
      <c r="I186" s="129"/>
      <c r="J186" s="59"/>
      <c r="K186" s="59"/>
      <c r="L186" s="59"/>
    </row>
    <row r="187" spans="2:12">
      <c r="B187" s="1400"/>
      <c r="C187" s="129"/>
      <c r="D187" s="129"/>
      <c r="E187" s="129"/>
      <c r="F187" s="129"/>
      <c r="G187" s="59"/>
      <c r="H187" s="129"/>
      <c r="I187" s="129"/>
      <c r="J187" s="59"/>
      <c r="K187" s="59"/>
      <c r="L187" s="59"/>
    </row>
    <row r="188" spans="2:12">
      <c r="B188" s="1400"/>
      <c r="C188" s="129"/>
      <c r="D188" s="129"/>
      <c r="E188" s="129"/>
      <c r="F188" s="129"/>
      <c r="G188" s="59"/>
      <c r="H188" s="129"/>
      <c r="I188" s="129"/>
      <c r="J188" s="59"/>
      <c r="K188" s="59"/>
      <c r="L188" s="59"/>
    </row>
    <row r="189" spans="2:12">
      <c r="B189" s="1400"/>
      <c r="C189" s="129"/>
      <c r="D189" s="129"/>
      <c r="E189" s="129"/>
      <c r="F189" s="129"/>
      <c r="G189" s="59"/>
      <c r="H189" s="129"/>
      <c r="I189" s="129"/>
      <c r="J189" s="59"/>
      <c r="K189" s="59"/>
      <c r="L189" s="59"/>
    </row>
    <row r="190" spans="2:12">
      <c r="B190" s="1400"/>
      <c r="C190" s="129"/>
      <c r="D190" s="129"/>
      <c r="E190" s="129"/>
      <c r="F190" s="129"/>
      <c r="G190" s="59"/>
      <c r="H190" s="129"/>
      <c r="I190" s="129"/>
      <c r="J190" s="59"/>
      <c r="K190" s="59"/>
      <c r="L190" s="59"/>
    </row>
    <row r="191" spans="2:12">
      <c r="B191" s="1400"/>
      <c r="C191" s="129"/>
      <c r="D191" s="129"/>
      <c r="E191" s="129"/>
      <c r="F191" s="129"/>
      <c r="G191" s="59"/>
      <c r="H191" s="129"/>
      <c r="I191" s="129"/>
      <c r="J191" s="59"/>
      <c r="K191" s="59"/>
      <c r="L191" s="59"/>
    </row>
    <row r="192" spans="2:12">
      <c r="B192" s="1400"/>
      <c r="C192" s="129"/>
      <c r="D192" s="129"/>
      <c r="E192" s="129"/>
      <c r="F192" s="129"/>
      <c r="G192" s="59"/>
      <c r="H192" s="129"/>
      <c r="I192" s="129"/>
      <c r="J192" s="59"/>
      <c r="K192" s="59"/>
      <c r="L192" s="59"/>
    </row>
    <row r="193" spans="2:12">
      <c r="B193" s="1400"/>
      <c r="C193" s="129"/>
      <c r="D193" s="129"/>
      <c r="E193" s="129"/>
      <c r="F193" s="129"/>
      <c r="G193" s="59"/>
      <c r="H193" s="129"/>
      <c r="I193" s="129"/>
      <c r="J193" s="59"/>
      <c r="K193" s="59"/>
      <c r="L193" s="59"/>
    </row>
    <row r="194" spans="2:12">
      <c r="B194" s="1400"/>
      <c r="C194" s="129"/>
      <c r="D194" s="129"/>
      <c r="E194" s="129"/>
      <c r="F194" s="129"/>
      <c r="G194" s="59"/>
      <c r="H194" s="129"/>
      <c r="I194" s="129"/>
      <c r="J194" s="59"/>
      <c r="K194" s="59"/>
      <c r="L194" s="59"/>
    </row>
    <row r="195" spans="2:12">
      <c r="B195" s="1400"/>
      <c r="C195" s="129"/>
      <c r="D195" s="129"/>
      <c r="E195" s="129"/>
      <c r="F195" s="129"/>
      <c r="G195" s="59"/>
      <c r="H195" s="129"/>
      <c r="I195" s="129"/>
      <c r="J195" s="59"/>
      <c r="K195" s="59"/>
      <c r="L195" s="59"/>
    </row>
    <row r="196" spans="2:12">
      <c r="B196" s="1400"/>
      <c r="C196" s="129"/>
      <c r="D196" s="129"/>
      <c r="E196" s="129"/>
      <c r="F196" s="129"/>
      <c r="G196" s="59"/>
      <c r="H196" s="129"/>
      <c r="I196" s="129"/>
      <c r="J196" s="59"/>
      <c r="K196" s="59"/>
      <c r="L196" s="59"/>
    </row>
    <row r="197" spans="2:12">
      <c r="B197" s="1400"/>
      <c r="C197" s="129"/>
      <c r="D197" s="129"/>
      <c r="E197" s="129"/>
      <c r="F197" s="129"/>
      <c r="G197" s="59"/>
      <c r="H197" s="129"/>
      <c r="I197" s="129"/>
      <c r="J197" s="59"/>
      <c r="K197" s="59"/>
      <c r="L197" s="59"/>
    </row>
    <row r="198" spans="2:12">
      <c r="B198" s="1400"/>
      <c r="C198" s="129"/>
      <c r="D198" s="129"/>
      <c r="E198" s="129"/>
      <c r="F198" s="129"/>
      <c r="G198" s="59"/>
      <c r="H198" s="129"/>
      <c r="I198" s="129"/>
      <c r="J198" s="59"/>
      <c r="K198" s="59"/>
      <c r="L198" s="59"/>
    </row>
    <row r="199" spans="2:12">
      <c r="B199" s="1400"/>
      <c r="C199" s="129"/>
      <c r="D199" s="129"/>
      <c r="E199" s="129"/>
      <c r="F199" s="129"/>
      <c r="G199" s="59"/>
      <c r="H199" s="129"/>
      <c r="I199" s="129"/>
      <c r="J199" s="59"/>
      <c r="K199" s="59"/>
      <c r="L199" s="59"/>
    </row>
    <row r="200" spans="2:12">
      <c r="B200" s="1400"/>
      <c r="C200" s="129"/>
      <c r="D200" s="129"/>
      <c r="E200" s="129"/>
      <c r="F200" s="129"/>
      <c r="G200" s="59"/>
      <c r="H200" s="129"/>
      <c r="I200" s="129"/>
      <c r="J200" s="59"/>
      <c r="K200" s="59"/>
      <c r="L200" s="59"/>
    </row>
    <row r="201" spans="2:12">
      <c r="B201" s="1400"/>
      <c r="C201" s="129"/>
      <c r="D201" s="129"/>
      <c r="E201" s="129"/>
      <c r="F201" s="129"/>
      <c r="G201" s="59"/>
      <c r="H201" s="129"/>
      <c r="I201" s="129"/>
      <c r="J201" s="59"/>
      <c r="K201" s="59"/>
      <c r="L201" s="59"/>
    </row>
    <row r="202" spans="2:12">
      <c r="B202" s="1400"/>
      <c r="C202" s="129"/>
      <c r="D202" s="129"/>
      <c r="E202" s="129"/>
      <c r="F202" s="129"/>
      <c r="G202" s="59"/>
      <c r="H202" s="129"/>
      <c r="I202" s="129"/>
      <c r="J202" s="59"/>
      <c r="K202" s="59"/>
      <c r="L202" s="59"/>
    </row>
    <row r="203" spans="2:12">
      <c r="B203" s="1400"/>
      <c r="C203" s="129"/>
      <c r="D203" s="129"/>
      <c r="E203" s="129"/>
      <c r="F203" s="129"/>
      <c r="G203" s="59"/>
      <c r="H203" s="129"/>
      <c r="I203" s="129"/>
      <c r="J203" s="59"/>
      <c r="K203" s="59"/>
      <c r="L203" s="59"/>
    </row>
    <row r="204" spans="2:12">
      <c r="B204" s="1400"/>
      <c r="C204" s="129"/>
      <c r="D204" s="129"/>
      <c r="E204" s="129"/>
      <c r="F204" s="129"/>
      <c r="G204" s="59"/>
      <c r="H204" s="129"/>
      <c r="I204" s="129"/>
      <c r="J204" s="59"/>
      <c r="K204" s="59"/>
      <c r="L204" s="59"/>
    </row>
    <row r="205" spans="2:12">
      <c r="B205" s="1400"/>
      <c r="C205" s="129"/>
      <c r="D205" s="129"/>
      <c r="E205" s="129"/>
      <c r="F205" s="129"/>
      <c r="G205" s="59"/>
      <c r="H205" s="129"/>
      <c r="I205" s="129"/>
      <c r="J205" s="59"/>
      <c r="K205" s="59"/>
      <c r="L205" s="59"/>
    </row>
    <row r="206" spans="2:12">
      <c r="B206" s="1400"/>
      <c r="C206" s="129"/>
      <c r="D206" s="129"/>
      <c r="E206" s="129"/>
      <c r="F206" s="129"/>
      <c r="G206" s="59"/>
      <c r="H206" s="129"/>
      <c r="I206" s="129"/>
      <c r="J206" s="59"/>
      <c r="K206" s="59"/>
      <c r="L206" s="59"/>
    </row>
    <row r="207" spans="2:12">
      <c r="B207" s="1400"/>
      <c r="C207" s="129"/>
      <c r="D207" s="129"/>
      <c r="E207" s="129"/>
      <c r="F207" s="129"/>
      <c r="G207" s="59"/>
      <c r="H207" s="129"/>
      <c r="I207" s="129"/>
      <c r="J207" s="59"/>
      <c r="K207" s="59"/>
      <c r="L207" s="59"/>
    </row>
    <row r="208" spans="2:12">
      <c r="B208" s="1400"/>
      <c r="C208" s="129"/>
      <c r="D208" s="129"/>
      <c r="E208" s="129"/>
      <c r="F208" s="129"/>
      <c r="G208" s="59"/>
      <c r="H208" s="129"/>
      <c r="I208" s="129"/>
      <c r="J208" s="59"/>
      <c r="K208" s="59"/>
      <c r="L208" s="59"/>
    </row>
    <row r="209" spans="2:12">
      <c r="B209" s="1400"/>
      <c r="C209" s="129"/>
      <c r="D209" s="129"/>
      <c r="E209" s="129"/>
      <c r="F209" s="129"/>
      <c r="G209" s="59"/>
      <c r="H209" s="129"/>
      <c r="I209" s="129"/>
      <c r="J209" s="59"/>
      <c r="K209" s="59"/>
      <c r="L209" s="59"/>
    </row>
    <row r="210" spans="2:12">
      <c r="B210" s="1400"/>
      <c r="C210" s="129"/>
      <c r="D210" s="129"/>
      <c r="E210" s="129"/>
      <c r="F210" s="129"/>
      <c r="G210" s="59"/>
      <c r="H210" s="129"/>
      <c r="I210" s="129"/>
      <c r="J210" s="59"/>
      <c r="K210" s="59"/>
      <c r="L210" s="59"/>
    </row>
    <row r="211" spans="2:12">
      <c r="B211" s="1400"/>
      <c r="C211" s="129"/>
      <c r="D211" s="129"/>
      <c r="E211" s="129"/>
      <c r="F211" s="129"/>
      <c r="G211" s="59"/>
      <c r="H211" s="129"/>
      <c r="I211" s="129"/>
      <c r="J211" s="59"/>
      <c r="K211" s="59"/>
      <c r="L211" s="59"/>
    </row>
    <row r="212" spans="2:12">
      <c r="B212" s="1400"/>
      <c r="C212" s="129"/>
      <c r="D212" s="129"/>
      <c r="E212" s="129"/>
      <c r="F212" s="129"/>
      <c r="G212" s="59"/>
      <c r="H212" s="129"/>
      <c r="I212" s="129"/>
      <c r="J212" s="59"/>
      <c r="K212" s="59"/>
      <c r="L212" s="59"/>
    </row>
    <row r="213" spans="2:12">
      <c r="B213" s="1400"/>
      <c r="C213" s="129"/>
      <c r="D213" s="129"/>
      <c r="E213" s="129"/>
      <c r="F213" s="129"/>
      <c r="G213" s="59"/>
      <c r="H213" s="129"/>
      <c r="I213" s="129"/>
      <c r="J213" s="59"/>
      <c r="K213" s="59"/>
      <c r="L213" s="59"/>
    </row>
    <row r="214" spans="2:12">
      <c r="B214" s="1400"/>
      <c r="C214" s="129"/>
      <c r="D214" s="129"/>
      <c r="E214" s="129"/>
      <c r="F214" s="129"/>
      <c r="G214" s="59"/>
      <c r="H214" s="129"/>
      <c r="I214" s="129"/>
      <c r="J214" s="59"/>
      <c r="K214" s="59"/>
      <c r="L214" s="59"/>
    </row>
    <row r="215" spans="2:12">
      <c r="B215" s="1400"/>
      <c r="C215" s="129"/>
      <c r="D215" s="129"/>
      <c r="E215" s="129"/>
      <c r="F215" s="129"/>
      <c r="G215" s="59"/>
      <c r="H215" s="129"/>
      <c r="I215" s="129"/>
      <c r="J215" s="59"/>
      <c r="K215" s="59"/>
      <c r="L215" s="59"/>
    </row>
    <row r="216" spans="2:12">
      <c r="B216" s="1400"/>
      <c r="C216" s="129"/>
      <c r="D216" s="129"/>
      <c r="E216" s="129"/>
      <c r="F216" s="129"/>
      <c r="G216" s="59"/>
      <c r="H216" s="129"/>
      <c r="I216" s="129"/>
      <c r="J216" s="59"/>
      <c r="K216" s="59"/>
      <c r="L216" s="59"/>
    </row>
    <row r="217" spans="2:12">
      <c r="B217" s="1400"/>
      <c r="C217" s="129"/>
      <c r="D217" s="129"/>
      <c r="E217" s="129"/>
      <c r="F217" s="129"/>
      <c r="G217" s="59"/>
      <c r="H217" s="129"/>
      <c r="I217" s="129"/>
      <c r="J217" s="59"/>
      <c r="K217" s="59"/>
      <c r="L217" s="59"/>
    </row>
    <row r="218" spans="2:12">
      <c r="B218" s="1400"/>
      <c r="C218" s="129"/>
      <c r="D218" s="129"/>
      <c r="E218" s="129"/>
      <c r="F218" s="129"/>
      <c r="G218" s="59"/>
      <c r="H218" s="129"/>
      <c r="I218" s="129"/>
      <c r="J218" s="59"/>
      <c r="K218" s="59"/>
      <c r="L218" s="59"/>
    </row>
    <row r="219" spans="2:12">
      <c r="B219" s="1400"/>
      <c r="C219" s="129"/>
      <c r="D219" s="129"/>
      <c r="E219" s="129"/>
      <c r="F219" s="129"/>
      <c r="G219" s="59"/>
      <c r="H219" s="129"/>
      <c r="I219" s="129"/>
      <c r="J219" s="59"/>
      <c r="K219" s="59"/>
      <c r="L219" s="59"/>
    </row>
    <row r="220" spans="2:12">
      <c r="B220" s="1400"/>
      <c r="C220" s="129"/>
      <c r="D220" s="129"/>
      <c r="E220" s="129"/>
      <c r="F220" s="129"/>
      <c r="G220" s="59"/>
      <c r="H220" s="129"/>
      <c r="I220" s="129"/>
      <c r="J220" s="59"/>
      <c r="K220" s="59"/>
      <c r="L220" s="59"/>
    </row>
    <row r="221" spans="2:12">
      <c r="B221" s="1400"/>
      <c r="C221" s="129"/>
      <c r="D221" s="129"/>
      <c r="E221" s="129"/>
      <c r="F221" s="129"/>
      <c r="G221" s="59"/>
      <c r="H221" s="129"/>
      <c r="I221" s="129"/>
      <c r="J221" s="59"/>
      <c r="K221" s="59"/>
      <c r="L221" s="59"/>
    </row>
    <row r="222" spans="2:12">
      <c r="B222" s="1400"/>
      <c r="C222" s="129"/>
      <c r="D222" s="129"/>
      <c r="E222" s="129"/>
      <c r="F222" s="129"/>
      <c r="G222" s="59"/>
      <c r="H222" s="129"/>
      <c r="I222" s="129"/>
      <c r="J222" s="59"/>
      <c r="K222" s="59"/>
      <c r="L222" s="59"/>
    </row>
    <row r="223" spans="2:12">
      <c r="B223" s="1400"/>
      <c r="C223" s="129"/>
      <c r="D223" s="129"/>
      <c r="E223" s="129"/>
      <c r="F223" s="129"/>
      <c r="G223" s="59"/>
      <c r="H223" s="129"/>
      <c r="I223" s="129"/>
      <c r="J223" s="59"/>
      <c r="K223" s="59"/>
      <c r="L223" s="59"/>
    </row>
    <row r="224" spans="2:12">
      <c r="B224" s="1400"/>
      <c r="C224" s="129"/>
      <c r="D224" s="129"/>
      <c r="E224" s="129"/>
      <c r="F224" s="129"/>
      <c r="G224" s="59"/>
      <c r="H224" s="129"/>
      <c r="I224" s="129"/>
      <c r="J224" s="59"/>
      <c r="K224" s="59"/>
      <c r="L224" s="59"/>
    </row>
    <row r="225" spans="2:12">
      <c r="B225" s="1400"/>
      <c r="C225" s="129"/>
      <c r="D225" s="129"/>
      <c r="E225" s="129"/>
      <c r="F225" s="129"/>
      <c r="G225" s="59"/>
      <c r="H225" s="129"/>
      <c r="I225" s="129"/>
      <c r="J225" s="59"/>
      <c r="K225" s="59"/>
      <c r="L225" s="59"/>
    </row>
    <row r="226" spans="2:12">
      <c r="B226" s="1400"/>
      <c r="C226" s="129"/>
      <c r="D226" s="129"/>
      <c r="E226" s="129"/>
      <c r="F226" s="129"/>
      <c r="G226" s="59"/>
      <c r="H226" s="129"/>
      <c r="I226" s="129"/>
      <c r="J226" s="59"/>
      <c r="K226" s="59"/>
      <c r="L226" s="59"/>
    </row>
    <row r="227" spans="2:12">
      <c r="B227" s="1400"/>
      <c r="C227" s="129"/>
      <c r="D227" s="129"/>
      <c r="E227" s="129"/>
      <c r="F227" s="129"/>
      <c r="G227" s="59"/>
      <c r="H227" s="129"/>
      <c r="I227" s="129"/>
      <c r="J227" s="59"/>
      <c r="K227" s="59"/>
      <c r="L227" s="59"/>
    </row>
    <row r="228" spans="2:12">
      <c r="B228" s="1400"/>
      <c r="C228" s="129"/>
      <c r="D228" s="129"/>
      <c r="E228" s="129"/>
      <c r="F228" s="129"/>
      <c r="G228" s="59"/>
      <c r="H228" s="129"/>
      <c r="I228" s="129"/>
      <c r="J228" s="59"/>
      <c r="K228" s="59"/>
      <c r="L228" s="59"/>
    </row>
    <row r="229" spans="2:12">
      <c r="B229" s="1400"/>
      <c r="C229" s="129"/>
      <c r="D229" s="129"/>
      <c r="E229" s="129"/>
      <c r="F229" s="129"/>
      <c r="G229" s="59"/>
      <c r="H229" s="129"/>
      <c r="I229" s="129"/>
      <c r="J229" s="59"/>
      <c r="K229" s="59"/>
      <c r="L229" s="59"/>
    </row>
    <row r="230" spans="2:12">
      <c r="B230" s="1400"/>
      <c r="C230" s="129"/>
      <c r="D230" s="129"/>
      <c r="E230" s="129"/>
      <c r="F230" s="129"/>
      <c r="G230" s="59"/>
      <c r="H230" s="129"/>
      <c r="I230" s="129"/>
      <c r="J230" s="59"/>
      <c r="K230" s="59"/>
      <c r="L230" s="59"/>
    </row>
    <row r="231" spans="2:12">
      <c r="B231" s="1400"/>
      <c r="C231" s="129"/>
      <c r="D231" s="129"/>
      <c r="E231" s="129"/>
      <c r="F231" s="129"/>
      <c r="G231" s="59"/>
      <c r="H231" s="129"/>
      <c r="I231" s="129"/>
      <c r="J231" s="59"/>
      <c r="K231" s="59"/>
      <c r="L231" s="59"/>
    </row>
    <row r="232" spans="2:12">
      <c r="B232" s="1400"/>
      <c r="C232" s="129"/>
      <c r="D232" s="129"/>
      <c r="E232" s="129"/>
      <c r="F232" s="129"/>
      <c r="G232" s="59"/>
      <c r="H232" s="129"/>
      <c r="I232" s="129"/>
      <c r="J232" s="59"/>
      <c r="K232" s="59"/>
      <c r="L232" s="59"/>
    </row>
    <row r="233" spans="2:12">
      <c r="B233" s="1400"/>
      <c r="C233" s="129"/>
      <c r="D233" s="129"/>
      <c r="E233" s="129"/>
      <c r="F233" s="129"/>
      <c r="G233" s="59"/>
      <c r="H233" s="129"/>
      <c r="I233" s="129"/>
      <c r="J233" s="59"/>
      <c r="K233" s="59"/>
      <c r="L233" s="59"/>
    </row>
    <row r="234" spans="2:12">
      <c r="B234" s="1400"/>
      <c r="C234" s="129"/>
      <c r="D234" s="129"/>
      <c r="E234" s="129"/>
      <c r="F234" s="129"/>
      <c r="G234" s="59"/>
      <c r="H234" s="129"/>
      <c r="I234" s="129"/>
      <c r="J234" s="59"/>
      <c r="K234" s="59"/>
      <c r="L234" s="59"/>
    </row>
    <row r="235" spans="2:12">
      <c r="B235" s="1400"/>
      <c r="C235" s="129"/>
      <c r="D235" s="129"/>
      <c r="E235" s="129"/>
      <c r="F235" s="129"/>
      <c r="G235" s="59"/>
      <c r="H235" s="129"/>
      <c r="I235" s="129"/>
      <c r="J235" s="59"/>
      <c r="K235" s="59"/>
      <c r="L235" s="59"/>
    </row>
    <row r="236" spans="2:12">
      <c r="B236" s="1400"/>
      <c r="C236" s="129"/>
      <c r="D236" s="129"/>
      <c r="E236" s="129"/>
      <c r="F236" s="129"/>
      <c r="G236" s="59"/>
      <c r="H236" s="129"/>
      <c r="I236" s="129"/>
      <c r="J236" s="59"/>
      <c r="K236" s="59"/>
      <c r="L236" s="59"/>
    </row>
    <row r="237" spans="2:12">
      <c r="B237" s="1400"/>
      <c r="C237" s="129"/>
      <c r="D237" s="129"/>
      <c r="E237" s="129"/>
      <c r="F237" s="129"/>
      <c r="G237" s="59"/>
      <c r="H237" s="129"/>
      <c r="I237" s="129"/>
      <c r="J237" s="59"/>
      <c r="K237" s="59"/>
      <c r="L237" s="59"/>
    </row>
    <row r="238" spans="2:12">
      <c r="B238" s="1400"/>
      <c r="C238" s="129"/>
      <c r="D238" s="129"/>
      <c r="E238" s="129"/>
      <c r="F238" s="129"/>
      <c r="G238" s="59"/>
      <c r="H238" s="129"/>
      <c r="I238" s="129"/>
      <c r="J238" s="59"/>
      <c r="K238" s="59"/>
      <c r="L238" s="59"/>
    </row>
    <row r="239" spans="2:12">
      <c r="B239" s="1400"/>
      <c r="C239" s="129"/>
      <c r="D239" s="129"/>
      <c r="E239" s="129"/>
      <c r="F239" s="129"/>
      <c r="G239" s="59"/>
      <c r="H239" s="129"/>
      <c r="I239" s="129"/>
      <c r="J239" s="59"/>
      <c r="K239" s="59"/>
      <c r="L239" s="59"/>
    </row>
    <row r="240" spans="2:12">
      <c r="B240" s="1400"/>
      <c r="C240" s="129"/>
      <c r="D240" s="129"/>
      <c r="E240" s="129"/>
      <c r="F240" s="129"/>
      <c r="G240" s="59"/>
      <c r="H240" s="129"/>
      <c r="I240" s="129"/>
      <c r="J240" s="59"/>
      <c r="K240" s="59"/>
      <c r="L240" s="59"/>
    </row>
    <row r="241" spans="2:12">
      <c r="B241" s="1400"/>
      <c r="C241" s="129"/>
      <c r="D241" s="129"/>
      <c r="E241" s="129"/>
      <c r="F241" s="129"/>
      <c r="G241" s="59"/>
      <c r="H241" s="129"/>
      <c r="I241" s="129"/>
      <c r="J241" s="59"/>
      <c r="K241" s="59"/>
      <c r="L241" s="59"/>
    </row>
    <row r="242" spans="2:12">
      <c r="B242" s="1400"/>
      <c r="C242" s="129"/>
      <c r="D242" s="129"/>
      <c r="E242" s="129"/>
      <c r="F242" s="129"/>
      <c r="G242" s="59"/>
      <c r="H242" s="129"/>
      <c r="I242" s="129"/>
      <c r="J242" s="59"/>
      <c r="K242" s="59"/>
      <c r="L242" s="59"/>
    </row>
    <row r="243" spans="2:12">
      <c r="B243" s="1400"/>
      <c r="C243" s="129"/>
      <c r="D243" s="129"/>
      <c r="E243" s="129"/>
      <c r="F243" s="129"/>
      <c r="G243" s="59"/>
      <c r="H243" s="129"/>
      <c r="I243" s="129"/>
      <c r="J243" s="59"/>
      <c r="K243" s="59"/>
      <c r="L243" s="59"/>
    </row>
    <row r="244" spans="2:12">
      <c r="B244" s="1400"/>
      <c r="C244" s="129"/>
      <c r="D244" s="129"/>
      <c r="E244" s="129"/>
      <c r="F244" s="129"/>
      <c r="G244" s="59"/>
      <c r="H244" s="129"/>
      <c r="I244" s="129"/>
      <c r="J244" s="59"/>
      <c r="K244" s="59"/>
      <c r="L244" s="59"/>
    </row>
    <row r="245" spans="2:12">
      <c r="B245" s="1400"/>
      <c r="C245" s="129"/>
      <c r="D245" s="129"/>
      <c r="E245" s="129"/>
      <c r="F245" s="129"/>
      <c r="G245" s="59"/>
      <c r="H245" s="129"/>
      <c r="I245" s="129"/>
      <c r="J245" s="59"/>
      <c r="K245" s="59"/>
      <c r="L245" s="59"/>
    </row>
    <row r="246" spans="2:12">
      <c r="B246" s="1400"/>
      <c r="C246" s="129"/>
      <c r="D246" s="129"/>
      <c r="E246" s="129"/>
      <c r="F246" s="129"/>
      <c r="G246" s="59"/>
      <c r="H246" s="129"/>
      <c r="I246" s="129"/>
      <c r="J246" s="59"/>
      <c r="K246" s="59"/>
      <c r="L246" s="59"/>
    </row>
    <row r="247" spans="2:12">
      <c r="B247" s="1400"/>
      <c r="C247" s="129"/>
      <c r="D247" s="129"/>
      <c r="E247" s="129"/>
      <c r="F247" s="129"/>
      <c r="G247" s="59"/>
      <c r="H247" s="129"/>
      <c r="I247" s="129"/>
      <c r="J247" s="59"/>
      <c r="K247" s="59"/>
      <c r="L247" s="59"/>
    </row>
    <row r="248" spans="2:12">
      <c r="B248" s="1400"/>
      <c r="C248" s="129"/>
      <c r="D248" s="129"/>
      <c r="E248" s="129"/>
      <c r="F248" s="129"/>
      <c r="G248" s="59"/>
      <c r="H248" s="129"/>
      <c r="I248" s="129"/>
      <c r="J248" s="59"/>
      <c r="K248" s="59"/>
      <c r="L248" s="59"/>
    </row>
    <row r="249" spans="2:12">
      <c r="B249" s="1400"/>
      <c r="C249" s="129"/>
      <c r="D249" s="129"/>
      <c r="E249" s="129"/>
      <c r="F249" s="129"/>
      <c r="G249" s="59"/>
      <c r="H249" s="129"/>
      <c r="I249" s="129"/>
      <c r="J249" s="59"/>
      <c r="K249" s="59"/>
      <c r="L249" s="59"/>
    </row>
    <row r="250" spans="2:12">
      <c r="B250" s="1400"/>
      <c r="C250" s="129"/>
      <c r="D250" s="129"/>
      <c r="E250" s="129"/>
      <c r="F250" s="129"/>
      <c r="G250" s="59"/>
      <c r="H250" s="129"/>
      <c r="I250" s="129"/>
      <c r="J250" s="59"/>
      <c r="K250" s="59"/>
      <c r="L250" s="59"/>
    </row>
    <row r="251" spans="2:12">
      <c r="B251" s="1400"/>
      <c r="C251" s="129"/>
      <c r="D251" s="129"/>
      <c r="E251" s="129"/>
      <c r="F251" s="129"/>
      <c r="G251" s="59"/>
      <c r="H251" s="129"/>
      <c r="I251" s="129"/>
      <c r="J251" s="59"/>
      <c r="K251" s="59"/>
      <c r="L251" s="59"/>
    </row>
    <row r="252" spans="2:12">
      <c r="B252" s="1400"/>
      <c r="C252" s="129"/>
      <c r="D252" s="129"/>
      <c r="E252" s="129"/>
      <c r="F252" s="129"/>
      <c r="G252" s="59"/>
      <c r="H252" s="129"/>
      <c r="I252" s="129"/>
      <c r="J252" s="59"/>
      <c r="K252" s="59"/>
      <c r="L252" s="59"/>
    </row>
    <row r="253" spans="2:12">
      <c r="B253" s="1400"/>
      <c r="C253" s="129"/>
      <c r="D253" s="129"/>
      <c r="E253" s="129"/>
      <c r="F253" s="129"/>
      <c r="G253" s="59"/>
      <c r="H253" s="129"/>
      <c r="I253" s="129"/>
      <c r="J253" s="59"/>
      <c r="K253" s="59"/>
      <c r="L253" s="59"/>
    </row>
    <row r="254" spans="2:12">
      <c r="B254" s="1400"/>
      <c r="C254" s="129"/>
      <c r="D254" s="129"/>
      <c r="E254" s="129"/>
      <c r="F254" s="129"/>
      <c r="G254" s="59"/>
      <c r="H254" s="129"/>
      <c r="I254" s="129"/>
      <c r="J254" s="59"/>
      <c r="K254" s="59"/>
      <c r="L254" s="59"/>
    </row>
    <row r="255" spans="2:12">
      <c r="B255" s="1400"/>
      <c r="C255" s="129"/>
      <c r="D255" s="129"/>
      <c r="E255" s="129"/>
      <c r="F255" s="129"/>
      <c r="G255" s="59"/>
      <c r="H255" s="129"/>
      <c r="I255" s="129"/>
      <c r="J255" s="59"/>
      <c r="K255" s="59"/>
      <c r="L255" s="59"/>
    </row>
    <row r="256" spans="2:12">
      <c r="B256" s="1400"/>
      <c r="C256" s="129"/>
      <c r="D256" s="129"/>
      <c r="E256" s="129"/>
      <c r="F256" s="129"/>
      <c r="G256" s="59"/>
      <c r="H256" s="129"/>
      <c r="I256" s="129"/>
      <c r="J256" s="59"/>
      <c r="K256" s="59"/>
      <c r="L256" s="59"/>
    </row>
    <row r="257" spans="2:12">
      <c r="B257" s="1400"/>
      <c r="C257" s="129"/>
      <c r="D257" s="129"/>
      <c r="E257" s="129"/>
      <c r="F257" s="129"/>
      <c r="G257" s="59"/>
      <c r="H257" s="129"/>
      <c r="I257" s="129"/>
      <c r="J257" s="59"/>
      <c r="K257" s="59"/>
      <c r="L257" s="59"/>
    </row>
    <row r="258" spans="2:12">
      <c r="B258" s="1400"/>
      <c r="C258" s="129"/>
      <c r="D258" s="129"/>
      <c r="E258" s="129"/>
      <c r="F258" s="129"/>
      <c r="G258" s="59"/>
      <c r="H258" s="129"/>
      <c r="I258" s="129"/>
      <c r="J258" s="59"/>
      <c r="K258" s="59"/>
      <c r="L258" s="59"/>
    </row>
    <row r="259" spans="2:12">
      <c r="B259" s="1400"/>
      <c r="C259" s="129"/>
      <c r="D259" s="129"/>
      <c r="E259" s="129"/>
      <c r="F259" s="129"/>
      <c r="G259" s="59"/>
      <c r="H259" s="129"/>
      <c r="I259" s="129"/>
      <c r="J259" s="59"/>
      <c r="K259" s="59"/>
      <c r="L259" s="59"/>
    </row>
    <row r="260" spans="2:12">
      <c r="B260" s="1400"/>
      <c r="C260" s="129"/>
      <c r="D260" s="129"/>
      <c r="E260" s="129"/>
      <c r="F260" s="129"/>
      <c r="G260" s="59"/>
      <c r="H260" s="129"/>
      <c r="I260" s="129"/>
      <c r="J260" s="59"/>
      <c r="K260" s="59"/>
      <c r="L260" s="59"/>
    </row>
    <row r="261" spans="2:12">
      <c r="B261" s="1400"/>
      <c r="C261" s="129"/>
      <c r="D261" s="129"/>
      <c r="E261" s="129"/>
      <c r="F261" s="129"/>
      <c r="G261" s="59"/>
      <c r="H261" s="129"/>
      <c r="I261" s="129"/>
      <c r="J261" s="59"/>
      <c r="K261" s="59"/>
      <c r="L261" s="59"/>
    </row>
    <row r="262" spans="2:12">
      <c r="B262" s="1400"/>
      <c r="C262" s="129"/>
      <c r="D262" s="129"/>
      <c r="E262" s="129"/>
      <c r="F262" s="129"/>
      <c r="G262" s="59"/>
      <c r="H262" s="129"/>
      <c r="I262" s="129"/>
      <c r="J262" s="59"/>
      <c r="K262" s="59"/>
      <c r="L262" s="59"/>
    </row>
    <row r="263" spans="2:12">
      <c r="B263" s="1400"/>
      <c r="C263" s="129"/>
      <c r="D263" s="129"/>
      <c r="E263" s="129"/>
      <c r="F263" s="129"/>
      <c r="G263" s="59"/>
      <c r="H263" s="129"/>
      <c r="I263" s="129"/>
      <c r="J263" s="59"/>
      <c r="K263" s="59"/>
      <c r="L263" s="59"/>
    </row>
    <row r="264" spans="2:12">
      <c r="B264" s="1400"/>
      <c r="C264" s="129"/>
      <c r="D264" s="129"/>
      <c r="E264" s="129"/>
      <c r="F264" s="129"/>
      <c r="G264" s="59"/>
      <c r="H264" s="129"/>
      <c r="I264" s="129"/>
      <c r="J264" s="59"/>
      <c r="K264" s="59"/>
      <c r="L264" s="59"/>
    </row>
    <row r="265" spans="2:12">
      <c r="B265" s="1400"/>
      <c r="C265" s="129"/>
      <c r="D265" s="129"/>
      <c r="E265" s="129"/>
      <c r="F265" s="129"/>
      <c r="G265" s="59"/>
      <c r="H265" s="129"/>
      <c r="I265" s="129"/>
      <c r="J265" s="59"/>
      <c r="K265" s="59"/>
      <c r="L265" s="59"/>
    </row>
    <row r="266" spans="2:12">
      <c r="B266" s="1400"/>
      <c r="C266" s="129"/>
      <c r="D266" s="129"/>
      <c r="E266" s="129"/>
      <c r="F266" s="129"/>
      <c r="G266" s="59"/>
      <c r="H266" s="129"/>
      <c r="I266" s="129"/>
      <c r="J266" s="59"/>
      <c r="K266" s="59"/>
      <c r="L266" s="59"/>
    </row>
    <row r="267" spans="2:12">
      <c r="B267" s="1400"/>
      <c r="C267" s="129"/>
      <c r="D267" s="129"/>
      <c r="E267" s="129"/>
      <c r="F267" s="129"/>
      <c r="G267" s="59"/>
      <c r="H267" s="129"/>
      <c r="I267" s="129"/>
      <c r="J267" s="59"/>
      <c r="K267" s="59"/>
      <c r="L267" s="59"/>
    </row>
    <row r="268" spans="2:12">
      <c r="B268" s="1400"/>
      <c r="C268" s="129"/>
      <c r="D268" s="129"/>
      <c r="E268" s="129"/>
      <c r="F268" s="129"/>
      <c r="G268" s="59"/>
      <c r="H268" s="129"/>
      <c r="I268" s="129"/>
      <c r="J268" s="59"/>
      <c r="K268" s="59"/>
      <c r="L268" s="59"/>
    </row>
    <row r="269" spans="2:12">
      <c r="B269" s="1400"/>
      <c r="C269" s="129"/>
      <c r="D269" s="129"/>
      <c r="E269" s="129"/>
      <c r="F269" s="129"/>
      <c r="G269" s="59"/>
      <c r="H269" s="129"/>
      <c r="I269" s="129"/>
      <c r="J269" s="59"/>
      <c r="K269" s="59"/>
      <c r="L269" s="59"/>
    </row>
    <row r="270" spans="2:12">
      <c r="B270" s="1400"/>
      <c r="C270" s="129"/>
      <c r="D270" s="129"/>
      <c r="E270" s="129"/>
      <c r="F270" s="129"/>
      <c r="G270" s="59"/>
      <c r="H270" s="129"/>
      <c r="I270" s="129"/>
      <c r="J270" s="59"/>
      <c r="K270" s="59"/>
      <c r="L270" s="59"/>
    </row>
    <row r="271" spans="2:12">
      <c r="B271" s="1400"/>
      <c r="C271" s="129"/>
      <c r="D271" s="129"/>
      <c r="E271" s="129"/>
      <c r="F271" s="129"/>
      <c r="G271" s="59"/>
      <c r="H271" s="129"/>
      <c r="I271" s="129"/>
      <c r="J271" s="59"/>
      <c r="K271" s="59"/>
      <c r="L271" s="59"/>
    </row>
    <row r="272" spans="2:12">
      <c r="B272" s="1400"/>
      <c r="C272" s="129"/>
      <c r="D272" s="129"/>
      <c r="E272" s="129"/>
      <c r="F272" s="129"/>
      <c r="G272" s="59"/>
      <c r="H272" s="129"/>
      <c r="I272" s="129"/>
      <c r="J272" s="59"/>
      <c r="K272" s="59"/>
      <c r="L272" s="59"/>
    </row>
    <row r="273" spans="2:12">
      <c r="B273" s="1400"/>
      <c r="C273" s="129"/>
      <c r="D273" s="129"/>
      <c r="E273" s="129"/>
      <c r="F273" s="129"/>
      <c r="G273" s="59"/>
      <c r="H273" s="129"/>
      <c r="I273" s="129"/>
      <c r="J273" s="59"/>
      <c r="K273" s="59"/>
      <c r="L273" s="59"/>
    </row>
    <row r="274" spans="2:12">
      <c r="B274" s="1400"/>
      <c r="C274" s="129"/>
      <c r="D274" s="129"/>
      <c r="E274" s="129"/>
      <c r="F274" s="129"/>
      <c r="G274" s="59"/>
      <c r="H274" s="129"/>
      <c r="I274" s="129"/>
      <c r="J274" s="59"/>
      <c r="K274" s="59"/>
      <c r="L274" s="59"/>
    </row>
    <row r="275" spans="2:12">
      <c r="B275" s="1400"/>
      <c r="C275" s="129"/>
      <c r="D275" s="129"/>
      <c r="E275" s="129"/>
      <c r="F275" s="129"/>
      <c r="G275" s="59"/>
      <c r="H275" s="129"/>
      <c r="I275" s="129"/>
      <c r="J275" s="59"/>
      <c r="K275" s="59"/>
      <c r="L275" s="59"/>
    </row>
    <row r="276" spans="2:12">
      <c r="B276" s="1400"/>
      <c r="C276" s="129"/>
      <c r="D276" s="129"/>
      <c r="E276" s="129"/>
      <c r="F276" s="129"/>
      <c r="G276" s="59"/>
      <c r="H276" s="129"/>
      <c r="I276" s="129"/>
      <c r="J276" s="59"/>
      <c r="K276" s="59"/>
      <c r="L276" s="59"/>
    </row>
    <row r="277" spans="2:12">
      <c r="B277" s="1400"/>
      <c r="C277" s="129"/>
      <c r="D277" s="129"/>
      <c r="E277" s="129"/>
      <c r="F277" s="129"/>
      <c r="G277" s="59"/>
      <c r="H277" s="129"/>
      <c r="I277" s="129"/>
      <c r="J277" s="59"/>
      <c r="K277" s="59"/>
      <c r="L277" s="59"/>
    </row>
    <row r="278" spans="2:12">
      <c r="B278" s="1400"/>
      <c r="C278" s="129"/>
      <c r="D278" s="129"/>
      <c r="E278" s="129"/>
      <c r="F278" s="129"/>
      <c r="G278" s="59"/>
      <c r="H278" s="129"/>
      <c r="I278" s="129"/>
      <c r="J278" s="59"/>
      <c r="K278" s="59"/>
      <c r="L278" s="59"/>
    </row>
    <row r="279" spans="2:12">
      <c r="B279" s="1400"/>
      <c r="C279" s="129"/>
      <c r="D279" s="129"/>
      <c r="E279" s="129"/>
      <c r="F279" s="129"/>
      <c r="G279" s="59"/>
      <c r="H279" s="129"/>
      <c r="I279" s="129"/>
      <c r="J279" s="59"/>
      <c r="K279" s="59"/>
      <c r="L279" s="59"/>
    </row>
    <row r="280" spans="2:12">
      <c r="B280" s="1400"/>
      <c r="C280" s="129"/>
      <c r="D280" s="129"/>
      <c r="E280" s="129"/>
      <c r="F280" s="129"/>
      <c r="G280" s="59"/>
      <c r="H280" s="129"/>
      <c r="I280" s="129"/>
      <c r="J280" s="59"/>
      <c r="K280" s="59"/>
      <c r="L280" s="59"/>
    </row>
    <row r="281" spans="2:12">
      <c r="B281" s="1400"/>
      <c r="C281" s="129"/>
      <c r="D281" s="129"/>
      <c r="E281" s="129"/>
      <c r="F281" s="129"/>
      <c r="G281" s="59"/>
      <c r="H281" s="129"/>
      <c r="I281" s="129"/>
      <c r="J281" s="59"/>
      <c r="K281" s="59"/>
      <c r="L281" s="59"/>
    </row>
    <row r="282" spans="2:12">
      <c r="B282" s="1400"/>
      <c r="C282" s="129"/>
      <c r="D282" s="129"/>
      <c r="E282" s="129"/>
      <c r="F282" s="129"/>
      <c r="G282" s="59"/>
      <c r="H282" s="129"/>
      <c r="I282" s="129"/>
      <c r="J282" s="59"/>
      <c r="K282" s="59"/>
      <c r="L282" s="59"/>
    </row>
    <row r="283" spans="2:12">
      <c r="B283" s="1400"/>
      <c r="C283" s="129"/>
      <c r="D283" s="129"/>
      <c r="E283" s="129"/>
      <c r="F283" s="129"/>
      <c r="G283" s="59"/>
      <c r="H283" s="129"/>
      <c r="I283" s="129"/>
      <c r="J283" s="59"/>
      <c r="K283" s="59"/>
      <c r="L283" s="59"/>
    </row>
    <row r="284" spans="2:12">
      <c r="B284" s="1400"/>
      <c r="C284" s="129"/>
      <c r="D284" s="129"/>
      <c r="E284" s="129"/>
      <c r="F284" s="129"/>
      <c r="G284" s="59"/>
      <c r="H284" s="129"/>
      <c r="I284" s="129"/>
      <c r="J284" s="59"/>
      <c r="K284" s="59"/>
      <c r="L284" s="59"/>
    </row>
    <row r="285" spans="2:12">
      <c r="B285" s="1400"/>
      <c r="C285" s="129"/>
      <c r="D285" s="129"/>
      <c r="E285" s="129"/>
      <c r="F285" s="129"/>
      <c r="G285" s="59"/>
      <c r="H285" s="129"/>
      <c r="I285" s="129"/>
      <c r="J285" s="59"/>
      <c r="K285" s="59"/>
      <c r="L285" s="59"/>
    </row>
    <row r="286" spans="2:12">
      <c r="B286" s="1400"/>
      <c r="C286" s="129"/>
      <c r="D286" s="129"/>
      <c r="E286" s="129"/>
      <c r="F286" s="129"/>
      <c r="G286" s="59"/>
      <c r="H286" s="129"/>
      <c r="I286" s="129"/>
      <c r="J286" s="59"/>
      <c r="K286" s="59"/>
      <c r="L286" s="59"/>
    </row>
    <row r="287" spans="2:12">
      <c r="B287" s="1400"/>
      <c r="C287" s="129"/>
      <c r="D287" s="129"/>
      <c r="E287" s="129"/>
      <c r="F287" s="129"/>
      <c r="G287" s="59"/>
      <c r="H287" s="129"/>
      <c r="I287" s="129"/>
      <c r="J287" s="59"/>
      <c r="K287" s="59"/>
      <c r="L287" s="59"/>
    </row>
    <row r="288" spans="2:12">
      <c r="B288" s="1400"/>
      <c r="C288" s="129"/>
      <c r="D288" s="129"/>
      <c r="E288" s="129"/>
      <c r="F288" s="129"/>
      <c r="G288" s="59"/>
      <c r="H288" s="129"/>
      <c r="I288" s="129"/>
      <c r="J288" s="59"/>
      <c r="K288" s="59"/>
      <c r="L288" s="59"/>
    </row>
    <row r="289" spans="2:12">
      <c r="B289" s="1400"/>
      <c r="C289" s="129"/>
      <c r="D289" s="129"/>
      <c r="E289" s="129"/>
      <c r="F289" s="129"/>
      <c r="G289" s="59"/>
      <c r="H289" s="129"/>
      <c r="I289" s="129"/>
      <c r="J289" s="59"/>
      <c r="K289" s="59"/>
      <c r="L289" s="59"/>
    </row>
    <row r="290" spans="2:12">
      <c r="B290" s="1400"/>
      <c r="C290" s="129"/>
      <c r="D290" s="129"/>
      <c r="E290" s="129"/>
      <c r="F290" s="129"/>
      <c r="G290" s="59"/>
      <c r="H290" s="129"/>
      <c r="I290" s="129"/>
      <c r="J290" s="59"/>
      <c r="K290" s="59"/>
      <c r="L290" s="59"/>
    </row>
    <row r="291" spans="2:12">
      <c r="B291" s="1400"/>
      <c r="C291" s="129"/>
      <c r="D291" s="129"/>
      <c r="E291" s="129"/>
      <c r="F291" s="129"/>
      <c r="G291" s="59"/>
      <c r="H291" s="129"/>
      <c r="I291" s="129"/>
      <c r="J291" s="59"/>
      <c r="K291" s="59"/>
      <c r="L291" s="59"/>
    </row>
    <row r="292" spans="2:12">
      <c r="B292" s="1400"/>
      <c r="C292" s="129"/>
      <c r="D292" s="129"/>
      <c r="E292" s="129"/>
      <c r="F292" s="129"/>
      <c r="G292" s="59"/>
      <c r="H292" s="129"/>
      <c r="I292" s="129"/>
      <c r="J292" s="59"/>
      <c r="K292" s="59"/>
      <c r="L292" s="59"/>
    </row>
    <row r="293" spans="2:12">
      <c r="B293" s="1400"/>
      <c r="C293" s="129"/>
      <c r="D293" s="129"/>
      <c r="E293" s="129"/>
      <c r="F293" s="129"/>
      <c r="G293" s="59"/>
      <c r="H293" s="129"/>
      <c r="I293" s="129"/>
      <c r="J293" s="59"/>
      <c r="K293" s="59"/>
      <c r="L293" s="59"/>
    </row>
    <row r="294" spans="2:12">
      <c r="B294" s="1400"/>
      <c r="C294" s="129"/>
      <c r="D294" s="129"/>
      <c r="E294" s="129"/>
      <c r="F294" s="129"/>
      <c r="G294" s="59"/>
      <c r="H294" s="129"/>
      <c r="I294" s="129"/>
      <c r="J294" s="59"/>
      <c r="K294" s="59"/>
      <c r="L294" s="59"/>
    </row>
    <row r="295" spans="2:12">
      <c r="B295" s="1400"/>
      <c r="C295" s="129"/>
      <c r="D295" s="129"/>
      <c r="E295" s="129"/>
      <c r="F295" s="129"/>
      <c r="G295" s="59"/>
      <c r="H295" s="129"/>
      <c r="I295" s="129"/>
      <c r="J295" s="59"/>
      <c r="K295" s="59"/>
      <c r="L295" s="59"/>
    </row>
    <row r="296" spans="2:12">
      <c r="B296" s="1400"/>
      <c r="C296" s="129"/>
      <c r="D296" s="129"/>
      <c r="E296" s="129"/>
      <c r="F296" s="129"/>
      <c r="G296" s="59"/>
      <c r="H296" s="129"/>
      <c r="I296" s="129"/>
      <c r="J296" s="59"/>
      <c r="K296" s="59"/>
      <c r="L296" s="59"/>
    </row>
    <row r="297" spans="2:12">
      <c r="B297" s="1400"/>
      <c r="C297" s="129"/>
      <c r="D297" s="129"/>
      <c r="E297" s="129"/>
      <c r="F297" s="129"/>
      <c r="G297" s="59"/>
      <c r="H297" s="129"/>
      <c r="I297" s="129"/>
      <c r="J297" s="59"/>
      <c r="K297" s="59"/>
      <c r="L297" s="59"/>
    </row>
    <row r="298" spans="2:12">
      <c r="B298" s="1400"/>
      <c r="C298" s="129"/>
      <c r="D298" s="129"/>
      <c r="E298" s="129"/>
      <c r="F298" s="129"/>
      <c r="G298" s="59"/>
      <c r="H298" s="129"/>
      <c r="I298" s="129"/>
      <c r="J298" s="59"/>
      <c r="K298" s="59"/>
      <c r="L298" s="59"/>
    </row>
    <row r="299" spans="2:12">
      <c r="B299" s="1400"/>
      <c r="C299" s="129"/>
      <c r="D299" s="129"/>
      <c r="E299" s="129"/>
      <c r="F299" s="129"/>
      <c r="G299" s="59"/>
      <c r="H299" s="129"/>
      <c r="I299" s="129"/>
      <c r="J299" s="59"/>
      <c r="K299" s="59"/>
      <c r="L299" s="59"/>
    </row>
    <row r="300" spans="2:12">
      <c r="B300" s="1400"/>
      <c r="C300" s="129"/>
      <c r="D300" s="129"/>
      <c r="E300" s="129"/>
      <c r="F300" s="129"/>
      <c r="G300" s="59"/>
      <c r="H300" s="129"/>
      <c r="I300" s="129"/>
      <c r="J300" s="59"/>
      <c r="K300" s="59"/>
      <c r="L300" s="59"/>
    </row>
    <row r="301" spans="2:12">
      <c r="F301" s="129"/>
      <c r="G301" s="59"/>
      <c r="H301" s="129"/>
      <c r="I301" s="129"/>
      <c r="J301" s="59"/>
      <c r="K301" s="59"/>
      <c r="L301" s="59"/>
    </row>
    <row r="302" spans="2:12">
      <c r="F302" s="129"/>
      <c r="G302" s="59"/>
      <c r="H302" s="129"/>
      <c r="I302" s="129"/>
      <c r="J302" s="59"/>
      <c r="K302" s="59"/>
      <c r="L302" s="59"/>
    </row>
    <row r="303" spans="2:12">
      <c r="F303" s="129"/>
      <c r="G303" s="59"/>
      <c r="H303" s="129"/>
      <c r="I303" s="129"/>
      <c r="J303" s="59"/>
      <c r="K303" s="59"/>
      <c r="L303" s="59"/>
    </row>
    <row r="304" spans="2:12">
      <c r="F304" s="129"/>
      <c r="G304" s="59"/>
      <c r="H304" s="129"/>
      <c r="I304" s="129"/>
      <c r="J304" s="59"/>
      <c r="K304" s="59"/>
      <c r="L304" s="59"/>
    </row>
    <row r="305" spans="6:12">
      <c r="F305" s="129"/>
      <c r="G305" s="59"/>
      <c r="H305" s="129"/>
      <c r="I305" s="129"/>
      <c r="J305" s="59"/>
      <c r="K305" s="59"/>
      <c r="L305" s="59"/>
    </row>
    <row r="306" spans="6:12">
      <c r="F306" s="129"/>
      <c r="G306" s="59"/>
      <c r="H306" s="129"/>
      <c r="I306" s="129"/>
      <c r="J306" s="59"/>
      <c r="K306" s="59"/>
      <c r="L306" s="59"/>
    </row>
    <row r="307" spans="6:12">
      <c r="F307" s="129"/>
      <c r="G307" s="59"/>
      <c r="H307" s="129"/>
      <c r="I307" s="129"/>
      <c r="J307" s="59"/>
      <c r="K307" s="59"/>
      <c r="L307" s="59"/>
    </row>
    <row r="308" spans="6:12">
      <c r="F308" s="129"/>
      <c r="G308" s="59"/>
      <c r="H308" s="129"/>
      <c r="I308" s="129"/>
      <c r="J308" s="59"/>
      <c r="K308" s="59"/>
      <c r="L308" s="59"/>
    </row>
    <row r="309" spans="6:12">
      <c r="F309" s="129"/>
      <c r="G309" s="59"/>
      <c r="H309" s="129"/>
      <c r="I309" s="129"/>
      <c r="J309" s="59"/>
      <c r="K309" s="59"/>
      <c r="L309" s="59"/>
    </row>
    <row r="310" spans="6:12">
      <c r="F310" s="129"/>
      <c r="G310" s="59"/>
      <c r="H310" s="129"/>
      <c r="I310" s="129"/>
      <c r="J310" s="59"/>
      <c r="K310" s="59"/>
      <c r="L310" s="59"/>
    </row>
    <row r="311" spans="6:12">
      <c r="F311" s="129"/>
      <c r="G311" s="59"/>
      <c r="H311" s="129"/>
      <c r="I311" s="129"/>
      <c r="J311" s="59"/>
      <c r="K311" s="59"/>
      <c r="L311" s="59"/>
    </row>
    <row r="312" spans="6:12">
      <c r="F312" s="129"/>
      <c r="G312" s="59"/>
      <c r="H312" s="129"/>
      <c r="I312" s="129"/>
      <c r="J312" s="59"/>
      <c r="K312" s="59"/>
      <c r="L312" s="59"/>
    </row>
    <row r="313" spans="6:12">
      <c r="F313" s="129"/>
      <c r="G313" s="59"/>
      <c r="H313" s="129"/>
      <c r="I313" s="129"/>
      <c r="J313" s="59"/>
      <c r="K313" s="59"/>
      <c r="L313" s="59"/>
    </row>
    <row r="314" spans="6:12">
      <c r="F314" s="129"/>
      <c r="G314" s="59"/>
      <c r="H314" s="129"/>
      <c r="I314" s="129"/>
      <c r="J314" s="59"/>
      <c r="K314" s="59"/>
      <c r="L314" s="59"/>
    </row>
    <row r="315" spans="6:12">
      <c r="F315" s="129"/>
      <c r="G315" s="59"/>
      <c r="H315" s="129"/>
      <c r="I315" s="129"/>
      <c r="J315" s="59"/>
      <c r="K315" s="59"/>
      <c r="L315" s="59"/>
    </row>
    <row r="316" spans="6:12">
      <c r="F316" s="129"/>
      <c r="G316" s="59"/>
      <c r="H316" s="129"/>
      <c r="I316" s="129"/>
      <c r="J316" s="59"/>
      <c r="K316" s="59"/>
      <c r="L316" s="59"/>
    </row>
    <row r="317" spans="6:12">
      <c r="F317" s="129"/>
      <c r="G317" s="59"/>
      <c r="H317" s="129"/>
      <c r="I317" s="129"/>
      <c r="J317" s="59"/>
      <c r="K317" s="59"/>
      <c r="L317" s="59"/>
    </row>
    <row r="318" spans="6:12">
      <c r="F318" s="129"/>
      <c r="G318" s="59"/>
      <c r="H318" s="129"/>
      <c r="I318" s="129"/>
      <c r="J318" s="59"/>
      <c r="K318" s="59"/>
      <c r="L318" s="59"/>
    </row>
    <row r="319" spans="6:12">
      <c r="F319" s="129"/>
      <c r="G319" s="59"/>
      <c r="H319" s="129"/>
      <c r="I319" s="129"/>
      <c r="J319" s="59"/>
      <c r="K319" s="59"/>
      <c r="L319" s="59"/>
    </row>
    <row r="320" spans="6:12">
      <c r="F320" s="129"/>
      <c r="G320" s="59"/>
      <c r="H320" s="129"/>
      <c r="I320" s="129"/>
      <c r="J320" s="59"/>
      <c r="K320" s="59"/>
      <c r="L320" s="59"/>
    </row>
    <row r="321" spans="6:12">
      <c r="F321" s="129"/>
      <c r="G321" s="59"/>
      <c r="H321" s="129"/>
      <c r="I321" s="129"/>
      <c r="J321" s="59"/>
      <c r="K321" s="59"/>
      <c r="L321" s="59"/>
    </row>
    <row r="322" spans="6:12">
      <c r="F322" s="129"/>
      <c r="G322" s="59"/>
      <c r="H322" s="129"/>
      <c r="I322" s="129"/>
      <c r="J322" s="59"/>
      <c r="K322" s="59"/>
      <c r="L322" s="59"/>
    </row>
    <row r="323" spans="6:12">
      <c r="F323" s="129"/>
      <c r="G323" s="59"/>
      <c r="H323" s="129"/>
      <c r="I323" s="129"/>
      <c r="J323" s="59"/>
      <c r="K323" s="59"/>
      <c r="L323" s="59"/>
    </row>
    <row r="324" spans="6:12">
      <c r="F324" s="129"/>
      <c r="G324" s="59"/>
      <c r="H324" s="129"/>
      <c r="I324" s="129"/>
      <c r="J324" s="59"/>
      <c r="K324" s="59"/>
      <c r="L324" s="59"/>
    </row>
    <row r="325" spans="6:12">
      <c r="F325" s="129"/>
      <c r="G325" s="59"/>
      <c r="H325" s="129"/>
      <c r="I325" s="129"/>
      <c r="J325" s="59"/>
      <c r="K325" s="59"/>
      <c r="L325" s="59"/>
    </row>
    <row r="326" spans="6:12">
      <c r="F326" s="129"/>
      <c r="G326" s="59"/>
      <c r="H326" s="129"/>
      <c r="I326" s="129"/>
      <c r="J326" s="59"/>
      <c r="K326" s="59"/>
      <c r="L326" s="59"/>
    </row>
    <row r="327" spans="6:12">
      <c r="F327" s="129"/>
      <c r="G327" s="59"/>
      <c r="H327" s="129"/>
      <c r="I327" s="129"/>
      <c r="J327" s="59"/>
      <c r="K327" s="59"/>
      <c r="L327" s="59"/>
    </row>
    <row r="328" spans="6:12">
      <c r="F328" s="129"/>
      <c r="G328" s="59"/>
      <c r="H328" s="129"/>
      <c r="I328" s="129"/>
      <c r="J328" s="59"/>
      <c r="K328" s="59"/>
      <c r="L328" s="59"/>
    </row>
    <row r="329" spans="6:12">
      <c r="F329" s="129"/>
      <c r="G329" s="59"/>
      <c r="H329" s="129"/>
      <c r="I329" s="129"/>
      <c r="J329" s="59"/>
      <c r="K329" s="59"/>
      <c r="L329" s="59"/>
    </row>
    <row r="330" spans="6:12">
      <c r="F330" s="129"/>
      <c r="G330" s="59"/>
      <c r="H330" s="129"/>
      <c r="I330" s="129"/>
      <c r="J330" s="59"/>
      <c r="K330" s="59"/>
      <c r="L330" s="59"/>
    </row>
    <row r="331" spans="6:12">
      <c r="F331" s="129"/>
      <c r="G331" s="59"/>
      <c r="H331" s="129"/>
      <c r="I331" s="129"/>
      <c r="J331" s="59"/>
      <c r="K331" s="59"/>
      <c r="L331" s="59"/>
    </row>
    <row r="332" spans="6:12">
      <c r="F332" s="129"/>
      <c r="G332" s="59"/>
      <c r="H332" s="129"/>
      <c r="I332" s="129"/>
      <c r="J332" s="59"/>
      <c r="K332" s="59"/>
      <c r="L332" s="59"/>
    </row>
    <row r="333" spans="6:12">
      <c r="F333" s="129"/>
      <c r="G333" s="59"/>
      <c r="H333" s="129"/>
      <c r="I333" s="129"/>
      <c r="J333" s="59"/>
      <c r="K333" s="59"/>
      <c r="L333" s="59"/>
    </row>
    <row r="334" spans="6:12">
      <c r="F334" s="129"/>
      <c r="G334" s="59"/>
      <c r="H334" s="129"/>
      <c r="I334" s="129"/>
      <c r="J334" s="59"/>
      <c r="K334" s="59"/>
      <c r="L334" s="59"/>
    </row>
    <row r="335" spans="6:12">
      <c r="F335" s="129"/>
      <c r="G335" s="59"/>
      <c r="H335" s="129"/>
      <c r="I335" s="129"/>
      <c r="J335" s="59"/>
      <c r="K335" s="59"/>
      <c r="L335" s="59"/>
    </row>
    <row r="336" spans="6:12">
      <c r="F336" s="129"/>
      <c r="G336" s="59"/>
      <c r="H336" s="129"/>
      <c r="I336" s="129"/>
      <c r="J336" s="59"/>
      <c r="K336" s="59"/>
      <c r="L336" s="59"/>
    </row>
    <row r="337" spans="6:12">
      <c r="F337" s="129"/>
      <c r="G337" s="59"/>
      <c r="H337" s="129"/>
      <c r="I337" s="129"/>
      <c r="J337" s="59"/>
      <c r="K337" s="59"/>
      <c r="L337" s="59"/>
    </row>
    <row r="338" spans="6:12">
      <c r="F338" s="129"/>
      <c r="G338" s="59"/>
      <c r="H338" s="129"/>
      <c r="I338" s="129"/>
      <c r="J338" s="59"/>
      <c r="K338" s="59"/>
      <c r="L338" s="59"/>
    </row>
    <row r="339" spans="6:12">
      <c r="F339" s="129"/>
      <c r="G339" s="59"/>
      <c r="H339" s="129"/>
      <c r="I339" s="129"/>
      <c r="J339" s="59"/>
      <c r="K339" s="59"/>
      <c r="L339" s="59"/>
    </row>
    <row r="340" spans="6:12">
      <c r="F340" s="129"/>
      <c r="G340" s="59"/>
      <c r="H340" s="129"/>
      <c r="I340" s="129"/>
      <c r="J340" s="59"/>
      <c r="K340" s="59"/>
      <c r="L340" s="59"/>
    </row>
    <row r="341" spans="6:12">
      <c r="F341" s="129"/>
      <c r="G341" s="59"/>
      <c r="H341" s="129"/>
      <c r="I341" s="129"/>
      <c r="J341" s="59"/>
      <c r="K341" s="59"/>
      <c r="L341" s="59"/>
    </row>
    <row r="342" spans="6:12">
      <c r="F342" s="129"/>
      <c r="G342" s="59"/>
      <c r="H342" s="129"/>
      <c r="I342" s="129"/>
      <c r="J342" s="59"/>
      <c r="K342" s="59"/>
      <c r="L342" s="59"/>
    </row>
    <row r="343" spans="6:12">
      <c r="F343" s="129"/>
      <c r="G343" s="59"/>
      <c r="H343" s="129"/>
      <c r="I343" s="129"/>
      <c r="J343" s="59"/>
      <c r="K343" s="59"/>
      <c r="L343" s="59"/>
    </row>
    <row r="344" spans="6:12">
      <c r="F344" s="129"/>
      <c r="G344" s="59"/>
      <c r="H344" s="129"/>
      <c r="I344" s="129"/>
      <c r="J344" s="59"/>
      <c r="K344" s="59"/>
      <c r="L344" s="59"/>
    </row>
    <row r="345" spans="6:12">
      <c r="F345" s="129"/>
      <c r="G345" s="59"/>
      <c r="H345" s="129"/>
      <c r="I345" s="129"/>
      <c r="J345" s="59"/>
      <c r="K345" s="59"/>
      <c r="L345" s="59"/>
    </row>
    <row r="346" spans="6:12">
      <c r="F346" s="129"/>
      <c r="G346" s="59"/>
      <c r="H346" s="129"/>
      <c r="I346" s="129"/>
      <c r="J346" s="59"/>
      <c r="K346" s="59"/>
      <c r="L346" s="59"/>
    </row>
    <row r="347" spans="6:12">
      <c r="F347" s="129"/>
      <c r="G347" s="59"/>
      <c r="H347" s="129"/>
      <c r="I347" s="129"/>
      <c r="J347" s="59"/>
      <c r="K347" s="59"/>
      <c r="L347" s="59"/>
    </row>
    <row r="348" spans="6:12">
      <c r="F348" s="129"/>
      <c r="G348" s="59"/>
      <c r="H348" s="129"/>
      <c r="I348" s="129"/>
      <c r="J348" s="59"/>
      <c r="K348" s="59"/>
      <c r="L348" s="59"/>
    </row>
    <row r="349" spans="6:12">
      <c r="F349" s="129"/>
      <c r="G349" s="59"/>
      <c r="H349" s="129"/>
      <c r="I349" s="129"/>
      <c r="J349" s="59"/>
      <c r="K349" s="59"/>
      <c r="L349" s="59"/>
    </row>
    <row r="350" spans="6:12">
      <c r="F350" s="129"/>
      <c r="G350" s="59"/>
      <c r="H350" s="129"/>
      <c r="I350" s="129"/>
      <c r="J350" s="59"/>
      <c r="K350" s="59"/>
      <c r="L350" s="59"/>
    </row>
    <row r="351" spans="6:12">
      <c r="F351" s="129"/>
      <c r="G351" s="59"/>
      <c r="H351" s="129"/>
      <c r="I351" s="129"/>
      <c r="J351" s="59"/>
      <c r="K351" s="59"/>
      <c r="L351" s="59"/>
    </row>
    <row r="352" spans="6:12">
      <c r="F352" s="129"/>
      <c r="G352" s="59"/>
      <c r="H352" s="129"/>
      <c r="I352" s="129"/>
      <c r="J352" s="59"/>
      <c r="K352" s="59"/>
      <c r="L352" s="59"/>
    </row>
    <row r="353" spans="6:12">
      <c r="F353" s="129"/>
      <c r="G353" s="59"/>
      <c r="H353" s="129"/>
      <c r="I353" s="129"/>
      <c r="J353" s="59"/>
      <c r="K353" s="59"/>
      <c r="L353" s="59"/>
    </row>
    <row r="354" spans="6:12">
      <c r="F354" s="129"/>
      <c r="G354" s="59"/>
      <c r="H354" s="129"/>
      <c r="I354" s="129"/>
      <c r="J354" s="59"/>
      <c r="K354" s="59"/>
      <c r="L354" s="59"/>
    </row>
    <row r="355" spans="6:12">
      <c r="F355" s="129"/>
      <c r="G355" s="59"/>
      <c r="H355" s="129"/>
      <c r="I355" s="129"/>
      <c r="J355" s="59"/>
      <c r="K355" s="59"/>
      <c r="L355" s="59"/>
    </row>
    <row r="356" spans="6:12">
      <c r="F356" s="129"/>
      <c r="G356" s="59"/>
      <c r="H356" s="129"/>
      <c r="I356" s="129"/>
      <c r="J356" s="59"/>
      <c r="K356" s="59"/>
      <c r="L356" s="59"/>
    </row>
    <row r="357" spans="6:12">
      <c r="F357" s="129"/>
      <c r="G357" s="59"/>
      <c r="H357" s="129"/>
      <c r="I357" s="129"/>
      <c r="J357" s="59"/>
      <c r="K357" s="59"/>
      <c r="L357" s="59"/>
    </row>
    <row r="358" spans="6:12">
      <c r="F358" s="129"/>
      <c r="G358" s="59"/>
      <c r="H358" s="129"/>
      <c r="I358" s="129"/>
      <c r="J358" s="59"/>
      <c r="K358" s="59"/>
      <c r="L358" s="59"/>
    </row>
    <row r="359" spans="6:12">
      <c r="F359" s="129"/>
      <c r="G359" s="59"/>
      <c r="H359" s="129"/>
      <c r="I359" s="129"/>
      <c r="J359" s="59"/>
      <c r="K359" s="59"/>
      <c r="L359" s="59"/>
    </row>
    <row r="360" spans="6:12">
      <c r="F360" s="129"/>
      <c r="G360" s="59"/>
      <c r="H360" s="129"/>
      <c r="I360" s="129"/>
      <c r="J360" s="59"/>
      <c r="K360" s="59"/>
      <c r="L360" s="59"/>
    </row>
    <row r="361" spans="6:12">
      <c r="F361" s="129"/>
      <c r="G361" s="59"/>
      <c r="H361" s="129"/>
      <c r="I361" s="129"/>
      <c r="J361" s="59"/>
      <c r="K361" s="59"/>
      <c r="L361" s="59"/>
    </row>
    <row r="362" spans="6:12">
      <c r="F362" s="129"/>
      <c r="G362" s="59"/>
      <c r="H362" s="129"/>
      <c r="I362" s="129"/>
      <c r="J362" s="59"/>
      <c r="K362" s="59"/>
      <c r="L362" s="59"/>
    </row>
    <row r="363" spans="6:12">
      <c r="F363" s="129"/>
      <c r="G363" s="59"/>
      <c r="H363" s="129"/>
      <c r="I363" s="129"/>
      <c r="J363" s="59"/>
      <c r="K363" s="59"/>
      <c r="L363" s="59"/>
    </row>
    <row r="364" spans="6:12">
      <c r="F364" s="129"/>
      <c r="G364" s="59"/>
      <c r="H364" s="129"/>
      <c r="I364" s="129"/>
      <c r="J364" s="59"/>
      <c r="K364" s="59"/>
      <c r="L364" s="59"/>
    </row>
    <row r="365" spans="6:12">
      <c r="F365" s="129"/>
      <c r="G365" s="59"/>
      <c r="H365" s="129"/>
      <c r="I365" s="129"/>
      <c r="J365" s="59"/>
      <c r="K365" s="59"/>
      <c r="L365" s="59"/>
    </row>
    <row r="366" spans="6:12">
      <c r="F366" s="129"/>
      <c r="G366" s="59"/>
      <c r="H366" s="129"/>
      <c r="I366" s="129"/>
      <c r="J366" s="59"/>
      <c r="K366" s="59"/>
      <c r="L366" s="59"/>
    </row>
    <row r="367" spans="6:12">
      <c r="F367" s="129"/>
      <c r="G367" s="59"/>
      <c r="H367" s="129"/>
      <c r="I367" s="129"/>
      <c r="J367" s="59"/>
      <c r="K367" s="59"/>
      <c r="L367" s="59"/>
    </row>
    <row r="368" spans="6:12">
      <c r="F368" s="129"/>
      <c r="G368" s="59"/>
      <c r="H368" s="129"/>
      <c r="I368" s="129"/>
      <c r="J368" s="59"/>
      <c r="K368" s="59"/>
      <c r="L368" s="59"/>
    </row>
    <row r="369" spans="6:12">
      <c r="F369" s="129"/>
      <c r="G369" s="59"/>
      <c r="H369" s="129"/>
      <c r="I369" s="129"/>
      <c r="J369" s="59"/>
      <c r="K369" s="59"/>
      <c r="L369" s="59"/>
    </row>
    <row r="370" spans="6:12">
      <c r="F370" s="129"/>
      <c r="G370" s="59"/>
      <c r="H370" s="129"/>
      <c r="I370" s="129"/>
      <c r="J370" s="59"/>
      <c r="K370" s="59"/>
      <c r="L370" s="59"/>
    </row>
    <row r="371" spans="6:12">
      <c r="F371" s="129"/>
      <c r="G371" s="59"/>
      <c r="H371" s="129"/>
      <c r="I371" s="129"/>
      <c r="J371" s="59"/>
      <c r="K371" s="59"/>
      <c r="L371" s="59"/>
    </row>
    <row r="372" spans="6:12">
      <c r="F372" s="129"/>
      <c r="G372" s="59"/>
      <c r="H372" s="129"/>
      <c r="I372" s="129"/>
      <c r="J372" s="59"/>
      <c r="K372" s="59"/>
      <c r="L372" s="59"/>
    </row>
    <row r="373" spans="6:12">
      <c r="F373" s="129"/>
      <c r="G373" s="59"/>
      <c r="H373" s="129"/>
      <c r="I373" s="129"/>
      <c r="J373" s="59"/>
      <c r="K373" s="59"/>
      <c r="L373" s="59"/>
    </row>
    <row r="374" spans="6:12">
      <c r="F374" s="129"/>
      <c r="G374" s="59"/>
      <c r="H374" s="129"/>
      <c r="I374" s="129"/>
      <c r="J374" s="59"/>
      <c r="K374" s="59"/>
      <c r="L374" s="59"/>
    </row>
    <row r="375" spans="6:12">
      <c r="F375" s="129"/>
      <c r="G375" s="59"/>
      <c r="H375" s="129"/>
      <c r="I375" s="129"/>
      <c r="J375" s="59"/>
      <c r="K375" s="59"/>
      <c r="L375" s="59"/>
    </row>
    <row r="376" spans="6:12">
      <c r="F376" s="129"/>
      <c r="G376" s="59"/>
      <c r="H376" s="129"/>
      <c r="I376" s="129"/>
      <c r="J376" s="59"/>
      <c r="K376" s="59"/>
      <c r="L376" s="59"/>
    </row>
    <row r="377" spans="6:12">
      <c r="F377" s="129"/>
      <c r="G377" s="59"/>
      <c r="H377" s="129"/>
      <c r="I377" s="129"/>
      <c r="J377" s="59"/>
      <c r="K377" s="59"/>
      <c r="L377" s="59"/>
    </row>
    <row r="378" spans="6:12">
      <c r="F378" s="129"/>
      <c r="G378" s="59"/>
      <c r="H378" s="129"/>
      <c r="I378" s="129"/>
      <c r="J378" s="59"/>
      <c r="K378" s="59"/>
      <c r="L378" s="59"/>
    </row>
    <row r="379" spans="6:12">
      <c r="F379" s="129"/>
      <c r="G379" s="59"/>
      <c r="H379" s="129"/>
      <c r="I379" s="129"/>
      <c r="J379" s="59"/>
      <c r="K379" s="59"/>
      <c r="L379" s="59"/>
    </row>
    <row r="380" spans="6:12">
      <c r="F380" s="129"/>
      <c r="G380" s="59"/>
      <c r="H380" s="129"/>
      <c r="I380" s="129"/>
      <c r="J380" s="59"/>
      <c r="K380" s="59"/>
      <c r="L380" s="59"/>
    </row>
    <row r="381" spans="6:12">
      <c r="F381" s="129"/>
      <c r="G381" s="59"/>
      <c r="H381" s="129"/>
      <c r="I381" s="129"/>
      <c r="J381" s="59"/>
      <c r="K381" s="59"/>
      <c r="L381" s="59"/>
    </row>
    <row r="382" spans="6:12">
      <c r="F382" s="129"/>
      <c r="G382" s="59"/>
      <c r="H382" s="129"/>
      <c r="I382" s="129"/>
      <c r="J382" s="59"/>
      <c r="K382" s="59"/>
      <c r="L382" s="59"/>
    </row>
    <row r="383" spans="6:12">
      <c r="F383" s="129"/>
      <c r="G383" s="59"/>
      <c r="H383" s="129"/>
      <c r="I383" s="129"/>
      <c r="J383" s="59"/>
      <c r="K383" s="59"/>
      <c r="L383" s="59"/>
    </row>
    <row r="384" spans="6:12">
      <c r="F384" s="129"/>
      <c r="G384" s="59"/>
      <c r="H384" s="129"/>
      <c r="I384" s="129"/>
      <c r="J384" s="59"/>
      <c r="K384" s="59"/>
      <c r="L384" s="59"/>
    </row>
    <row r="385" spans="6:12">
      <c r="F385" s="129"/>
      <c r="G385" s="59"/>
      <c r="H385" s="129"/>
      <c r="I385" s="129"/>
      <c r="J385" s="59"/>
      <c r="K385" s="59"/>
      <c r="L385" s="59"/>
    </row>
    <row r="386" spans="6:12">
      <c r="F386" s="129"/>
      <c r="G386" s="59"/>
      <c r="H386" s="129"/>
      <c r="I386" s="129"/>
      <c r="J386" s="59"/>
      <c r="K386" s="59"/>
      <c r="L386" s="59"/>
    </row>
    <row r="387" spans="6:12">
      <c r="F387" s="129"/>
      <c r="G387" s="59"/>
      <c r="H387" s="129"/>
      <c r="I387" s="129"/>
      <c r="J387" s="59"/>
      <c r="K387" s="59"/>
      <c r="L387" s="59"/>
    </row>
    <row r="388" spans="6:12">
      <c r="F388" s="129"/>
      <c r="G388" s="59"/>
      <c r="H388" s="129"/>
      <c r="I388" s="129"/>
      <c r="J388" s="59"/>
      <c r="K388" s="59"/>
      <c r="L388" s="59"/>
    </row>
    <row r="389" spans="6:12">
      <c r="F389" s="129"/>
      <c r="G389" s="59"/>
      <c r="H389" s="129"/>
      <c r="I389" s="129"/>
      <c r="J389" s="59"/>
      <c r="K389" s="59"/>
      <c r="L389" s="59"/>
    </row>
    <row r="390" spans="6:12">
      <c r="F390" s="129"/>
      <c r="G390" s="59"/>
      <c r="H390" s="129"/>
      <c r="I390" s="129"/>
      <c r="J390" s="59"/>
      <c r="K390" s="59"/>
      <c r="L390" s="59"/>
    </row>
    <row r="391" spans="6:12">
      <c r="F391" s="129"/>
      <c r="G391" s="59"/>
      <c r="H391" s="129"/>
      <c r="I391" s="129"/>
      <c r="J391" s="59"/>
      <c r="K391" s="59"/>
      <c r="L391" s="59"/>
    </row>
    <row r="392" spans="6:12">
      <c r="F392" s="129"/>
      <c r="G392" s="59"/>
      <c r="H392" s="129"/>
      <c r="I392" s="129"/>
      <c r="J392" s="59"/>
      <c r="K392" s="59"/>
      <c r="L392" s="59"/>
    </row>
    <row r="393" spans="6:12">
      <c r="F393" s="129"/>
      <c r="G393" s="59"/>
      <c r="H393" s="129"/>
      <c r="I393" s="129"/>
      <c r="J393" s="59"/>
      <c r="K393" s="59"/>
      <c r="L393" s="59"/>
    </row>
    <row r="394" spans="6:12">
      <c r="F394" s="129"/>
      <c r="G394" s="59"/>
      <c r="H394" s="129"/>
      <c r="I394" s="129"/>
      <c r="J394" s="59"/>
      <c r="K394" s="59"/>
      <c r="L394" s="59"/>
    </row>
    <row r="395" spans="6:12">
      <c r="F395" s="129"/>
      <c r="G395" s="59"/>
      <c r="H395" s="129"/>
      <c r="I395" s="129"/>
      <c r="J395" s="59"/>
      <c r="K395" s="59"/>
      <c r="L395" s="59"/>
    </row>
    <row r="396" spans="6:12">
      <c r="F396" s="129"/>
      <c r="G396" s="59"/>
      <c r="H396" s="129"/>
      <c r="I396" s="129"/>
      <c r="J396" s="59"/>
      <c r="K396" s="59"/>
      <c r="L396" s="59"/>
    </row>
    <row r="397" spans="6:12">
      <c r="F397" s="129"/>
      <c r="G397" s="59"/>
      <c r="H397" s="129"/>
      <c r="I397" s="129"/>
      <c r="J397" s="59"/>
      <c r="K397" s="59"/>
      <c r="L397" s="59"/>
    </row>
    <row r="398" spans="6:12">
      <c r="F398" s="129"/>
      <c r="G398" s="59"/>
      <c r="H398" s="129"/>
      <c r="I398" s="129"/>
      <c r="J398" s="59"/>
      <c r="K398" s="59"/>
      <c r="L398" s="59"/>
    </row>
    <row r="399" spans="6:12">
      <c r="F399" s="129"/>
      <c r="G399" s="59"/>
      <c r="H399" s="129"/>
      <c r="I399" s="129"/>
      <c r="J399" s="59"/>
      <c r="K399" s="59"/>
      <c r="L399" s="59"/>
    </row>
    <row r="400" spans="6:12">
      <c r="F400" s="129"/>
      <c r="G400" s="59"/>
      <c r="H400" s="129"/>
      <c r="I400" s="129"/>
      <c r="J400" s="59"/>
      <c r="K400" s="59"/>
      <c r="L400" s="59"/>
    </row>
    <row r="401" spans="6:12">
      <c r="F401" s="129"/>
      <c r="G401" s="59"/>
      <c r="H401" s="129"/>
      <c r="I401" s="129"/>
      <c r="J401" s="59"/>
      <c r="K401" s="59"/>
      <c r="L401" s="59"/>
    </row>
    <row r="402" spans="6:12">
      <c r="F402" s="129"/>
      <c r="G402" s="59"/>
      <c r="H402" s="129"/>
      <c r="I402" s="129"/>
      <c r="J402" s="59"/>
      <c r="K402" s="59"/>
      <c r="L402" s="59"/>
    </row>
    <row r="403" spans="6:12">
      <c r="F403" s="129"/>
      <c r="G403" s="59"/>
      <c r="H403" s="129"/>
      <c r="I403" s="129"/>
      <c r="J403" s="59"/>
      <c r="K403" s="59"/>
      <c r="L403" s="59"/>
    </row>
    <row r="404" spans="6:12">
      <c r="F404" s="129"/>
      <c r="G404" s="59"/>
      <c r="H404" s="129"/>
      <c r="I404" s="129"/>
      <c r="J404" s="59"/>
      <c r="K404" s="59"/>
      <c r="L404" s="59"/>
    </row>
    <row r="405" spans="6:12">
      <c r="F405" s="129"/>
      <c r="G405" s="59"/>
      <c r="H405" s="129"/>
      <c r="I405" s="129"/>
      <c r="J405" s="59"/>
      <c r="K405" s="59"/>
      <c r="L405" s="59"/>
    </row>
    <row r="406" spans="6:12">
      <c r="F406" s="129"/>
      <c r="G406" s="59"/>
      <c r="H406" s="129"/>
      <c r="I406" s="129"/>
      <c r="J406" s="59"/>
      <c r="K406" s="59"/>
      <c r="L406" s="59"/>
    </row>
    <row r="407" spans="6:12">
      <c r="F407" s="129"/>
      <c r="G407" s="59"/>
      <c r="H407" s="129"/>
      <c r="I407" s="129"/>
      <c r="J407" s="59"/>
      <c r="K407" s="59"/>
      <c r="L407" s="59"/>
    </row>
    <row r="408" spans="6:12">
      <c r="F408" s="129"/>
      <c r="G408" s="59"/>
      <c r="H408" s="129"/>
      <c r="I408" s="129"/>
      <c r="J408" s="59"/>
      <c r="K408" s="59"/>
      <c r="L408" s="59"/>
    </row>
    <row r="409" spans="6:12">
      <c r="F409" s="129"/>
      <c r="G409" s="59"/>
      <c r="H409" s="129"/>
      <c r="I409" s="129"/>
      <c r="J409" s="59"/>
      <c r="K409" s="59"/>
      <c r="L409" s="59"/>
    </row>
    <row r="410" spans="6:12">
      <c r="F410" s="129"/>
      <c r="G410" s="59"/>
      <c r="H410" s="129"/>
      <c r="I410" s="129"/>
      <c r="J410" s="59"/>
      <c r="K410" s="59"/>
      <c r="L410" s="59"/>
    </row>
    <row r="411" spans="6:12">
      <c r="F411" s="129"/>
      <c r="G411" s="59"/>
      <c r="H411" s="129"/>
      <c r="I411" s="129"/>
      <c r="J411" s="59"/>
      <c r="K411" s="59"/>
      <c r="L411" s="59"/>
    </row>
    <row r="412" spans="6:12">
      <c r="F412" s="129"/>
      <c r="G412" s="59"/>
      <c r="H412" s="129"/>
      <c r="I412" s="129"/>
      <c r="J412" s="59"/>
      <c r="K412" s="59"/>
      <c r="L412" s="59"/>
    </row>
    <row r="413" spans="6:12">
      <c r="F413" s="129"/>
      <c r="G413" s="59"/>
      <c r="H413" s="129"/>
      <c r="I413" s="129"/>
      <c r="J413" s="59"/>
      <c r="K413" s="59"/>
      <c r="L413" s="59"/>
    </row>
    <row r="414" spans="6:12">
      <c r="F414" s="129"/>
      <c r="G414" s="59"/>
      <c r="H414" s="129"/>
      <c r="I414" s="129"/>
      <c r="J414" s="59"/>
      <c r="K414" s="59"/>
      <c r="L414" s="59"/>
    </row>
    <row r="415" spans="6:12">
      <c r="F415" s="129"/>
      <c r="G415" s="59"/>
      <c r="H415" s="129"/>
      <c r="I415" s="129"/>
      <c r="J415" s="59"/>
      <c r="K415" s="59"/>
      <c r="L415" s="59"/>
    </row>
    <row r="416" spans="6:12">
      <c r="F416" s="129"/>
      <c r="G416" s="59"/>
      <c r="H416" s="129"/>
      <c r="I416" s="129"/>
      <c r="J416" s="59"/>
      <c r="K416" s="59"/>
      <c r="L416" s="59"/>
    </row>
    <row r="417" spans="6:12">
      <c r="F417" s="129"/>
      <c r="G417" s="59"/>
      <c r="H417" s="129"/>
      <c r="I417" s="129"/>
      <c r="J417" s="59"/>
      <c r="K417" s="59"/>
      <c r="L417" s="59"/>
    </row>
    <row r="418" spans="6:12">
      <c r="F418" s="129"/>
      <c r="G418" s="59"/>
      <c r="H418" s="129"/>
      <c r="I418" s="129"/>
      <c r="J418" s="59"/>
      <c r="K418" s="59"/>
      <c r="L418" s="59"/>
    </row>
    <row r="419" spans="6:12">
      <c r="F419" s="129"/>
      <c r="G419" s="59"/>
      <c r="H419" s="129"/>
      <c r="I419" s="129"/>
      <c r="J419" s="59"/>
      <c r="K419" s="59"/>
      <c r="L419" s="59"/>
    </row>
    <row r="420" spans="6:12">
      <c r="F420" s="129"/>
      <c r="G420" s="59"/>
      <c r="H420" s="129"/>
      <c r="I420" s="129"/>
      <c r="J420" s="59"/>
      <c r="K420" s="59"/>
      <c r="L420" s="59"/>
    </row>
    <row r="421" spans="6:12">
      <c r="F421" s="129"/>
      <c r="G421" s="59"/>
      <c r="H421" s="129"/>
      <c r="I421" s="129"/>
      <c r="J421" s="59"/>
      <c r="K421" s="59"/>
      <c r="L421" s="59"/>
    </row>
    <row r="422" spans="6:12">
      <c r="F422" s="129"/>
      <c r="G422" s="59"/>
      <c r="H422" s="129"/>
      <c r="I422" s="129"/>
      <c r="J422" s="59"/>
      <c r="K422" s="59"/>
      <c r="L422" s="59"/>
    </row>
    <row r="423" spans="6:12">
      <c r="F423" s="129"/>
      <c r="G423" s="59"/>
      <c r="H423" s="129"/>
      <c r="I423" s="129"/>
      <c r="J423" s="59"/>
      <c r="K423" s="59"/>
      <c r="L423" s="59"/>
    </row>
    <row r="424" spans="6:12">
      <c r="F424" s="129"/>
      <c r="G424" s="59"/>
      <c r="H424" s="129"/>
      <c r="I424" s="129"/>
      <c r="J424" s="59"/>
      <c r="K424" s="59"/>
      <c r="L424" s="59"/>
    </row>
    <row r="425" spans="6:12">
      <c r="F425" s="129"/>
      <c r="G425" s="59"/>
      <c r="H425" s="129"/>
      <c r="I425" s="129"/>
      <c r="J425" s="59"/>
      <c r="K425" s="59"/>
      <c r="L425" s="59"/>
    </row>
    <row r="426" spans="6:12">
      <c r="F426" s="129"/>
      <c r="G426" s="59"/>
      <c r="H426" s="129"/>
      <c r="I426" s="129"/>
      <c r="J426" s="59"/>
      <c r="K426" s="59"/>
      <c r="L426" s="59"/>
    </row>
    <row r="427" spans="6:12">
      <c r="F427" s="129"/>
      <c r="G427" s="59"/>
      <c r="H427" s="129"/>
      <c r="I427" s="129"/>
      <c r="J427" s="59"/>
      <c r="K427" s="59"/>
      <c r="L427" s="59"/>
    </row>
    <row r="428" spans="6:12">
      <c r="F428" s="129"/>
      <c r="G428" s="59"/>
      <c r="H428" s="129"/>
      <c r="I428" s="129"/>
      <c r="J428" s="59"/>
      <c r="K428" s="59"/>
      <c r="L428" s="59"/>
    </row>
    <row r="429" spans="6:12">
      <c r="F429" s="129"/>
      <c r="G429" s="59"/>
      <c r="H429" s="129"/>
      <c r="I429" s="129"/>
      <c r="J429" s="59"/>
      <c r="K429" s="59"/>
      <c r="L429" s="59"/>
    </row>
    <row r="430" spans="6:12">
      <c r="F430" s="129"/>
      <c r="G430" s="59"/>
      <c r="H430" s="129"/>
      <c r="I430" s="129"/>
      <c r="J430" s="59"/>
      <c r="K430" s="59"/>
      <c r="L430" s="59"/>
    </row>
    <row r="431" spans="6:12">
      <c r="F431" s="129"/>
      <c r="G431" s="59"/>
      <c r="H431" s="129"/>
      <c r="I431" s="129"/>
      <c r="J431" s="59"/>
      <c r="K431" s="59"/>
      <c r="L431" s="59"/>
    </row>
    <row r="432" spans="6:12">
      <c r="F432" s="129"/>
      <c r="G432" s="59"/>
      <c r="H432" s="129"/>
      <c r="I432" s="129"/>
      <c r="J432" s="59"/>
      <c r="K432" s="59"/>
      <c r="L432" s="59"/>
    </row>
    <row r="433" spans="6:12">
      <c r="F433" s="129"/>
      <c r="G433" s="59"/>
      <c r="H433" s="129"/>
      <c r="I433" s="129"/>
      <c r="J433" s="59"/>
      <c r="K433" s="59"/>
      <c r="L433" s="59"/>
    </row>
    <row r="434" spans="6:12">
      <c r="F434" s="129"/>
      <c r="G434" s="59"/>
      <c r="H434" s="129"/>
      <c r="I434" s="129"/>
      <c r="J434" s="59"/>
      <c r="K434" s="59"/>
      <c r="L434" s="59"/>
    </row>
    <row r="435" spans="6:12">
      <c r="F435" s="129"/>
      <c r="G435" s="59"/>
      <c r="H435" s="129"/>
      <c r="I435" s="129"/>
      <c r="J435" s="59"/>
      <c r="K435" s="59"/>
      <c r="L435" s="59"/>
    </row>
    <row r="436" spans="6:12">
      <c r="F436" s="129"/>
      <c r="G436" s="59"/>
      <c r="H436" s="129"/>
      <c r="I436" s="129"/>
      <c r="J436" s="59"/>
      <c r="K436" s="59"/>
      <c r="L436" s="59"/>
    </row>
    <row r="437" spans="6:12">
      <c r="F437" s="129"/>
      <c r="G437" s="59"/>
      <c r="H437" s="129"/>
      <c r="I437" s="129"/>
      <c r="J437" s="59"/>
      <c r="K437" s="59"/>
      <c r="L437" s="59"/>
    </row>
    <row r="438" spans="6:12">
      <c r="F438" s="129"/>
      <c r="G438" s="59"/>
      <c r="H438" s="129"/>
      <c r="I438" s="129"/>
      <c r="J438" s="59"/>
      <c r="K438" s="59"/>
      <c r="L438" s="59"/>
    </row>
    <row r="439" spans="6:12">
      <c r="F439" s="129"/>
      <c r="G439" s="59"/>
      <c r="H439" s="129"/>
      <c r="I439" s="129"/>
      <c r="J439" s="59"/>
      <c r="K439" s="59"/>
      <c r="L439" s="59"/>
    </row>
    <row r="440" spans="6:12">
      <c r="F440" s="129"/>
      <c r="G440" s="59"/>
      <c r="H440" s="129"/>
      <c r="I440" s="129"/>
      <c r="J440" s="59"/>
      <c r="K440" s="59"/>
      <c r="L440" s="59"/>
    </row>
    <row r="441" spans="6:12">
      <c r="F441" s="129"/>
      <c r="G441" s="59"/>
      <c r="H441" s="129"/>
      <c r="I441" s="129"/>
      <c r="J441" s="59"/>
      <c r="K441" s="59"/>
      <c r="L441" s="59"/>
    </row>
    <row r="442" spans="6:12">
      <c r="F442" s="129"/>
      <c r="G442" s="59"/>
      <c r="H442" s="129"/>
      <c r="I442" s="129"/>
      <c r="J442" s="59"/>
      <c r="K442" s="59"/>
      <c r="L442" s="59"/>
    </row>
    <row r="443" spans="6:12">
      <c r="F443" s="129"/>
      <c r="G443" s="59"/>
      <c r="H443" s="129"/>
      <c r="I443" s="129"/>
      <c r="J443" s="59"/>
      <c r="K443" s="59"/>
      <c r="L443" s="59"/>
    </row>
    <row r="444" spans="6:12">
      <c r="F444" s="129"/>
      <c r="G444" s="59"/>
      <c r="H444" s="129"/>
      <c r="I444" s="129"/>
      <c r="J444" s="59"/>
      <c r="K444" s="59"/>
      <c r="L444" s="59"/>
    </row>
    <row r="445" spans="6:12">
      <c r="F445" s="129"/>
      <c r="G445" s="59"/>
      <c r="H445" s="129"/>
      <c r="I445" s="129"/>
      <c r="J445" s="59"/>
      <c r="K445" s="59"/>
      <c r="L445" s="59"/>
    </row>
    <row r="446" spans="6:12">
      <c r="F446" s="129"/>
      <c r="G446" s="59"/>
      <c r="H446" s="129"/>
      <c r="I446" s="129"/>
      <c r="J446" s="59"/>
      <c r="K446" s="59"/>
      <c r="L446" s="59"/>
    </row>
    <row r="447" spans="6:12">
      <c r="F447" s="129"/>
      <c r="G447" s="59"/>
      <c r="H447" s="129"/>
      <c r="I447" s="129"/>
      <c r="J447" s="59"/>
      <c r="K447" s="59"/>
      <c r="L447" s="59"/>
    </row>
    <row r="448" spans="6:12">
      <c r="F448" s="129"/>
      <c r="G448" s="59"/>
      <c r="H448" s="129"/>
      <c r="I448" s="129"/>
      <c r="J448" s="59"/>
      <c r="K448" s="59"/>
      <c r="L448" s="59"/>
    </row>
    <row r="449" spans="6:12">
      <c r="F449" s="129"/>
      <c r="G449" s="59"/>
      <c r="H449" s="129"/>
      <c r="I449" s="129"/>
      <c r="J449" s="59"/>
      <c r="K449" s="59"/>
      <c r="L449" s="59"/>
    </row>
    <row r="450" spans="6:12">
      <c r="F450" s="129"/>
      <c r="G450" s="59"/>
      <c r="H450" s="129"/>
      <c r="I450" s="129"/>
      <c r="J450" s="59"/>
      <c r="K450" s="59"/>
      <c r="L450" s="59"/>
    </row>
    <row r="451" spans="6:12">
      <c r="F451" s="129"/>
      <c r="G451" s="59"/>
      <c r="H451" s="129"/>
      <c r="I451" s="129"/>
      <c r="J451" s="59"/>
      <c r="K451" s="59"/>
      <c r="L451" s="59"/>
    </row>
    <row r="452" spans="6:12">
      <c r="F452" s="129"/>
      <c r="G452" s="59"/>
      <c r="H452" s="129"/>
      <c r="I452" s="129"/>
      <c r="J452" s="59"/>
      <c r="K452" s="59"/>
      <c r="L452" s="59"/>
    </row>
    <row r="453" spans="6:12">
      <c r="F453" s="129"/>
      <c r="G453" s="59"/>
      <c r="H453" s="129"/>
      <c r="I453" s="129"/>
      <c r="J453" s="59"/>
      <c r="K453" s="59"/>
      <c r="L453" s="59"/>
    </row>
    <row r="454" spans="6:12">
      <c r="F454" s="129"/>
      <c r="G454" s="59"/>
      <c r="H454" s="129"/>
      <c r="I454" s="129"/>
      <c r="J454" s="59"/>
      <c r="K454" s="59"/>
      <c r="L454" s="59"/>
    </row>
    <row r="455" spans="6:12">
      <c r="F455" s="129"/>
      <c r="G455" s="59"/>
      <c r="H455" s="129"/>
      <c r="I455" s="129"/>
      <c r="J455" s="59"/>
      <c r="K455" s="59"/>
      <c r="L455" s="59"/>
    </row>
    <row r="456" spans="6:12">
      <c r="F456" s="129"/>
      <c r="G456" s="59"/>
      <c r="H456" s="129"/>
      <c r="I456" s="129"/>
      <c r="J456" s="59"/>
      <c r="K456" s="59"/>
      <c r="L456" s="59"/>
    </row>
    <row r="457" spans="6:12">
      <c r="F457" s="129"/>
      <c r="G457" s="59"/>
      <c r="H457" s="129"/>
      <c r="I457" s="129"/>
      <c r="J457" s="59"/>
      <c r="K457" s="59"/>
      <c r="L457" s="59"/>
    </row>
    <row r="458" spans="6:12">
      <c r="F458" s="129"/>
      <c r="G458" s="59"/>
      <c r="H458" s="129"/>
      <c r="I458" s="129"/>
      <c r="J458" s="59"/>
      <c r="K458" s="59"/>
      <c r="L458" s="59"/>
    </row>
    <row r="459" spans="6:12">
      <c r="F459" s="129"/>
      <c r="G459" s="59"/>
      <c r="H459" s="129"/>
      <c r="I459" s="129"/>
      <c r="J459" s="59"/>
      <c r="K459" s="59"/>
      <c r="L459" s="59"/>
    </row>
    <row r="460" spans="6:12">
      <c r="F460" s="129"/>
      <c r="G460" s="59"/>
      <c r="H460" s="129"/>
      <c r="I460" s="129"/>
      <c r="J460" s="59"/>
      <c r="K460" s="59"/>
      <c r="L460" s="59"/>
    </row>
    <row r="461" spans="6:12">
      <c r="F461" s="129"/>
      <c r="G461" s="59"/>
      <c r="H461" s="129"/>
      <c r="I461" s="129"/>
      <c r="J461" s="59"/>
      <c r="K461" s="59"/>
      <c r="L461" s="59"/>
    </row>
    <row r="462" spans="6:12">
      <c r="F462" s="129"/>
      <c r="G462" s="59"/>
      <c r="H462" s="129"/>
      <c r="I462" s="129"/>
      <c r="J462" s="59"/>
      <c r="K462" s="59"/>
      <c r="L462" s="59"/>
    </row>
    <row r="463" spans="6:12">
      <c r="F463" s="129"/>
      <c r="G463" s="59"/>
      <c r="H463" s="129"/>
      <c r="I463" s="129"/>
      <c r="J463" s="59"/>
      <c r="K463" s="59"/>
      <c r="L463" s="59"/>
    </row>
    <row r="464" spans="6:12">
      <c r="F464" s="129"/>
      <c r="G464" s="59"/>
      <c r="H464" s="129"/>
      <c r="I464" s="129"/>
      <c r="J464" s="59"/>
      <c r="K464" s="59"/>
      <c r="L464" s="59"/>
    </row>
    <row r="465" spans="6:12">
      <c r="F465" s="129"/>
      <c r="G465" s="59"/>
      <c r="H465" s="129"/>
      <c r="I465" s="129"/>
      <c r="J465" s="59"/>
      <c r="K465" s="59"/>
      <c r="L465" s="59"/>
    </row>
    <row r="466" spans="6:12">
      <c r="F466" s="129"/>
      <c r="G466" s="59"/>
      <c r="H466" s="129"/>
      <c r="I466" s="129"/>
      <c r="J466" s="59"/>
      <c r="K466" s="59"/>
      <c r="L466" s="59"/>
    </row>
    <row r="467" spans="6:12">
      <c r="F467" s="129"/>
      <c r="G467" s="59"/>
      <c r="H467" s="129"/>
      <c r="I467" s="129"/>
      <c r="J467" s="59"/>
      <c r="K467" s="59"/>
      <c r="L467" s="59"/>
    </row>
    <row r="468" spans="6:12">
      <c r="F468" s="129"/>
      <c r="G468" s="59"/>
      <c r="H468" s="129"/>
      <c r="I468" s="129"/>
      <c r="J468" s="59"/>
      <c r="K468" s="59"/>
      <c r="L468" s="59"/>
    </row>
    <row r="469" spans="6:12">
      <c r="F469" s="129"/>
      <c r="G469" s="59"/>
      <c r="H469" s="129"/>
      <c r="I469" s="129"/>
      <c r="J469" s="59"/>
      <c r="K469" s="59"/>
      <c r="L469" s="59"/>
    </row>
    <row r="470" spans="6:12">
      <c r="F470" s="129"/>
      <c r="G470" s="59"/>
      <c r="H470" s="129"/>
      <c r="I470" s="129"/>
      <c r="J470" s="59"/>
      <c r="K470" s="59"/>
      <c r="L470" s="59"/>
    </row>
    <row r="471" spans="6:12">
      <c r="F471" s="129"/>
      <c r="G471" s="59"/>
      <c r="H471" s="129"/>
      <c r="I471" s="129"/>
      <c r="J471" s="59"/>
      <c r="K471" s="59"/>
      <c r="L471" s="59"/>
    </row>
    <row r="472" spans="6:12">
      <c r="F472" s="129"/>
      <c r="G472" s="59"/>
      <c r="H472" s="129"/>
      <c r="I472" s="129"/>
      <c r="J472" s="59"/>
      <c r="K472" s="59"/>
      <c r="L472" s="59"/>
    </row>
    <row r="473" spans="6:12">
      <c r="F473" s="129"/>
      <c r="G473" s="59"/>
      <c r="H473" s="129"/>
      <c r="I473" s="129"/>
      <c r="J473" s="59"/>
      <c r="K473" s="59"/>
      <c r="L473" s="59"/>
    </row>
    <row r="474" spans="6:12">
      <c r="F474" s="129"/>
      <c r="G474" s="59"/>
      <c r="H474" s="129"/>
      <c r="I474" s="129"/>
      <c r="J474" s="59"/>
      <c r="K474" s="59"/>
      <c r="L474" s="59"/>
    </row>
    <row r="475" spans="6:12">
      <c r="F475" s="129"/>
      <c r="G475" s="59"/>
      <c r="H475" s="129"/>
      <c r="I475" s="129"/>
      <c r="J475" s="59"/>
      <c r="K475" s="59"/>
      <c r="L475" s="59"/>
    </row>
    <row r="476" spans="6:12">
      <c r="F476" s="129"/>
      <c r="G476" s="59"/>
      <c r="H476" s="129"/>
      <c r="I476" s="129"/>
      <c r="J476" s="59"/>
      <c r="K476" s="59"/>
      <c r="L476" s="59"/>
    </row>
    <row r="477" spans="6:12">
      <c r="F477" s="129"/>
      <c r="G477" s="59"/>
      <c r="H477" s="129"/>
      <c r="I477" s="129"/>
      <c r="J477" s="59"/>
      <c r="K477" s="59"/>
      <c r="L477" s="59"/>
    </row>
    <row r="478" spans="6:12">
      <c r="F478" s="129"/>
      <c r="G478" s="59"/>
      <c r="H478" s="129"/>
      <c r="I478" s="129"/>
      <c r="J478" s="59"/>
      <c r="K478" s="59"/>
      <c r="L478" s="59"/>
    </row>
    <row r="479" spans="6:12">
      <c r="F479" s="129"/>
      <c r="G479" s="59"/>
      <c r="H479" s="129"/>
      <c r="I479" s="129"/>
      <c r="J479" s="59"/>
      <c r="K479" s="59"/>
      <c r="L479" s="59"/>
    </row>
    <row r="480" spans="6:12">
      <c r="F480" s="129"/>
      <c r="G480" s="59"/>
      <c r="H480" s="129"/>
      <c r="I480" s="129"/>
      <c r="J480" s="59"/>
      <c r="K480" s="59"/>
      <c r="L480" s="59"/>
    </row>
    <row r="481" spans="6:12">
      <c r="F481" s="129"/>
      <c r="G481" s="59"/>
      <c r="H481" s="129"/>
      <c r="I481" s="129"/>
      <c r="J481" s="59"/>
      <c r="K481" s="59"/>
      <c r="L481" s="59"/>
    </row>
    <row r="482" spans="6:12">
      <c r="F482" s="129"/>
      <c r="G482" s="59"/>
      <c r="H482" s="129"/>
      <c r="I482" s="129"/>
      <c r="J482" s="59"/>
      <c r="K482" s="59"/>
      <c r="L482" s="59"/>
    </row>
    <row r="483" spans="6:12">
      <c r="F483" s="129"/>
      <c r="G483" s="59"/>
      <c r="H483" s="129"/>
      <c r="I483" s="129"/>
      <c r="J483" s="59"/>
      <c r="K483" s="59"/>
      <c r="L483" s="59"/>
    </row>
    <row r="484" spans="6:12">
      <c r="F484" s="129"/>
      <c r="G484" s="59"/>
      <c r="H484" s="129"/>
      <c r="I484" s="129"/>
      <c r="J484" s="59"/>
      <c r="K484" s="59"/>
      <c r="L484" s="59"/>
    </row>
    <row r="485" spans="6:12">
      <c r="F485" s="129"/>
      <c r="G485" s="59"/>
      <c r="H485" s="129"/>
      <c r="I485" s="129"/>
      <c r="J485" s="59"/>
      <c r="K485" s="59"/>
      <c r="L485" s="59"/>
    </row>
    <row r="486" spans="6:12">
      <c r="F486" s="129"/>
      <c r="G486" s="59"/>
      <c r="H486" s="129"/>
      <c r="I486" s="129"/>
      <c r="J486" s="59"/>
      <c r="K486" s="59"/>
      <c r="L486" s="59"/>
    </row>
    <row r="487" spans="6:12">
      <c r="F487" s="129"/>
      <c r="G487" s="59"/>
      <c r="H487" s="129"/>
      <c r="I487" s="129"/>
      <c r="J487" s="59"/>
      <c r="K487" s="59"/>
      <c r="L487" s="59"/>
    </row>
    <row r="488" spans="6:12">
      <c r="F488" s="129"/>
      <c r="G488" s="59"/>
      <c r="H488" s="129"/>
      <c r="I488" s="129"/>
      <c r="J488" s="59"/>
      <c r="K488" s="59"/>
      <c r="L488" s="59"/>
    </row>
    <row r="489" spans="6:12">
      <c r="F489" s="129"/>
      <c r="G489" s="59"/>
      <c r="H489" s="129"/>
      <c r="I489" s="129"/>
      <c r="J489" s="59"/>
      <c r="K489" s="59"/>
      <c r="L489" s="59"/>
    </row>
    <row r="490" spans="6:12">
      <c r="F490" s="129"/>
      <c r="G490" s="59"/>
      <c r="H490" s="129"/>
      <c r="I490" s="129"/>
      <c r="J490" s="59"/>
      <c r="K490" s="59"/>
      <c r="L490" s="59"/>
    </row>
    <row r="491" spans="6:12">
      <c r="F491" s="129"/>
      <c r="G491" s="59"/>
      <c r="H491" s="129"/>
      <c r="I491" s="129"/>
      <c r="J491" s="59"/>
      <c r="K491" s="59"/>
      <c r="L491" s="59"/>
    </row>
    <row r="492" spans="6:12">
      <c r="F492" s="129"/>
      <c r="G492" s="59"/>
      <c r="H492" s="129"/>
      <c r="I492" s="129"/>
      <c r="J492" s="59"/>
      <c r="K492" s="59"/>
      <c r="L492" s="59"/>
    </row>
    <row r="493" spans="6:12">
      <c r="F493" s="129"/>
      <c r="G493" s="59"/>
      <c r="H493" s="129"/>
      <c r="I493" s="129"/>
      <c r="J493" s="59"/>
      <c r="K493" s="59"/>
      <c r="L493" s="59"/>
    </row>
    <row r="494" spans="6:12">
      <c r="F494" s="129"/>
      <c r="G494" s="59"/>
      <c r="H494" s="129"/>
      <c r="I494" s="129"/>
      <c r="J494" s="59"/>
      <c r="K494" s="59"/>
      <c r="L494" s="59"/>
    </row>
    <row r="495" spans="6:12">
      <c r="F495" s="129"/>
      <c r="G495" s="59"/>
      <c r="H495" s="129"/>
      <c r="I495" s="129"/>
      <c r="J495" s="59"/>
      <c r="K495" s="59"/>
      <c r="L495" s="59"/>
    </row>
    <row r="496" spans="6:12">
      <c r="F496" s="129"/>
      <c r="G496" s="59"/>
      <c r="H496" s="129"/>
      <c r="I496" s="129"/>
      <c r="J496" s="59"/>
      <c r="K496" s="59"/>
      <c r="L496" s="59"/>
    </row>
    <row r="497" spans="6:12">
      <c r="F497" s="129"/>
      <c r="G497" s="59"/>
      <c r="H497" s="129"/>
      <c r="I497" s="129"/>
      <c r="J497" s="59"/>
      <c r="K497" s="59"/>
      <c r="L497" s="59"/>
    </row>
    <row r="498" spans="6:12">
      <c r="F498" s="129"/>
      <c r="G498" s="59"/>
      <c r="H498" s="129"/>
      <c r="I498" s="129"/>
      <c r="J498" s="59"/>
      <c r="K498" s="59"/>
      <c r="L498" s="59"/>
    </row>
    <row r="499" spans="6:12">
      <c r="F499" s="129"/>
      <c r="G499" s="59"/>
      <c r="H499" s="129"/>
      <c r="I499" s="129"/>
      <c r="J499" s="59"/>
      <c r="K499" s="59"/>
      <c r="L499" s="59"/>
    </row>
    <row r="500" spans="6:12">
      <c r="F500" s="129"/>
      <c r="G500" s="59"/>
      <c r="H500" s="129"/>
      <c r="I500" s="129"/>
      <c r="J500" s="59"/>
      <c r="K500" s="59"/>
      <c r="L500" s="59"/>
    </row>
    <row r="501" spans="6:12">
      <c r="F501" s="129"/>
      <c r="G501" s="59"/>
      <c r="H501" s="129"/>
      <c r="I501" s="129"/>
      <c r="J501" s="59"/>
      <c r="K501" s="59"/>
      <c r="L501" s="59"/>
    </row>
    <row r="502" spans="6:12">
      <c r="F502" s="129"/>
      <c r="G502" s="59"/>
      <c r="H502" s="129"/>
      <c r="I502" s="129"/>
      <c r="J502" s="59"/>
      <c r="K502" s="59"/>
      <c r="L502" s="59"/>
    </row>
    <row r="503" spans="6:12">
      <c r="F503" s="129"/>
      <c r="G503" s="59"/>
      <c r="H503" s="129"/>
      <c r="I503" s="129"/>
      <c r="J503" s="59"/>
      <c r="K503" s="59"/>
      <c r="L503" s="59"/>
    </row>
    <row r="504" spans="6:12">
      <c r="F504" s="129"/>
      <c r="G504" s="59"/>
      <c r="H504" s="129"/>
      <c r="I504" s="129"/>
      <c r="J504" s="59"/>
      <c r="K504" s="59"/>
      <c r="L504" s="59"/>
    </row>
    <row r="505" spans="6:12">
      <c r="F505" s="129"/>
      <c r="G505" s="59"/>
      <c r="H505" s="129"/>
      <c r="I505" s="129"/>
      <c r="J505" s="59"/>
      <c r="K505" s="59"/>
      <c r="L505" s="59"/>
    </row>
    <row r="506" spans="6:12">
      <c r="F506" s="129"/>
      <c r="G506" s="59"/>
      <c r="H506" s="129"/>
      <c r="I506" s="129"/>
      <c r="J506" s="59"/>
      <c r="K506" s="59"/>
      <c r="L506" s="59"/>
    </row>
    <row r="507" spans="6:12">
      <c r="F507" s="129"/>
      <c r="G507" s="59"/>
      <c r="H507" s="129"/>
      <c r="I507" s="129"/>
      <c r="J507" s="59"/>
      <c r="K507" s="59"/>
      <c r="L507" s="59"/>
    </row>
    <row r="508" spans="6:12">
      <c r="F508" s="129"/>
      <c r="G508" s="59"/>
      <c r="H508" s="129"/>
      <c r="I508" s="129"/>
      <c r="J508" s="59"/>
      <c r="K508" s="59"/>
      <c r="L508" s="59"/>
    </row>
    <row r="509" spans="6:12">
      <c r="F509" s="129"/>
      <c r="G509" s="59"/>
      <c r="H509" s="129"/>
      <c r="I509" s="129"/>
      <c r="J509" s="59"/>
      <c r="K509" s="59"/>
      <c r="L509" s="59"/>
    </row>
    <row r="510" spans="6:12">
      <c r="F510" s="129"/>
      <c r="G510" s="59"/>
      <c r="H510" s="129"/>
      <c r="I510" s="129"/>
      <c r="J510" s="59"/>
      <c r="K510" s="59"/>
      <c r="L510" s="59"/>
    </row>
    <row r="511" spans="6:12">
      <c r="F511" s="129"/>
      <c r="G511" s="59"/>
      <c r="H511" s="129"/>
      <c r="I511" s="129"/>
      <c r="J511" s="59"/>
      <c r="K511" s="59"/>
      <c r="L511" s="59"/>
    </row>
    <row r="512" spans="6:12">
      <c r="F512" s="129"/>
      <c r="G512" s="59"/>
      <c r="H512" s="129"/>
      <c r="I512" s="129"/>
      <c r="J512" s="59"/>
      <c r="K512" s="59"/>
      <c r="L512" s="59"/>
    </row>
    <row r="513" spans="6:12">
      <c r="F513" s="129"/>
      <c r="G513" s="59"/>
      <c r="H513" s="129"/>
      <c r="I513" s="129"/>
      <c r="J513" s="59"/>
      <c r="K513" s="59"/>
      <c r="L513" s="59"/>
    </row>
    <row r="514" spans="6:12">
      <c r="F514" s="129"/>
      <c r="G514" s="59"/>
      <c r="H514" s="129"/>
      <c r="I514" s="129"/>
      <c r="J514" s="59"/>
      <c r="K514" s="59"/>
      <c r="L514" s="59"/>
    </row>
    <row r="515" spans="6:12">
      <c r="F515" s="129"/>
      <c r="G515" s="59"/>
      <c r="H515" s="129"/>
      <c r="I515" s="129"/>
      <c r="J515" s="59"/>
      <c r="K515" s="59"/>
      <c r="L515" s="59"/>
    </row>
    <row r="516" spans="6:12">
      <c r="F516" s="129"/>
      <c r="G516" s="59"/>
      <c r="H516" s="129"/>
      <c r="I516" s="129"/>
      <c r="J516" s="59"/>
      <c r="K516" s="59"/>
      <c r="L516" s="59"/>
    </row>
    <row r="517" spans="6:12">
      <c r="F517" s="129"/>
      <c r="G517" s="59"/>
      <c r="H517" s="129"/>
      <c r="I517" s="129"/>
      <c r="J517" s="59"/>
      <c r="K517" s="59"/>
      <c r="L517" s="59"/>
    </row>
    <row r="518" spans="6:12">
      <c r="F518" s="129"/>
      <c r="G518" s="59"/>
      <c r="H518" s="129"/>
      <c r="I518" s="129"/>
      <c r="J518" s="59"/>
      <c r="K518" s="59"/>
      <c r="L518" s="59"/>
    </row>
    <row r="519" spans="6:12">
      <c r="F519" s="129"/>
      <c r="G519" s="59"/>
      <c r="H519" s="129"/>
      <c r="I519" s="129"/>
      <c r="J519" s="59"/>
      <c r="K519" s="59"/>
      <c r="L519" s="59"/>
    </row>
    <row r="520" spans="6:12">
      <c r="F520" s="129"/>
      <c r="G520" s="59"/>
      <c r="H520" s="129"/>
      <c r="I520" s="129"/>
      <c r="J520" s="59"/>
      <c r="K520" s="59"/>
      <c r="L520" s="59"/>
    </row>
    <row r="521" spans="6:12">
      <c r="F521" s="129"/>
      <c r="G521" s="59"/>
      <c r="H521" s="129"/>
      <c r="I521" s="129"/>
      <c r="J521" s="59"/>
      <c r="K521" s="59"/>
      <c r="L521" s="59"/>
    </row>
    <row r="522" spans="6:12">
      <c r="F522" s="129"/>
      <c r="G522" s="59"/>
      <c r="H522" s="129"/>
      <c r="I522" s="129"/>
      <c r="J522" s="59"/>
      <c r="K522" s="59"/>
      <c r="L522" s="59"/>
    </row>
    <row r="523" spans="6:12">
      <c r="F523" s="129"/>
      <c r="G523" s="59"/>
      <c r="H523" s="129"/>
      <c r="I523" s="129"/>
      <c r="J523" s="59"/>
      <c r="K523" s="59"/>
      <c r="L523" s="59"/>
    </row>
    <row r="524" spans="6:12">
      <c r="F524" s="129"/>
      <c r="G524" s="59"/>
      <c r="H524" s="129"/>
      <c r="I524" s="129"/>
      <c r="J524" s="59"/>
      <c r="K524" s="59"/>
      <c r="L524" s="59"/>
    </row>
    <row r="525" spans="6:12">
      <c r="F525" s="129"/>
      <c r="G525" s="59"/>
      <c r="H525" s="129"/>
      <c r="I525" s="129"/>
      <c r="J525" s="59"/>
      <c r="K525" s="59"/>
      <c r="L525" s="59"/>
    </row>
    <row r="526" spans="6:12">
      <c r="F526" s="129"/>
      <c r="G526" s="59"/>
      <c r="H526" s="129"/>
      <c r="I526" s="129"/>
      <c r="J526" s="59"/>
      <c r="K526" s="59"/>
      <c r="L526" s="59"/>
    </row>
    <row r="527" spans="6:12">
      <c r="F527" s="129"/>
      <c r="G527" s="59"/>
      <c r="H527" s="129"/>
      <c r="I527" s="129"/>
      <c r="J527" s="59"/>
      <c r="K527" s="59"/>
      <c r="L527" s="59"/>
    </row>
    <row r="528" spans="6:12">
      <c r="F528" s="129"/>
      <c r="G528" s="59"/>
      <c r="H528" s="129"/>
      <c r="I528" s="129"/>
      <c r="J528" s="59"/>
      <c r="K528" s="59"/>
      <c r="L528" s="59"/>
    </row>
    <row r="529" spans="6:12">
      <c r="F529" s="129"/>
      <c r="G529" s="59"/>
      <c r="H529" s="129"/>
      <c r="I529" s="129"/>
      <c r="J529" s="59"/>
      <c r="K529" s="59"/>
      <c r="L529" s="59"/>
    </row>
    <row r="530" spans="6:12">
      <c r="F530" s="129"/>
      <c r="G530" s="59"/>
      <c r="H530" s="129"/>
      <c r="I530" s="129"/>
      <c r="J530" s="59"/>
      <c r="K530" s="59"/>
      <c r="L530" s="59"/>
    </row>
    <row r="531" spans="6:12">
      <c r="F531" s="129"/>
      <c r="G531" s="59"/>
      <c r="H531" s="129"/>
      <c r="I531" s="129"/>
      <c r="J531" s="59"/>
      <c r="K531" s="59"/>
      <c r="L531" s="59"/>
    </row>
    <row r="532" spans="6:12">
      <c r="F532" s="129"/>
      <c r="G532" s="59"/>
      <c r="H532" s="129"/>
      <c r="I532" s="129"/>
      <c r="J532" s="59"/>
      <c r="K532" s="59"/>
      <c r="L532" s="59"/>
    </row>
    <row r="533" spans="6:12">
      <c r="F533" s="129"/>
      <c r="G533" s="59"/>
      <c r="H533" s="129"/>
      <c r="I533" s="129"/>
      <c r="J533" s="59"/>
      <c r="K533" s="59"/>
      <c r="L533" s="59"/>
    </row>
    <row r="534" spans="6:12">
      <c r="F534" s="129"/>
      <c r="G534" s="59"/>
      <c r="H534" s="129"/>
      <c r="I534" s="129"/>
      <c r="J534" s="59"/>
      <c r="K534" s="59"/>
      <c r="L534" s="59"/>
    </row>
    <row r="535" spans="6:12">
      <c r="F535" s="129"/>
      <c r="G535" s="59"/>
      <c r="H535" s="129"/>
      <c r="I535" s="129"/>
      <c r="J535" s="59"/>
      <c r="K535" s="59"/>
      <c r="L535" s="59"/>
    </row>
    <row r="536" spans="6:12">
      <c r="F536" s="129"/>
      <c r="G536" s="59"/>
      <c r="H536" s="129"/>
      <c r="I536" s="129"/>
      <c r="J536" s="59"/>
      <c r="K536" s="59"/>
      <c r="L536" s="59"/>
    </row>
    <row r="537" spans="6:12">
      <c r="F537" s="129"/>
      <c r="G537" s="59"/>
      <c r="H537" s="129"/>
      <c r="I537" s="129"/>
      <c r="J537" s="59"/>
      <c r="K537" s="59"/>
      <c r="L537" s="59"/>
    </row>
    <row r="538" spans="6:12">
      <c r="F538" s="129"/>
      <c r="G538" s="59"/>
      <c r="H538" s="129"/>
      <c r="I538" s="129"/>
      <c r="J538" s="59"/>
      <c r="K538" s="59"/>
      <c r="L538" s="59"/>
    </row>
    <row r="539" spans="6:12">
      <c r="F539" s="129"/>
      <c r="G539" s="59"/>
      <c r="H539" s="129"/>
      <c r="I539" s="129"/>
      <c r="J539" s="59"/>
      <c r="K539" s="59"/>
      <c r="L539" s="59"/>
    </row>
    <row r="540" spans="6:12">
      <c r="F540" s="129"/>
      <c r="G540" s="59"/>
      <c r="H540" s="129"/>
      <c r="I540" s="129"/>
      <c r="J540" s="59"/>
      <c r="K540" s="59"/>
      <c r="L540" s="59"/>
    </row>
    <row r="541" spans="6:12">
      <c r="F541" s="129"/>
      <c r="G541" s="59"/>
      <c r="H541" s="129"/>
      <c r="I541" s="129"/>
      <c r="J541" s="59"/>
      <c r="K541" s="59"/>
      <c r="L541" s="59"/>
    </row>
    <row r="542" spans="6:12">
      <c r="F542" s="129"/>
      <c r="G542" s="59"/>
      <c r="H542" s="129"/>
      <c r="I542" s="129"/>
      <c r="J542" s="59"/>
      <c r="K542" s="59"/>
      <c r="L542" s="59"/>
    </row>
    <row r="543" spans="6:12">
      <c r="F543" s="129"/>
      <c r="G543" s="59"/>
      <c r="H543" s="129"/>
      <c r="I543" s="129"/>
      <c r="J543" s="59"/>
      <c r="K543" s="59"/>
      <c r="L543" s="59"/>
    </row>
    <row r="544" spans="6:12">
      <c r="F544" s="129"/>
      <c r="G544" s="59"/>
      <c r="H544" s="129"/>
      <c r="I544" s="129"/>
      <c r="J544" s="59"/>
      <c r="K544" s="59"/>
      <c r="L544" s="59"/>
    </row>
    <row r="545" spans="6:12">
      <c r="F545" s="129"/>
      <c r="G545" s="59"/>
      <c r="H545" s="129"/>
      <c r="I545" s="129"/>
      <c r="J545" s="59"/>
      <c r="K545" s="59"/>
      <c r="L545" s="59"/>
    </row>
    <row r="546" spans="6:12">
      <c r="F546" s="129"/>
      <c r="G546" s="59"/>
      <c r="H546" s="129"/>
      <c r="I546" s="129"/>
      <c r="J546" s="59"/>
      <c r="K546" s="59"/>
      <c r="L546" s="59"/>
    </row>
    <row r="547" spans="6:12">
      <c r="F547" s="129"/>
      <c r="G547" s="59"/>
      <c r="H547" s="129"/>
      <c r="I547" s="129"/>
      <c r="J547" s="59"/>
      <c r="K547" s="59"/>
      <c r="L547" s="59"/>
    </row>
    <row r="548" spans="6:12">
      <c r="F548" s="129"/>
      <c r="G548" s="59"/>
      <c r="H548" s="129"/>
      <c r="I548" s="129"/>
      <c r="J548" s="59"/>
      <c r="K548" s="59"/>
      <c r="L548" s="59"/>
    </row>
    <row r="549" spans="6:12">
      <c r="F549" s="129"/>
      <c r="G549" s="59"/>
      <c r="H549" s="129"/>
      <c r="I549" s="129"/>
      <c r="J549" s="59"/>
      <c r="K549" s="59"/>
      <c r="L549" s="59"/>
    </row>
    <row r="550" spans="6:12">
      <c r="F550" s="129"/>
      <c r="G550" s="59"/>
      <c r="H550" s="129"/>
      <c r="I550" s="129"/>
      <c r="J550" s="59"/>
      <c r="K550" s="59"/>
      <c r="L550" s="59"/>
    </row>
    <row r="551" spans="6:12">
      <c r="F551" s="129"/>
      <c r="G551" s="59"/>
      <c r="H551" s="129"/>
      <c r="I551" s="129"/>
      <c r="J551" s="59"/>
      <c r="K551" s="59"/>
      <c r="L551" s="59"/>
    </row>
    <row r="552" spans="6:12">
      <c r="F552" s="129"/>
      <c r="G552" s="59"/>
      <c r="H552" s="129"/>
      <c r="I552" s="129"/>
      <c r="J552" s="59"/>
      <c r="K552" s="59"/>
      <c r="L552" s="59"/>
    </row>
    <row r="553" spans="6:12">
      <c r="F553" s="129"/>
      <c r="G553" s="59"/>
      <c r="H553" s="129"/>
      <c r="I553" s="129"/>
      <c r="J553" s="59"/>
      <c r="K553" s="59"/>
      <c r="L553" s="59"/>
    </row>
    <row r="554" spans="6:12">
      <c r="F554" s="129"/>
      <c r="G554" s="59"/>
      <c r="H554" s="129"/>
      <c r="I554" s="129"/>
      <c r="J554" s="59"/>
      <c r="K554" s="59"/>
      <c r="L554" s="59"/>
    </row>
    <row r="555" spans="6:12">
      <c r="F555" s="129"/>
      <c r="G555" s="59"/>
      <c r="H555" s="129"/>
      <c r="I555" s="129"/>
      <c r="J555" s="59"/>
      <c r="K555" s="59"/>
      <c r="L555" s="59"/>
    </row>
    <row r="556" spans="6:12">
      <c r="F556" s="129"/>
      <c r="G556" s="59"/>
      <c r="H556" s="129"/>
      <c r="I556" s="129"/>
      <c r="J556" s="59"/>
      <c r="K556" s="59"/>
      <c r="L556" s="59"/>
    </row>
    <row r="557" spans="6:12">
      <c r="F557" s="129"/>
      <c r="G557" s="59"/>
      <c r="H557" s="129"/>
      <c r="I557" s="129"/>
      <c r="J557" s="59"/>
      <c r="K557" s="59"/>
      <c r="L557" s="59"/>
    </row>
    <row r="558" spans="6:12">
      <c r="F558" s="129"/>
      <c r="G558" s="59"/>
      <c r="H558" s="129"/>
      <c r="I558" s="129"/>
      <c r="J558" s="59"/>
      <c r="K558" s="59"/>
      <c r="L558" s="59"/>
    </row>
    <row r="559" spans="6:12">
      <c r="F559" s="129"/>
      <c r="G559" s="59"/>
      <c r="H559" s="129"/>
      <c r="I559" s="129"/>
      <c r="J559" s="59"/>
      <c r="K559" s="59"/>
      <c r="L559" s="59"/>
    </row>
    <row r="560" spans="6:12">
      <c r="F560" s="129"/>
      <c r="G560" s="59"/>
      <c r="H560" s="129"/>
      <c r="I560" s="129"/>
      <c r="J560" s="59"/>
      <c r="K560" s="59"/>
      <c r="L560" s="59"/>
    </row>
    <row r="561" spans="6:12">
      <c r="F561" s="129"/>
      <c r="G561" s="59"/>
      <c r="H561" s="129"/>
      <c r="I561" s="129"/>
      <c r="J561" s="59"/>
      <c r="K561" s="59"/>
      <c r="L561" s="59"/>
    </row>
    <row r="562" spans="6:12">
      <c r="F562" s="129"/>
      <c r="G562" s="59"/>
      <c r="H562" s="129"/>
      <c r="I562" s="129"/>
      <c r="J562" s="59"/>
      <c r="K562" s="59"/>
      <c r="L562" s="59"/>
    </row>
    <row r="563" spans="6:12">
      <c r="F563" s="129"/>
      <c r="G563" s="59"/>
      <c r="H563" s="129"/>
      <c r="I563" s="129"/>
      <c r="J563" s="59"/>
      <c r="K563" s="59"/>
      <c r="L563" s="59"/>
    </row>
    <row r="564" spans="6:12">
      <c r="F564" s="129"/>
      <c r="G564" s="59"/>
      <c r="H564" s="129"/>
      <c r="I564" s="129"/>
      <c r="J564" s="59"/>
      <c r="K564" s="59"/>
      <c r="L564" s="59"/>
    </row>
    <row r="565" spans="6:12">
      <c r="F565" s="129"/>
      <c r="G565" s="59"/>
      <c r="H565" s="129"/>
      <c r="I565" s="129"/>
      <c r="J565" s="59"/>
      <c r="K565" s="59"/>
      <c r="L565" s="59"/>
    </row>
    <row r="566" spans="6:12">
      <c r="F566" s="129"/>
      <c r="G566" s="59"/>
      <c r="H566" s="129"/>
      <c r="I566" s="129"/>
      <c r="J566" s="59"/>
      <c r="K566" s="59"/>
      <c r="L566" s="59"/>
    </row>
    <row r="567" spans="6:12">
      <c r="F567" s="129"/>
      <c r="G567" s="59"/>
      <c r="H567" s="129"/>
      <c r="I567" s="129"/>
      <c r="J567" s="59"/>
      <c r="K567" s="59"/>
      <c r="L567" s="59"/>
    </row>
    <row r="568" spans="6:12">
      <c r="F568" s="129"/>
      <c r="G568" s="59"/>
      <c r="H568" s="129"/>
      <c r="I568" s="129"/>
      <c r="J568" s="59"/>
      <c r="K568" s="59"/>
      <c r="L568" s="59"/>
    </row>
    <row r="569" spans="6:12">
      <c r="F569" s="129"/>
      <c r="G569" s="59"/>
      <c r="H569" s="129"/>
      <c r="I569" s="129"/>
      <c r="J569" s="59"/>
      <c r="K569" s="59"/>
      <c r="L569" s="59"/>
    </row>
    <row r="570" spans="6:12">
      <c r="F570" s="129"/>
      <c r="G570" s="59"/>
      <c r="H570" s="129"/>
      <c r="I570" s="129"/>
      <c r="J570" s="59"/>
      <c r="K570" s="59"/>
      <c r="L570" s="59"/>
    </row>
    <row r="571" spans="6:12">
      <c r="F571" s="129"/>
      <c r="G571" s="59"/>
      <c r="H571" s="129"/>
      <c r="I571" s="129"/>
      <c r="J571" s="59"/>
      <c r="K571" s="59"/>
      <c r="L571" s="59"/>
    </row>
    <row r="572" spans="6:12">
      <c r="F572" s="129"/>
      <c r="G572" s="59"/>
      <c r="H572" s="129"/>
      <c r="I572" s="129"/>
      <c r="J572" s="59"/>
      <c r="K572" s="59"/>
      <c r="L572" s="59"/>
    </row>
    <row r="573" spans="6:12">
      <c r="F573" s="129"/>
      <c r="G573" s="59"/>
      <c r="H573" s="129"/>
      <c r="I573" s="129"/>
      <c r="J573" s="59"/>
      <c r="K573" s="59"/>
      <c r="L573" s="59"/>
    </row>
    <row r="574" spans="6:12">
      <c r="F574" s="129"/>
      <c r="G574" s="59"/>
      <c r="H574" s="129"/>
      <c r="I574" s="129"/>
      <c r="J574" s="59"/>
      <c r="K574" s="59"/>
      <c r="L574" s="59"/>
    </row>
    <row r="575" spans="6:12">
      <c r="F575" s="129"/>
      <c r="G575" s="59"/>
      <c r="H575" s="129"/>
      <c r="I575" s="129"/>
      <c r="J575" s="59"/>
      <c r="K575" s="59"/>
      <c r="L575" s="59"/>
    </row>
    <row r="576" spans="6:12">
      <c r="F576" s="129"/>
      <c r="G576" s="59"/>
      <c r="H576" s="129"/>
      <c r="I576" s="129"/>
      <c r="J576" s="59"/>
      <c r="K576" s="59"/>
      <c r="L576" s="59"/>
    </row>
    <row r="577" spans="6:12">
      <c r="F577" s="129"/>
      <c r="G577" s="59"/>
      <c r="H577" s="129"/>
      <c r="I577" s="129"/>
      <c r="J577" s="59"/>
      <c r="K577" s="59"/>
      <c r="L577" s="59"/>
    </row>
    <row r="578" spans="6:12">
      <c r="F578" s="129"/>
      <c r="G578" s="59"/>
      <c r="H578" s="129"/>
      <c r="I578" s="129"/>
      <c r="J578" s="59"/>
      <c r="K578" s="59"/>
      <c r="L578" s="59"/>
    </row>
    <row r="579" spans="6:12">
      <c r="F579" s="129"/>
      <c r="G579" s="59"/>
      <c r="H579" s="129"/>
      <c r="I579" s="129"/>
      <c r="J579" s="59"/>
      <c r="K579" s="59"/>
      <c r="L579" s="59"/>
    </row>
    <row r="580" spans="6:12">
      <c r="F580" s="129"/>
      <c r="G580" s="59"/>
      <c r="H580" s="129"/>
      <c r="I580" s="129"/>
      <c r="J580" s="59"/>
      <c r="K580" s="59"/>
      <c r="L580" s="59"/>
    </row>
    <row r="581" spans="6:12">
      <c r="F581" s="129"/>
      <c r="G581" s="59"/>
      <c r="H581" s="129"/>
      <c r="I581" s="129"/>
      <c r="J581" s="59"/>
      <c r="K581" s="59"/>
      <c r="L581" s="59"/>
    </row>
    <row r="582" spans="6:12">
      <c r="F582" s="129"/>
      <c r="G582" s="59"/>
      <c r="H582" s="129"/>
      <c r="I582" s="129"/>
      <c r="J582" s="59"/>
      <c r="K582" s="59"/>
      <c r="L582" s="59"/>
    </row>
    <row r="583" spans="6:12">
      <c r="F583" s="129"/>
      <c r="G583" s="59"/>
      <c r="H583" s="129"/>
      <c r="I583" s="129"/>
      <c r="J583" s="59"/>
      <c r="K583" s="59"/>
      <c r="L583" s="59"/>
    </row>
    <row r="584" spans="6:12">
      <c r="F584" s="129"/>
      <c r="G584" s="59"/>
      <c r="H584" s="129"/>
      <c r="I584" s="129"/>
      <c r="J584" s="59"/>
      <c r="K584" s="59"/>
      <c r="L584" s="59"/>
    </row>
    <row r="585" spans="6:12">
      <c r="F585" s="129"/>
      <c r="G585" s="59"/>
      <c r="H585" s="129"/>
      <c r="I585" s="129"/>
      <c r="J585" s="59"/>
      <c r="K585" s="59"/>
      <c r="L585" s="59"/>
    </row>
    <row r="586" spans="6:12">
      <c r="F586" s="129"/>
      <c r="G586" s="59"/>
      <c r="H586" s="129"/>
      <c r="I586" s="129"/>
      <c r="J586" s="59"/>
      <c r="K586" s="59"/>
      <c r="L586" s="59"/>
    </row>
    <row r="587" spans="6:12">
      <c r="F587" s="129"/>
      <c r="G587" s="59"/>
      <c r="H587" s="129"/>
      <c r="I587" s="129"/>
      <c r="J587" s="59"/>
      <c r="K587" s="59"/>
      <c r="L587" s="59"/>
    </row>
    <row r="588" spans="6:12">
      <c r="F588" s="129"/>
      <c r="G588" s="59"/>
      <c r="H588" s="129"/>
      <c r="I588" s="129"/>
      <c r="J588" s="59"/>
      <c r="K588" s="59"/>
      <c r="L588" s="59"/>
    </row>
    <row r="589" spans="6:12">
      <c r="F589" s="129"/>
      <c r="G589" s="59"/>
      <c r="H589" s="129"/>
      <c r="I589" s="129"/>
      <c r="J589" s="59"/>
      <c r="K589" s="59"/>
      <c r="L589" s="59"/>
    </row>
    <row r="590" spans="6:12">
      <c r="F590" s="129"/>
      <c r="G590" s="59"/>
      <c r="H590" s="129"/>
      <c r="I590" s="129"/>
      <c r="J590" s="59"/>
      <c r="K590" s="59"/>
      <c r="L590" s="59"/>
    </row>
    <row r="591" spans="6:12">
      <c r="F591" s="129"/>
      <c r="G591" s="59"/>
      <c r="H591" s="129"/>
      <c r="I591" s="129"/>
      <c r="J591" s="59"/>
      <c r="K591" s="59"/>
      <c r="L591" s="59"/>
    </row>
    <row r="592" spans="6:12">
      <c r="F592" s="129"/>
      <c r="G592" s="59"/>
      <c r="H592" s="129"/>
      <c r="I592" s="129"/>
      <c r="J592" s="59"/>
      <c r="K592" s="59"/>
      <c r="L592" s="59"/>
    </row>
    <row r="593" spans="6:12">
      <c r="F593" s="129"/>
      <c r="G593" s="59"/>
      <c r="H593" s="129"/>
      <c r="I593" s="129"/>
      <c r="J593" s="59"/>
      <c r="K593" s="59"/>
      <c r="L593" s="59"/>
    </row>
    <row r="594" spans="6:12">
      <c r="F594" s="129"/>
      <c r="G594" s="59"/>
      <c r="H594" s="129"/>
      <c r="I594" s="129"/>
      <c r="J594" s="59"/>
      <c r="K594" s="59"/>
      <c r="L594" s="59"/>
    </row>
    <row r="595" spans="6:12">
      <c r="F595" s="129"/>
      <c r="G595" s="59"/>
      <c r="H595" s="129"/>
      <c r="I595" s="129"/>
      <c r="J595" s="59"/>
      <c r="K595" s="59"/>
      <c r="L595" s="59"/>
    </row>
    <row r="596" spans="6:12">
      <c r="F596" s="129"/>
      <c r="G596" s="59"/>
      <c r="H596" s="129"/>
      <c r="I596" s="129"/>
      <c r="J596" s="59"/>
      <c r="K596" s="59"/>
      <c r="L596" s="59"/>
    </row>
    <row r="597" spans="6:12">
      <c r="F597" s="129"/>
      <c r="G597" s="59"/>
      <c r="H597" s="129"/>
      <c r="I597" s="129"/>
      <c r="J597" s="59"/>
      <c r="K597" s="59"/>
      <c r="L597" s="59"/>
    </row>
    <row r="598" spans="6:12">
      <c r="F598" s="129"/>
      <c r="G598" s="59"/>
      <c r="H598" s="129"/>
      <c r="I598" s="129"/>
      <c r="J598" s="59"/>
      <c r="K598" s="59"/>
      <c r="L598" s="59"/>
    </row>
    <row r="599" spans="6:12">
      <c r="F599" s="129"/>
      <c r="G599" s="59"/>
      <c r="H599" s="129"/>
      <c r="I599" s="129"/>
      <c r="J599" s="59"/>
      <c r="K599" s="59"/>
      <c r="L599" s="59"/>
    </row>
    <row r="600" spans="6:12">
      <c r="F600" s="129"/>
      <c r="G600" s="59"/>
      <c r="H600" s="129"/>
      <c r="I600" s="129"/>
      <c r="J600" s="59"/>
      <c r="K600" s="59"/>
      <c r="L600" s="59"/>
    </row>
    <row r="601" spans="6:12">
      <c r="F601" s="129"/>
      <c r="G601" s="59"/>
      <c r="H601" s="129"/>
      <c r="I601" s="129"/>
      <c r="J601" s="59"/>
      <c r="K601" s="59"/>
      <c r="L601" s="59"/>
    </row>
    <row r="602" spans="6:12">
      <c r="F602" s="129"/>
      <c r="G602" s="59"/>
      <c r="H602" s="129"/>
      <c r="I602" s="129"/>
      <c r="J602" s="59"/>
      <c r="K602" s="59"/>
      <c r="L602" s="59"/>
    </row>
    <row r="603" spans="6:12">
      <c r="F603" s="129"/>
      <c r="G603" s="59"/>
      <c r="H603" s="129"/>
      <c r="I603" s="129"/>
      <c r="J603" s="59"/>
      <c r="K603" s="59"/>
      <c r="L603" s="59"/>
    </row>
    <row r="604" spans="6:12">
      <c r="F604" s="129"/>
      <c r="G604" s="59"/>
      <c r="H604" s="129"/>
      <c r="I604" s="129"/>
      <c r="J604" s="59"/>
      <c r="K604" s="59"/>
      <c r="L604" s="59"/>
    </row>
    <row r="605" spans="6:12">
      <c r="F605" s="129"/>
      <c r="G605" s="59"/>
      <c r="H605" s="129"/>
      <c r="I605" s="129"/>
      <c r="J605" s="59"/>
      <c r="K605" s="59"/>
      <c r="L605" s="59"/>
    </row>
    <row r="606" spans="6:12">
      <c r="F606" s="129"/>
      <c r="G606" s="59"/>
      <c r="H606" s="129"/>
      <c r="I606" s="129"/>
      <c r="J606" s="59"/>
      <c r="K606" s="59"/>
      <c r="L606" s="59"/>
    </row>
    <row r="607" spans="6:12">
      <c r="F607" s="129"/>
      <c r="G607" s="59"/>
      <c r="H607" s="129"/>
      <c r="I607" s="129"/>
      <c r="J607" s="59"/>
      <c r="K607" s="59"/>
      <c r="L607" s="59"/>
    </row>
    <row r="608" spans="6:12">
      <c r="F608" s="129"/>
      <c r="G608" s="59"/>
      <c r="H608" s="129"/>
      <c r="I608" s="129"/>
      <c r="J608" s="59"/>
      <c r="K608" s="59"/>
      <c r="L608" s="59"/>
    </row>
    <row r="609" spans="6:12">
      <c r="F609" s="129"/>
      <c r="G609" s="59"/>
      <c r="H609" s="129"/>
      <c r="I609" s="129"/>
      <c r="J609" s="59"/>
      <c r="K609" s="59"/>
      <c r="L609" s="59"/>
    </row>
    <row r="610" spans="6:12">
      <c r="F610" s="129"/>
      <c r="G610" s="59"/>
      <c r="H610" s="129"/>
      <c r="I610" s="129"/>
      <c r="J610" s="59"/>
      <c r="K610" s="59"/>
      <c r="L610" s="59"/>
    </row>
    <row r="611" spans="6:12">
      <c r="F611" s="129"/>
      <c r="G611" s="59"/>
      <c r="H611" s="129"/>
      <c r="I611" s="129"/>
      <c r="J611" s="59"/>
      <c r="K611" s="59"/>
      <c r="L611" s="59"/>
    </row>
    <row r="612" spans="6:12">
      <c r="F612" s="129"/>
      <c r="G612" s="59"/>
      <c r="H612" s="129"/>
      <c r="I612" s="129"/>
      <c r="J612" s="59"/>
      <c r="K612" s="59"/>
      <c r="L612" s="59"/>
    </row>
    <row r="613" spans="6:12">
      <c r="F613" s="129"/>
      <c r="G613" s="59"/>
      <c r="H613" s="129"/>
      <c r="I613" s="129"/>
      <c r="J613" s="59"/>
      <c r="K613" s="59"/>
      <c r="L613" s="59"/>
    </row>
    <row r="614" spans="6:12">
      <c r="F614" s="129"/>
      <c r="G614" s="59"/>
      <c r="H614" s="129"/>
      <c r="I614" s="129"/>
      <c r="J614" s="59"/>
      <c r="K614" s="59"/>
      <c r="L614" s="59"/>
    </row>
    <row r="615" spans="6:12">
      <c r="F615" s="129"/>
      <c r="G615" s="59"/>
      <c r="H615" s="129"/>
      <c r="I615" s="129"/>
      <c r="J615" s="59"/>
      <c r="K615" s="59"/>
      <c r="L615" s="59"/>
    </row>
    <row r="616" spans="6:12">
      <c r="F616" s="129"/>
      <c r="G616" s="59"/>
      <c r="H616" s="129"/>
      <c r="I616" s="129"/>
      <c r="J616" s="59"/>
      <c r="K616" s="59"/>
      <c r="L616" s="59"/>
    </row>
    <row r="617" spans="6:12">
      <c r="F617" s="129"/>
      <c r="G617" s="59"/>
      <c r="H617" s="129"/>
      <c r="I617" s="129"/>
      <c r="J617" s="59"/>
      <c r="K617" s="59"/>
      <c r="L617" s="59"/>
    </row>
    <row r="618" spans="6:12">
      <c r="F618" s="129"/>
      <c r="G618" s="59"/>
      <c r="H618" s="129"/>
      <c r="I618" s="129"/>
      <c r="J618" s="59"/>
      <c r="K618" s="59"/>
      <c r="L618" s="59"/>
    </row>
    <row r="619" spans="6:12">
      <c r="F619" s="129"/>
      <c r="G619" s="59"/>
      <c r="H619" s="129"/>
      <c r="I619" s="129"/>
      <c r="J619" s="59"/>
      <c r="K619" s="59"/>
      <c r="L619" s="59"/>
    </row>
    <row r="620" spans="6:12">
      <c r="F620" s="129"/>
      <c r="G620" s="59"/>
      <c r="H620" s="129"/>
      <c r="I620" s="129"/>
      <c r="J620" s="59"/>
      <c r="K620" s="59"/>
      <c r="L620" s="59"/>
    </row>
    <row r="621" spans="6:12">
      <c r="F621" s="129"/>
      <c r="G621" s="59"/>
      <c r="H621" s="129"/>
      <c r="I621" s="129"/>
      <c r="J621" s="59"/>
      <c r="K621" s="59"/>
      <c r="L621" s="59"/>
    </row>
    <row r="622" spans="6:12">
      <c r="F622" s="129"/>
      <c r="G622" s="59"/>
      <c r="H622" s="129"/>
      <c r="I622" s="129"/>
      <c r="J622" s="59"/>
      <c r="K622" s="59"/>
      <c r="L622" s="59"/>
    </row>
    <row r="623" spans="6:12">
      <c r="F623" s="129"/>
      <c r="G623" s="59"/>
      <c r="H623" s="129"/>
      <c r="I623" s="129"/>
      <c r="J623" s="59"/>
      <c r="K623" s="59"/>
      <c r="L623" s="59"/>
    </row>
    <row r="624" spans="6:12">
      <c r="F624" s="129"/>
      <c r="G624" s="59"/>
      <c r="H624" s="129"/>
      <c r="I624" s="129"/>
      <c r="J624" s="59"/>
      <c r="K624" s="59"/>
      <c r="L624" s="59"/>
    </row>
    <row r="625" spans="6:12">
      <c r="F625" s="129"/>
      <c r="G625" s="59"/>
      <c r="H625" s="129"/>
      <c r="I625" s="129"/>
      <c r="J625" s="59"/>
      <c r="K625" s="59"/>
      <c r="L625" s="59"/>
    </row>
    <row r="626" spans="6:12">
      <c r="F626" s="129"/>
      <c r="G626" s="59"/>
      <c r="H626" s="129"/>
      <c r="I626" s="129"/>
      <c r="J626" s="59"/>
      <c r="K626" s="59"/>
      <c r="L626" s="59"/>
    </row>
    <row r="627" spans="6:12">
      <c r="F627" s="129"/>
      <c r="G627" s="59"/>
      <c r="H627" s="129"/>
      <c r="I627" s="129"/>
      <c r="J627" s="59"/>
      <c r="K627" s="59"/>
      <c r="L627" s="59"/>
    </row>
    <row r="628" spans="6:12">
      <c r="F628" s="129"/>
      <c r="G628" s="59"/>
      <c r="H628" s="129"/>
      <c r="I628" s="129"/>
      <c r="J628" s="59"/>
      <c r="K628" s="59"/>
      <c r="L628" s="59"/>
    </row>
    <row r="629" spans="6:12">
      <c r="F629" s="129"/>
      <c r="G629" s="59"/>
      <c r="H629" s="129"/>
      <c r="I629" s="129"/>
      <c r="J629" s="59"/>
      <c r="K629" s="59"/>
      <c r="L629" s="59"/>
    </row>
    <row r="630" spans="6:12">
      <c r="F630" s="129"/>
      <c r="G630" s="59"/>
      <c r="H630" s="129"/>
      <c r="I630" s="129"/>
      <c r="J630" s="59"/>
      <c r="K630" s="59"/>
      <c r="L630" s="59"/>
    </row>
    <row r="631" spans="6:12">
      <c r="F631" s="129"/>
      <c r="G631" s="59"/>
      <c r="H631" s="129"/>
      <c r="I631" s="129"/>
      <c r="J631" s="59"/>
      <c r="K631" s="59"/>
      <c r="L631" s="59"/>
    </row>
    <row r="632" spans="6:12">
      <c r="F632" s="129"/>
      <c r="G632" s="59"/>
      <c r="H632" s="129"/>
      <c r="I632" s="129"/>
      <c r="J632" s="59"/>
      <c r="K632" s="59"/>
      <c r="L632" s="59"/>
    </row>
    <row r="633" spans="6:12">
      <c r="F633" s="129"/>
      <c r="G633" s="59"/>
      <c r="H633" s="129"/>
      <c r="I633" s="129"/>
      <c r="J633" s="59"/>
      <c r="K633" s="59"/>
      <c r="L633" s="59"/>
    </row>
    <row r="634" spans="6:12">
      <c r="F634" s="129"/>
      <c r="G634" s="59"/>
      <c r="H634" s="129"/>
      <c r="I634" s="129"/>
      <c r="J634" s="59"/>
      <c r="K634" s="59"/>
      <c r="L634" s="59"/>
    </row>
    <row r="635" spans="6:12">
      <c r="F635" s="129"/>
      <c r="G635" s="59"/>
      <c r="H635" s="129"/>
      <c r="I635" s="129"/>
      <c r="J635" s="59"/>
      <c r="K635" s="59"/>
      <c r="L635" s="59"/>
    </row>
    <row r="636" spans="6:12">
      <c r="F636" s="129"/>
      <c r="G636" s="59"/>
      <c r="H636" s="129"/>
      <c r="I636" s="129"/>
      <c r="J636" s="59"/>
      <c r="K636" s="59"/>
      <c r="L636" s="59"/>
    </row>
    <row r="637" spans="6:12">
      <c r="F637" s="129"/>
      <c r="G637" s="59"/>
      <c r="H637" s="129"/>
      <c r="I637" s="129"/>
      <c r="J637" s="59"/>
      <c r="K637" s="59"/>
      <c r="L637" s="59"/>
    </row>
    <row r="638" spans="6:12">
      <c r="F638" s="129"/>
      <c r="G638" s="59"/>
      <c r="H638" s="129"/>
      <c r="I638" s="129"/>
      <c r="J638" s="59"/>
      <c r="K638" s="59"/>
      <c r="L638" s="59"/>
    </row>
    <row r="639" spans="6:12">
      <c r="F639" s="129"/>
      <c r="G639" s="59"/>
      <c r="H639" s="129"/>
      <c r="I639" s="129"/>
      <c r="J639" s="59"/>
      <c r="K639" s="59"/>
      <c r="L639" s="59"/>
    </row>
    <row r="640" spans="6:12">
      <c r="F640" s="129"/>
      <c r="G640" s="59"/>
      <c r="H640" s="129"/>
      <c r="I640" s="129"/>
      <c r="J640" s="59"/>
      <c r="K640" s="59"/>
      <c r="L640" s="59"/>
    </row>
    <row r="641" spans="6:12">
      <c r="F641" s="129"/>
      <c r="G641" s="59"/>
      <c r="H641" s="129"/>
      <c r="I641" s="129"/>
      <c r="J641" s="59"/>
      <c r="K641" s="59"/>
      <c r="L641" s="59"/>
    </row>
    <row r="642" spans="6:12">
      <c r="F642" s="129"/>
      <c r="G642" s="59"/>
      <c r="H642" s="129"/>
      <c r="I642" s="129"/>
      <c r="J642" s="59"/>
      <c r="K642" s="59"/>
      <c r="L642" s="59"/>
    </row>
    <row r="643" spans="6:12">
      <c r="F643" s="129"/>
      <c r="G643" s="59"/>
      <c r="H643" s="129"/>
      <c r="I643" s="129"/>
      <c r="J643" s="59"/>
      <c r="K643" s="59"/>
      <c r="L643" s="59"/>
    </row>
    <row r="644" spans="6:12">
      <c r="F644" s="129"/>
      <c r="G644" s="59"/>
      <c r="H644" s="129"/>
      <c r="I644" s="129"/>
      <c r="J644" s="59"/>
      <c r="K644" s="59"/>
      <c r="L644" s="59"/>
    </row>
    <row r="645" spans="6:12">
      <c r="F645" s="129"/>
      <c r="G645" s="59"/>
      <c r="H645" s="129"/>
      <c r="I645" s="129"/>
      <c r="J645" s="59"/>
      <c r="K645" s="59"/>
      <c r="L645" s="59"/>
    </row>
    <row r="646" spans="6:12">
      <c r="F646" s="129"/>
      <c r="G646" s="59"/>
      <c r="H646" s="129"/>
      <c r="I646" s="129"/>
      <c r="J646" s="59"/>
      <c r="K646" s="59"/>
      <c r="L646" s="59"/>
    </row>
    <row r="647" spans="6:12">
      <c r="F647" s="129"/>
      <c r="G647" s="59"/>
      <c r="H647" s="129"/>
      <c r="I647" s="129"/>
      <c r="J647" s="59"/>
      <c r="K647" s="59"/>
      <c r="L647" s="59"/>
    </row>
    <row r="648" spans="6:12">
      <c r="F648" s="129"/>
      <c r="G648" s="59"/>
      <c r="H648" s="129"/>
      <c r="I648" s="129"/>
      <c r="J648" s="59"/>
      <c r="K648" s="59"/>
      <c r="L648" s="59"/>
    </row>
    <row r="649" spans="6:12">
      <c r="F649" s="129"/>
      <c r="G649" s="59"/>
      <c r="H649" s="129"/>
      <c r="I649" s="129"/>
      <c r="J649" s="59"/>
      <c r="K649" s="59"/>
      <c r="L649" s="59"/>
    </row>
    <row r="650" spans="6:12">
      <c r="F650" s="129"/>
      <c r="G650" s="59"/>
      <c r="H650" s="129"/>
      <c r="I650" s="129"/>
      <c r="J650" s="59"/>
      <c r="K650" s="59"/>
      <c r="L650" s="59"/>
    </row>
    <row r="651" spans="6:12">
      <c r="F651" s="129"/>
      <c r="G651" s="59"/>
      <c r="H651" s="129"/>
      <c r="I651" s="129"/>
      <c r="J651" s="59"/>
      <c r="K651" s="59"/>
      <c r="L651" s="59"/>
    </row>
    <row r="652" spans="6:12">
      <c r="F652" s="129"/>
      <c r="G652" s="59"/>
      <c r="H652" s="129"/>
      <c r="I652" s="129"/>
      <c r="J652" s="59"/>
      <c r="K652" s="59"/>
      <c r="L652" s="59"/>
    </row>
    <row r="653" spans="6:12">
      <c r="F653" s="129"/>
      <c r="G653" s="59"/>
      <c r="H653" s="129"/>
      <c r="I653" s="129"/>
      <c r="J653" s="59"/>
      <c r="K653" s="59"/>
      <c r="L653" s="59"/>
    </row>
    <row r="654" spans="6:12">
      <c r="F654" s="129"/>
      <c r="G654" s="59"/>
      <c r="H654" s="129"/>
      <c r="I654" s="129"/>
      <c r="J654" s="59"/>
      <c r="K654" s="59"/>
      <c r="L654" s="59"/>
    </row>
    <row r="655" spans="6:12">
      <c r="F655" s="129"/>
      <c r="G655" s="59"/>
      <c r="H655" s="129"/>
      <c r="I655" s="129"/>
      <c r="J655" s="59"/>
      <c r="K655" s="59"/>
      <c r="L655" s="59"/>
    </row>
    <row r="656" spans="6:12">
      <c r="F656" s="129"/>
      <c r="G656" s="59"/>
      <c r="H656" s="129"/>
      <c r="I656" s="129"/>
      <c r="J656" s="59"/>
      <c r="K656" s="59"/>
      <c r="L656" s="59"/>
    </row>
    <row r="657" spans="6:12">
      <c r="F657" s="129"/>
      <c r="G657" s="59"/>
      <c r="H657" s="129"/>
      <c r="I657" s="129"/>
      <c r="J657" s="59"/>
      <c r="K657" s="59"/>
      <c r="L657" s="59"/>
    </row>
    <row r="658" spans="6:12">
      <c r="F658" s="129"/>
      <c r="G658" s="59"/>
      <c r="H658" s="129"/>
      <c r="I658" s="129"/>
      <c r="J658" s="59"/>
      <c r="K658" s="59"/>
      <c r="L658" s="59"/>
    </row>
    <row r="659" spans="6:12">
      <c r="F659" s="129"/>
      <c r="G659" s="59"/>
      <c r="H659" s="129"/>
      <c r="I659" s="129"/>
      <c r="J659" s="59"/>
      <c r="K659" s="59"/>
      <c r="L659" s="59"/>
    </row>
    <row r="660" spans="6:12">
      <c r="F660" s="129"/>
      <c r="G660" s="59"/>
      <c r="H660" s="129"/>
      <c r="I660" s="129"/>
      <c r="J660" s="59"/>
      <c r="K660" s="59"/>
      <c r="L660" s="59"/>
    </row>
    <row r="661" spans="6:12">
      <c r="F661" s="129"/>
      <c r="G661" s="59"/>
      <c r="H661" s="129"/>
      <c r="I661" s="129"/>
      <c r="J661" s="59"/>
      <c r="K661" s="59"/>
      <c r="L661" s="59"/>
    </row>
    <row r="662" spans="6:12">
      <c r="F662" s="129"/>
      <c r="G662" s="59"/>
      <c r="H662" s="129"/>
      <c r="I662" s="129"/>
      <c r="J662" s="59"/>
      <c r="K662" s="59"/>
      <c r="L662" s="59"/>
    </row>
    <row r="663" spans="6:12">
      <c r="F663" s="129"/>
      <c r="G663" s="59"/>
      <c r="H663" s="129"/>
      <c r="I663" s="129"/>
      <c r="J663" s="59"/>
      <c r="K663" s="59"/>
      <c r="L663" s="59"/>
    </row>
    <row r="664" spans="6:12">
      <c r="F664" s="129"/>
      <c r="G664" s="59"/>
      <c r="H664" s="129"/>
      <c r="I664" s="129"/>
      <c r="J664" s="59"/>
      <c r="K664" s="59"/>
      <c r="L664" s="59"/>
    </row>
    <row r="665" spans="6:12">
      <c r="F665" s="129"/>
      <c r="G665" s="59"/>
      <c r="H665" s="129"/>
      <c r="I665" s="129"/>
      <c r="J665" s="59"/>
      <c r="K665" s="59"/>
      <c r="L665" s="59"/>
    </row>
    <row r="666" spans="6:12">
      <c r="F666" s="129"/>
      <c r="G666" s="59"/>
      <c r="H666" s="129"/>
      <c r="I666" s="129"/>
      <c r="J666" s="59"/>
      <c r="K666" s="59"/>
      <c r="L666" s="59"/>
    </row>
    <row r="667" spans="6:12">
      <c r="F667" s="129"/>
      <c r="G667" s="59"/>
      <c r="H667" s="129"/>
      <c r="I667" s="129"/>
      <c r="J667" s="59"/>
      <c r="K667" s="59"/>
      <c r="L667" s="59"/>
    </row>
    <row r="668" spans="6:12">
      <c r="F668" s="129"/>
      <c r="G668" s="59"/>
      <c r="H668" s="129"/>
      <c r="I668" s="129"/>
      <c r="J668" s="59"/>
      <c r="K668" s="59"/>
      <c r="L668" s="59"/>
    </row>
    <row r="669" spans="6:12">
      <c r="F669" s="129"/>
      <c r="G669" s="59"/>
      <c r="H669" s="129"/>
      <c r="I669" s="129"/>
      <c r="J669" s="59"/>
      <c r="K669" s="59"/>
      <c r="L669" s="59"/>
    </row>
    <row r="670" spans="6:12">
      <c r="F670" s="129"/>
      <c r="G670" s="59"/>
      <c r="H670" s="129"/>
      <c r="I670" s="129"/>
      <c r="J670" s="59"/>
      <c r="K670" s="59"/>
      <c r="L670" s="59"/>
    </row>
    <row r="671" spans="6:12">
      <c r="F671" s="129"/>
      <c r="G671" s="59"/>
      <c r="H671" s="129"/>
      <c r="I671" s="129"/>
      <c r="J671" s="59"/>
      <c r="K671" s="59"/>
      <c r="L671" s="59"/>
    </row>
    <row r="672" spans="6:12">
      <c r="F672" s="129"/>
      <c r="G672" s="59"/>
      <c r="H672" s="129"/>
      <c r="I672" s="129"/>
      <c r="J672" s="59"/>
      <c r="K672" s="59"/>
      <c r="L672" s="59"/>
    </row>
    <row r="673" spans="6:12">
      <c r="F673" s="129"/>
      <c r="G673" s="59"/>
      <c r="H673" s="129"/>
      <c r="I673" s="129"/>
      <c r="J673" s="59"/>
      <c r="K673" s="59"/>
      <c r="L673" s="59"/>
    </row>
    <row r="674" spans="6:12">
      <c r="F674" s="129"/>
      <c r="G674" s="59"/>
      <c r="H674" s="129"/>
      <c r="I674" s="129"/>
      <c r="J674" s="59"/>
      <c r="K674" s="59"/>
      <c r="L674" s="59"/>
    </row>
    <row r="675" spans="6:12">
      <c r="F675" s="129"/>
      <c r="G675" s="59"/>
      <c r="H675" s="129"/>
      <c r="I675" s="129"/>
      <c r="J675" s="59"/>
      <c r="K675" s="59"/>
      <c r="L675" s="59"/>
    </row>
    <row r="676" spans="6:12">
      <c r="F676" s="129"/>
      <c r="G676" s="59"/>
      <c r="H676" s="129"/>
      <c r="I676" s="129"/>
      <c r="J676" s="59"/>
      <c r="K676" s="59"/>
      <c r="L676" s="59"/>
    </row>
    <row r="677" spans="6:12">
      <c r="F677" s="129"/>
      <c r="G677" s="59"/>
      <c r="H677" s="129"/>
      <c r="I677" s="129"/>
      <c r="J677" s="59"/>
      <c r="K677" s="59"/>
      <c r="L677" s="59"/>
    </row>
    <row r="678" spans="6:12">
      <c r="F678" s="129"/>
      <c r="G678" s="59"/>
      <c r="H678" s="129"/>
      <c r="I678" s="129"/>
      <c r="J678" s="59"/>
      <c r="K678" s="59"/>
      <c r="L678" s="59"/>
    </row>
    <row r="679" spans="6:12">
      <c r="F679" s="129"/>
      <c r="G679" s="59"/>
      <c r="H679" s="129"/>
      <c r="I679" s="129"/>
      <c r="J679" s="59"/>
      <c r="K679" s="59"/>
      <c r="L679" s="59"/>
    </row>
    <row r="680" spans="6:12">
      <c r="F680" s="129"/>
      <c r="G680" s="59"/>
      <c r="H680" s="129"/>
      <c r="I680" s="129"/>
      <c r="J680" s="59"/>
      <c r="K680" s="59"/>
      <c r="L680" s="59"/>
    </row>
    <row r="681" spans="6:12">
      <c r="F681" s="129"/>
      <c r="G681" s="59"/>
      <c r="H681" s="129"/>
      <c r="I681" s="129"/>
      <c r="J681" s="59"/>
      <c r="K681" s="59"/>
      <c r="L681" s="59"/>
    </row>
    <row r="682" spans="6:12">
      <c r="F682" s="129"/>
      <c r="G682" s="59"/>
      <c r="H682" s="129"/>
      <c r="I682" s="129"/>
      <c r="J682" s="59"/>
      <c r="K682" s="59"/>
      <c r="L682" s="59"/>
    </row>
    <row r="683" spans="6:12">
      <c r="F683" s="129"/>
      <c r="G683" s="59"/>
      <c r="H683" s="129"/>
      <c r="I683" s="129"/>
      <c r="J683" s="59"/>
      <c r="K683" s="59"/>
      <c r="L683" s="59"/>
    </row>
    <row r="684" spans="6:12">
      <c r="F684" s="129"/>
      <c r="G684" s="59"/>
      <c r="H684" s="129"/>
      <c r="I684" s="129"/>
      <c r="J684" s="59"/>
      <c r="K684" s="59"/>
      <c r="L684" s="59"/>
    </row>
    <row r="685" spans="6:12">
      <c r="F685" s="129"/>
      <c r="G685" s="59"/>
      <c r="H685" s="129"/>
      <c r="I685" s="129"/>
      <c r="J685" s="59"/>
      <c r="K685" s="59"/>
      <c r="L685" s="59"/>
    </row>
    <row r="686" spans="6:12">
      <c r="F686" s="129"/>
      <c r="G686" s="59"/>
      <c r="H686" s="129"/>
      <c r="I686" s="129"/>
      <c r="J686" s="59"/>
      <c r="K686" s="59"/>
      <c r="L686" s="59"/>
    </row>
    <row r="687" spans="6:12">
      <c r="F687" s="129"/>
      <c r="G687" s="59"/>
      <c r="H687" s="129"/>
      <c r="I687" s="129"/>
      <c r="J687" s="59"/>
      <c r="K687" s="59"/>
      <c r="L687" s="59"/>
    </row>
    <row r="688" spans="6:12">
      <c r="F688" s="129"/>
      <c r="G688" s="59"/>
      <c r="H688" s="129"/>
      <c r="I688" s="129"/>
      <c r="J688" s="59"/>
      <c r="K688" s="59"/>
      <c r="L688" s="59"/>
    </row>
    <row r="689" spans="6:12">
      <c r="F689" s="129"/>
      <c r="G689" s="59"/>
      <c r="H689" s="129"/>
      <c r="I689" s="129"/>
      <c r="J689" s="59"/>
      <c r="K689" s="59"/>
      <c r="L689" s="59"/>
    </row>
    <row r="690" spans="6:12">
      <c r="F690" s="129"/>
      <c r="G690" s="59"/>
      <c r="H690" s="129"/>
      <c r="I690" s="129"/>
      <c r="J690" s="59"/>
      <c r="K690" s="59"/>
      <c r="L690" s="59"/>
    </row>
    <row r="691" spans="6:12">
      <c r="F691" s="129"/>
      <c r="G691" s="59"/>
      <c r="H691" s="129"/>
      <c r="I691" s="129"/>
      <c r="J691" s="59"/>
      <c r="K691" s="59"/>
      <c r="L691" s="59"/>
    </row>
    <row r="692" spans="6:12">
      <c r="F692" s="129"/>
      <c r="G692" s="59"/>
      <c r="H692" s="129"/>
      <c r="I692" s="129"/>
      <c r="J692" s="59"/>
      <c r="K692" s="59"/>
      <c r="L692" s="59"/>
    </row>
    <row r="693" spans="6:12">
      <c r="F693" s="129"/>
      <c r="G693" s="59"/>
      <c r="H693" s="129"/>
      <c r="I693" s="129"/>
      <c r="J693" s="59"/>
      <c r="K693" s="59"/>
      <c r="L693" s="59"/>
    </row>
    <row r="694" spans="6:12">
      <c r="F694" s="129"/>
      <c r="G694" s="59"/>
      <c r="H694" s="129"/>
      <c r="I694" s="129"/>
      <c r="J694" s="59"/>
      <c r="K694" s="59"/>
      <c r="L694" s="59"/>
    </row>
    <row r="695" spans="6:12">
      <c r="F695" s="129"/>
      <c r="G695" s="59"/>
      <c r="H695" s="129"/>
      <c r="I695" s="129"/>
      <c r="J695" s="59"/>
      <c r="K695" s="59"/>
      <c r="L695" s="59"/>
    </row>
    <row r="696" spans="6:12">
      <c r="F696" s="129"/>
      <c r="G696" s="59"/>
      <c r="H696" s="129"/>
      <c r="I696" s="129"/>
      <c r="J696" s="59"/>
      <c r="K696" s="59"/>
      <c r="L696" s="59"/>
    </row>
    <row r="697" spans="6:12">
      <c r="F697" s="129"/>
      <c r="G697" s="59"/>
      <c r="H697" s="129"/>
      <c r="I697" s="129"/>
      <c r="J697" s="59"/>
      <c r="K697" s="59"/>
      <c r="L697" s="59"/>
    </row>
    <row r="698" spans="6:12">
      <c r="F698" s="129"/>
      <c r="G698" s="59"/>
      <c r="H698" s="129"/>
      <c r="I698" s="129"/>
      <c r="J698" s="59"/>
      <c r="K698" s="59"/>
      <c r="L698" s="59"/>
    </row>
    <row r="699" spans="6:12">
      <c r="F699" s="129"/>
      <c r="G699" s="59"/>
      <c r="H699" s="129"/>
      <c r="I699" s="129"/>
      <c r="J699" s="59"/>
      <c r="K699" s="59"/>
      <c r="L699" s="59"/>
    </row>
    <row r="700" spans="6:12">
      <c r="F700" s="129"/>
      <c r="G700" s="59"/>
      <c r="H700" s="129"/>
      <c r="I700" s="129"/>
      <c r="J700" s="59"/>
      <c r="K700" s="59"/>
      <c r="L700" s="59"/>
    </row>
    <row r="701" spans="6:12">
      <c r="F701" s="129"/>
      <c r="G701" s="59"/>
      <c r="H701" s="129"/>
      <c r="I701" s="129"/>
      <c r="J701" s="59"/>
      <c r="K701" s="59"/>
      <c r="L701" s="59"/>
    </row>
    <row r="702" spans="6:12">
      <c r="F702" s="129"/>
      <c r="G702" s="59"/>
      <c r="H702" s="129"/>
      <c r="I702" s="129"/>
      <c r="J702" s="59"/>
      <c r="K702" s="59"/>
      <c r="L702" s="59"/>
    </row>
    <row r="703" spans="6:12">
      <c r="F703" s="129"/>
      <c r="G703" s="59"/>
      <c r="H703" s="129"/>
      <c r="I703" s="129"/>
      <c r="J703" s="59"/>
      <c r="K703" s="59"/>
      <c r="L703" s="59"/>
    </row>
    <row r="704" spans="6:12">
      <c r="F704" s="129"/>
      <c r="G704" s="59"/>
      <c r="H704" s="129"/>
      <c r="I704" s="129"/>
      <c r="J704" s="59"/>
      <c r="K704" s="59"/>
      <c r="L704" s="59"/>
    </row>
    <row r="705" spans="6:12">
      <c r="F705" s="129"/>
      <c r="G705" s="59"/>
      <c r="H705" s="129"/>
      <c r="I705" s="129"/>
      <c r="J705" s="59"/>
      <c r="K705" s="59"/>
      <c r="L705" s="59"/>
    </row>
    <row r="706" spans="6:12">
      <c r="F706" s="129"/>
      <c r="G706" s="59"/>
      <c r="H706" s="129"/>
      <c r="I706" s="129"/>
      <c r="J706" s="59"/>
      <c r="K706" s="59"/>
      <c r="L706" s="59"/>
    </row>
    <row r="707" spans="6:12">
      <c r="F707" s="129"/>
      <c r="G707" s="59"/>
      <c r="H707" s="129"/>
      <c r="I707" s="129"/>
      <c r="J707" s="59"/>
      <c r="K707" s="59"/>
      <c r="L707" s="59"/>
    </row>
    <row r="708" spans="6:12">
      <c r="F708" s="129"/>
      <c r="G708" s="59"/>
      <c r="H708" s="129"/>
      <c r="I708" s="129"/>
      <c r="J708" s="59"/>
      <c r="K708" s="59"/>
      <c r="L708" s="59"/>
    </row>
    <row r="709" spans="6:12">
      <c r="F709" s="129"/>
      <c r="G709" s="59"/>
      <c r="H709" s="129"/>
      <c r="I709" s="129"/>
      <c r="J709" s="59"/>
      <c r="K709" s="59"/>
      <c r="L709" s="59"/>
    </row>
    <row r="710" spans="6:12">
      <c r="F710" s="129"/>
      <c r="G710" s="59"/>
      <c r="H710" s="129"/>
      <c r="I710" s="129"/>
      <c r="J710" s="59"/>
      <c r="K710" s="59"/>
      <c r="L710" s="59"/>
    </row>
    <row r="711" spans="6:12">
      <c r="F711" s="129"/>
      <c r="G711" s="59"/>
      <c r="H711" s="129"/>
      <c r="I711" s="129"/>
      <c r="J711" s="59"/>
      <c r="K711" s="59"/>
      <c r="L711" s="59"/>
    </row>
    <row r="712" spans="6:12">
      <c r="F712" s="129"/>
      <c r="G712" s="59"/>
      <c r="H712" s="129"/>
      <c r="I712" s="129"/>
      <c r="J712" s="59"/>
      <c r="K712" s="59"/>
      <c r="L712" s="59"/>
    </row>
    <row r="713" spans="6:12">
      <c r="F713" s="129"/>
      <c r="G713" s="59"/>
      <c r="H713" s="129"/>
      <c r="I713" s="129"/>
      <c r="J713" s="59"/>
      <c r="K713" s="59"/>
      <c r="L713" s="59"/>
    </row>
    <row r="714" spans="6:12">
      <c r="F714" s="129"/>
      <c r="G714" s="59"/>
      <c r="H714" s="129"/>
      <c r="I714" s="129"/>
      <c r="J714" s="59"/>
      <c r="K714" s="59"/>
      <c r="L714" s="59"/>
    </row>
    <row r="715" spans="6:12">
      <c r="F715" s="129"/>
      <c r="G715" s="59"/>
      <c r="H715" s="129"/>
      <c r="I715" s="129"/>
      <c r="J715" s="59"/>
      <c r="K715" s="59"/>
      <c r="L715" s="59"/>
    </row>
    <row r="716" spans="6:12">
      <c r="F716" s="129"/>
      <c r="G716" s="59"/>
      <c r="H716" s="129"/>
      <c r="I716" s="129"/>
      <c r="J716" s="59"/>
      <c r="K716" s="59"/>
      <c r="L716" s="59"/>
    </row>
    <row r="717" spans="6:12">
      <c r="F717" s="129"/>
      <c r="G717" s="59"/>
      <c r="H717" s="129"/>
      <c r="I717" s="129"/>
      <c r="J717" s="59"/>
      <c r="K717" s="59"/>
      <c r="L717" s="59"/>
    </row>
    <row r="718" spans="6:12">
      <c r="F718" s="129"/>
      <c r="G718" s="59"/>
      <c r="H718" s="129"/>
      <c r="I718" s="129"/>
      <c r="J718" s="59"/>
      <c r="K718" s="59"/>
      <c r="L718" s="59"/>
    </row>
    <row r="719" spans="6:12">
      <c r="F719" s="129"/>
      <c r="G719" s="59"/>
      <c r="H719" s="129"/>
      <c r="I719" s="129"/>
      <c r="J719" s="59"/>
      <c r="K719" s="59"/>
      <c r="L719" s="59"/>
    </row>
    <row r="720" spans="6:12">
      <c r="F720" s="129"/>
      <c r="G720" s="59"/>
      <c r="H720" s="129"/>
      <c r="I720" s="129"/>
      <c r="J720" s="59"/>
      <c r="K720" s="59"/>
      <c r="L720" s="59"/>
    </row>
    <row r="721" spans="6:12">
      <c r="F721" s="129"/>
      <c r="G721" s="59"/>
      <c r="H721" s="129"/>
      <c r="I721" s="129"/>
      <c r="J721" s="59"/>
      <c r="K721" s="59"/>
      <c r="L721" s="59"/>
    </row>
    <row r="722" spans="6:12">
      <c r="F722" s="129"/>
      <c r="G722" s="59"/>
      <c r="H722" s="129"/>
      <c r="I722" s="129"/>
      <c r="J722" s="59"/>
      <c r="K722" s="59"/>
      <c r="L722" s="59"/>
    </row>
    <row r="723" spans="6:12">
      <c r="F723" s="129"/>
      <c r="G723" s="59"/>
      <c r="H723" s="129"/>
      <c r="I723" s="129"/>
      <c r="J723" s="59"/>
      <c r="K723" s="59"/>
      <c r="L723" s="59"/>
    </row>
    <row r="724" spans="6:12">
      <c r="F724" s="129"/>
      <c r="G724" s="59"/>
      <c r="H724" s="129"/>
      <c r="I724" s="129"/>
      <c r="J724" s="59"/>
      <c r="K724" s="59"/>
      <c r="L724" s="59"/>
    </row>
    <row r="725" spans="6:12">
      <c r="F725" s="129"/>
      <c r="G725" s="59"/>
      <c r="H725" s="129"/>
      <c r="I725" s="129"/>
      <c r="J725" s="59"/>
      <c r="K725" s="59"/>
      <c r="L725" s="59"/>
    </row>
    <row r="726" spans="6:12">
      <c r="F726" s="129"/>
      <c r="G726" s="59"/>
      <c r="H726" s="129"/>
      <c r="I726" s="129"/>
      <c r="J726" s="59"/>
      <c r="K726" s="59"/>
      <c r="L726" s="59"/>
    </row>
    <row r="727" spans="6:12">
      <c r="F727" s="129"/>
      <c r="G727" s="59"/>
      <c r="H727" s="129"/>
      <c r="I727" s="129"/>
      <c r="J727" s="59"/>
      <c r="K727" s="59"/>
      <c r="L727" s="59"/>
    </row>
    <row r="728" spans="6:12">
      <c r="F728" s="129"/>
      <c r="G728" s="59"/>
      <c r="H728" s="129"/>
      <c r="I728" s="129"/>
      <c r="J728" s="59"/>
      <c r="K728" s="59"/>
      <c r="L728" s="59"/>
    </row>
    <row r="729" spans="6:12">
      <c r="F729" s="129"/>
      <c r="G729" s="59"/>
      <c r="H729" s="129"/>
      <c r="I729" s="129"/>
      <c r="J729" s="59"/>
      <c r="K729" s="59"/>
      <c r="L729" s="59"/>
    </row>
    <row r="730" spans="6:12">
      <c r="F730" s="129"/>
      <c r="G730" s="59"/>
      <c r="H730" s="129"/>
      <c r="I730" s="129"/>
      <c r="J730" s="59"/>
      <c r="K730" s="59"/>
      <c r="L730" s="59"/>
    </row>
    <row r="731" spans="6:12">
      <c r="F731" s="129"/>
      <c r="G731" s="59"/>
      <c r="H731" s="129"/>
      <c r="I731" s="129"/>
      <c r="J731" s="59"/>
      <c r="K731" s="59"/>
      <c r="L731" s="59"/>
    </row>
    <row r="732" spans="6:12">
      <c r="F732" s="129"/>
      <c r="G732" s="59"/>
      <c r="H732" s="129"/>
      <c r="I732" s="129"/>
      <c r="J732" s="59"/>
      <c r="K732" s="59"/>
      <c r="L732" s="59"/>
    </row>
    <row r="733" spans="6:12">
      <c r="F733" s="129"/>
      <c r="G733" s="59"/>
      <c r="H733" s="129"/>
      <c r="I733" s="129"/>
      <c r="J733" s="59"/>
      <c r="K733" s="59"/>
      <c r="L733" s="59"/>
    </row>
    <row r="734" spans="6:12">
      <c r="F734" s="129"/>
      <c r="G734" s="59"/>
      <c r="H734" s="129"/>
      <c r="I734" s="129"/>
      <c r="J734" s="59"/>
      <c r="K734" s="59"/>
      <c r="L734" s="59"/>
    </row>
    <row r="735" spans="6:12">
      <c r="F735" s="129"/>
      <c r="G735" s="59"/>
      <c r="H735" s="129"/>
      <c r="I735" s="129"/>
      <c r="J735" s="59"/>
      <c r="K735" s="59"/>
      <c r="L735" s="59"/>
    </row>
    <row r="736" spans="6:12">
      <c r="F736" s="129"/>
      <c r="G736" s="59"/>
      <c r="H736" s="129"/>
      <c r="I736" s="129"/>
      <c r="J736" s="59"/>
      <c r="K736" s="59"/>
      <c r="L736" s="59"/>
    </row>
    <row r="737" spans="6:12">
      <c r="F737" s="129"/>
      <c r="G737" s="59"/>
      <c r="H737" s="129"/>
      <c r="I737" s="129"/>
      <c r="J737" s="59"/>
      <c r="K737" s="59"/>
      <c r="L737" s="59"/>
    </row>
    <row r="738" spans="6:12">
      <c r="F738" s="129"/>
      <c r="G738" s="59"/>
      <c r="H738" s="129"/>
      <c r="I738" s="129"/>
      <c r="J738" s="59"/>
      <c r="K738" s="59"/>
      <c r="L738" s="59"/>
    </row>
    <row r="739" spans="6:12">
      <c r="F739" s="129"/>
      <c r="G739" s="59"/>
      <c r="H739" s="129"/>
      <c r="I739" s="129"/>
      <c r="J739" s="59"/>
      <c r="K739" s="59"/>
      <c r="L739" s="59"/>
    </row>
    <row r="740" spans="6:12">
      <c r="F740" s="129"/>
      <c r="G740" s="59"/>
      <c r="H740" s="129"/>
      <c r="I740" s="129"/>
      <c r="J740" s="59"/>
      <c r="K740" s="59"/>
      <c r="L740" s="59"/>
    </row>
    <row r="741" spans="6:12">
      <c r="F741" s="129"/>
      <c r="G741" s="59"/>
      <c r="H741" s="129"/>
      <c r="I741" s="129"/>
      <c r="J741" s="59"/>
      <c r="K741" s="59"/>
      <c r="L741" s="59"/>
    </row>
    <row r="742" spans="6:12">
      <c r="F742" s="129"/>
      <c r="G742" s="59"/>
      <c r="H742" s="129"/>
      <c r="I742" s="129"/>
      <c r="J742" s="59"/>
      <c r="K742" s="59"/>
      <c r="L742" s="59"/>
    </row>
    <row r="743" spans="6:12">
      <c r="F743" s="129"/>
      <c r="G743" s="59"/>
      <c r="H743" s="129"/>
      <c r="I743" s="129"/>
      <c r="J743" s="59"/>
      <c r="K743" s="59"/>
      <c r="L743" s="59"/>
    </row>
    <row r="744" spans="6:12">
      <c r="F744" s="129"/>
      <c r="G744" s="59"/>
      <c r="H744" s="129"/>
      <c r="I744" s="129"/>
      <c r="J744" s="59"/>
      <c r="K744" s="59"/>
      <c r="L744" s="59"/>
    </row>
    <row r="745" spans="6:12">
      <c r="F745" s="129"/>
      <c r="G745" s="59"/>
      <c r="H745" s="129"/>
      <c r="I745" s="129"/>
      <c r="J745" s="59"/>
      <c r="K745" s="59"/>
      <c r="L745" s="59"/>
    </row>
    <row r="746" spans="6:12">
      <c r="F746" s="129"/>
      <c r="G746" s="59"/>
      <c r="H746" s="129"/>
      <c r="I746" s="129"/>
      <c r="J746" s="59"/>
      <c r="K746" s="59"/>
      <c r="L746" s="59"/>
    </row>
    <row r="747" spans="6:12">
      <c r="F747" s="129"/>
      <c r="G747" s="59"/>
      <c r="H747" s="129"/>
      <c r="I747" s="129"/>
      <c r="J747" s="59"/>
      <c r="K747" s="59"/>
      <c r="L747" s="59"/>
    </row>
    <row r="748" spans="6:12">
      <c r="F748" s="129"/>
      <c r="G748" s="59"/>
      <c r="H748" s="129"/>
      <c r="I748" s="129"/>
      <c r="J748" s="59"/>
      <c r="K748" s="59"/>
      <c r="L748" s="59"/>
    </row>
    <row r="749" spans="6:12">
      <c r="F749" s="129"/>
      <c r="G749" s="59"/>
      <c r="H749" s="129"/>
      <c r="I749" s="129"/>
      <c r="J749" s="59"/>
      <c r="K749" s="59"/>
      <c r="L749" s="59"/>
    </row>
    <row r="750" spans="6:12">
      <c r="F750" s="129"/>
      <c r="G750" s="59"/>
      <c r="H750" s="129"/>
      <c r="I750" s="129"/>
      <c r="J750" s="59"/>
      <c r="K750" s="59"/>
      <c r="L750" s="59"/>
    </row>
    <row r="751" spans="6:12">
      <c r="F751" s="129"/>
      <c r="G751" s="59"/>
      <c r="H751" s="129"/>
      <c r="I751" s="129"/>
      <c r="J751" s="59"/>
      <c r="K751" s="59"/>
      <c r="L751" s="59"/>
    </row>
    <row r="752" spans="6:12">
      <c r="F752" s="129"/>
      <c r="G752" s="59"/>
      <c r="H752" s="129"/>
      <c r="I752" s="129"/>
      <c r="J752" s="59"/>
      <c r="K752" s="59"/>
      <c r="L752" s="59"/>
    </row>
    <row r="753" spans="6:12">
      <c r="F753" s="129"/>
      <c r="G753" s="59"/>
      <c r="H753" s="129"/>
      <c r="I753" s="129"/>
      <c r="J753" s="59"/>
      <c r="K753" s="59"/>
      <c r="L753" s="59"/>
    </row>
    <row r="754" spans="6:12">
      <c r="F754" s="129"/>
      <c r="G754" s="59"/>
      <c r="H754" s="129"/>
      <c r="I754" s="129"/>
      <c r="J754" s="59"/>
      <c r="K754" s="59"/>
      <c r="L754" s="59"/>
    </row>
    <row r="755" spans="6:12">
      <c r="F755" s="129"/>
      <c r="G755" s="59"/>
      <c r="H755" s="129"/>
      <c r="I755" s="129"/>
      <c r="J755" s="59"/>
      <c r="K755" s="59"/>
      <c r="L755" s="59"/>
    </row>
    <row r="756" spans="6:12">
      <c r="F756" s="129"/>
      <c r="G756" s="59"/>
      <c r="H756" s="129"/>
      <c r="I756" s="129"/>
      <c r="J756" s="59"/>
      <c r="K756" s="59"/>
      <c r="L756" s="59"/>
    </row>
    <row r="757" spans="6:12">
      <c r="F757" s="129"/>
      <c r="G757" s="59"/>
      <c r="H757" s="129"/>
      <c r="I757" s="129"/>
      <c r="J757" s="59"/>
      <c r="K757" s="59"/>
      <c r="L757" s="59"/>
    </row>
    <row r="758" spans="6:12">
      <c r="F758" s="129"/>
      <c r="G758" s="59"/>
      <c r="H758" s="129"/>
      <c r="I758" s="129"/>
      <c r="J758" s="59"/>
      <c r="K758" s="59"/>
      <c r="L758" s="59"/>
    </row>
    <row r="759" spans="6:12">
      <c r="F759" s="129"/>
      <c r="G759" s="59"/>
      <c r="H759" s="129"/>
      <c r="I759" s="129"/>
      <c r="J759" s="59"/>
      <c r="K759" s="59"/>
      <c r="L759" s="59"/>
    </row>
    <row r="760" spans="6:12">
      <c r="F760" s="129"/>
      <c r="G760" s="59"/>
      <c r="H760" s="129"/>
      <c r="I760" s="129"/>
      <c r="J760" s="59"/>
      <c r="K760" s="59"/>
      <c r="L760" s="59"/>
    </row>
    <row r="761" spans="6:12">
      <c r="F761" s="129"/>
      <c r="G761" s="59"/>
      <c r="H761" s="129"/>
      <c r="I761" s="129"/>
      <c r="J761" s="59"/>
      <c r="K761" s="59"/>
      <c r="L761" s="59"/>
    </row>
    <row r="762" spans="6:12">
      <c r="F762" s="129"/>
      <c r="G762" s="59"/>
      <c r="H762" s="129"/>
      <c r="I762" s="129"/>
      <c r="J762" s="59"/>
      <c r="K762" s="59"/>
      <c r="L762" s="59"/>
    </row>
    <row r="763" spans="6:12">
      <c r="F763" s="129"/>
      <c r="G763" s="59"/>
      <c r="H763" s="129"/>
      <c r="I763" s="129"/>
      <c r="J763" s="59"/>
      <c r="K763" s="59"/>
      <c r="L763" s="59"/>
    </row>
    <row r="764" spans="6:12">
      <c r="F764" s="129"/>
      <c r="G764" s="59"/>
      <c r="H764" s="129"/>
      <c r="I764" s="129"/>
      <c r="J764" s="59"/>
      <c r="K764" s="59"/>
      <c r="L764" s="59"/>
    </row>
    <row r="765" spans="6:12">
      <c r="F765" s="129"/>
      <c r="G765" s="59"/>
      <c r="H765" s="129"/>
      <c r="I765" s="129"/>
      <c r="J765" s="59"/>
      <c r="K765" s="59"/>
      <c r="L765" s="59"/>
    </row>
    <row r="766" spans="6:12">
      <c r="F766" s="129"/>
      <c r="G766" s="59"/>
      <c r="H766" s="129"/>
      <c r="I766" s="129"/>
      <c r="J766" s="59"/>
      <c r="K766" s="59"/>
      <c r="L766" s="59"/>
    </row>
    <row r="767" spans="6:12">
      <c r="F767" s="129"/>
      <c r="G767" s="59"/>
      <c r="H767" s="129"/>
      <c r="I767" s="129"/>
      <c r="J767" s="59"/>
      <c r="K767" s="59"/>
      <c r="L767" s="59"/>
    </row>
    <row r="768" spans="6:12">
      <c r="F768" s="129"/>
      <c r="G768" s="59"/>
      <c r="H768" s="129"/>
      <c r="I768" s="129"/>
      <c r="J768" s="59"/>
      <c r="K768" s="59"/>
      <c r="L768" s="59"/>
    </row>
    <row r="769" spans="6:12">
      <c r="F769" s="129"/>
      <c r="G769" s="59"/>
      <c r="H769" s="129"/>
      <c r="I769" s="129"/>
      <c r="J769" s="59"/>
      <c r="K769" s="59"/>
      <c r="L769" s="59"/>
    </row>
    <row r="770" spans="6:12">
      <c r="F770" s="129"/>
      <c r="G770" s="59"/>
      <c r="H770" s="129"/>
      <c r="I770" s="129"/>
      <c r="J770" s="59"/>
      <c r="K770" s="59"/>
      <c r="L770" s="59"/>
    </row>
    <row r="771" spans="6:12">
      <c r="F771" s="129"/>
      <c r="G771" s="59"/>
      <c r="H771" s="129"/>
      <c r="I771" s="129"/>
      <c r="J771" s="59"/>
      <c r="K771" s="59"/>
      <c r="L771" s="59"/>
    </row>
    <row r="772" spans="6:12">
      <c r="F772" s="129"/>
      <c r="G772" s="59"/>
      <c r="H772" s="129"/>
      <c r="I772" s="129"/>
      <c r="J772" s="59"/>
      <c r="K772" s="59"/>
      <c r="L772" s="59"/>
    </row>
    <row r="773" spans="6:12">
      <c r="F773" s="129"/>
      <c r="G773" s="59"/>
      <c r="H773" s="129"/>
      <c r="I773" s="129"/>
      <c r="J773" s="59"/>
      <c r="K773" s="59"/>
      <c r="L773" s="59"/>
    </row>
    <row r="774" spans="6:12">
      <c r="F774" s="129"/>
      <c r="G774" s="59"/>
      <c r="H774" s="129"/>
      <c r="I774" s="129"/>
      <c r="J774" s="59"/>
      <c r="K774" s="59"/>
      <c r="L774" s="59"/>
    </row>
    <row r="775" spans="6:12">
      <c r="F775" s="129"/>
      <c r="G775" s="59"/>
      <c r="H775" s="129"/>
      <c r="I775" s="129"/>
      <c r="J775" s="59"/>
      <c r="K775" s="59"/>
      <c r="L775" s="59"/>
    </row>
    <row r="776" spans="6:12">
      <c r="F776" s="129"/>
      <c r="G776" s="59"/>
      <c r="H776" s="129"/>
      <c r="I776" s="129"/>
      <c r="J776" s="59"/>
      <c r="K776" s="59"/>
      <c r="L776" s="59"/>
    </row>
    <row r="777" spans="6:12">
      <c r="F777" s="129"/>
      <c r="G777" s="59"/>
      <c r="H777" s="129"/>
      <c r="I777" s="129"/>
      <c r="J777" s="59"/>
      <c r="K777" s="59"/>
      <c r="L777" s="59"/>
    </row>
    <row r="778" spans="6:12">
      <c r="F778" s="129"/>
      <c r="G778" s="59"/>
      <c r="H778" s="129"/>
      <c r="I778" s="129"/>
      <c r="J778" s="59"/>
      <c r="K778" s="59"/>
      <c r="L778" s="59"/>
    </row>
    <row r="779" spans="6:12">
      <c r="F779" s="129"/>
      <c r="G779" s="59"/>
      <c r="H779" s="129"/>
      <c r="I779" s="129"/>
      <c r="J779" s="59"/>
      <c r="K779" s="59"/>
      <c r="L779" s="59"/>
    </row>
    <row r="780" spans="6:12">
      <c r="F780" s="129"/>
      <c r="G780" s="59"/>
      <c r="H780" s="129"/>
      <c r="I780" s="129"/>
      <c r="J780" s="59"/>
      <c r="K780" s="59"/>
      <c r="L780" s="59"/>
    </row>
    <row r="781" spans="6:12">
      <c r="F781" s="129"/>
      <c r="G781" s="59"/>
      <c r="H781" s="129"/>
      <c r="I781" s="129"/>
      <c r="J781" s="59"/>
      <c r="K781" s="59"/>
      <c r="L781" s="59"/>
    </row>
    <row r="782" spans="6:12">
      <c r="F782" s="129"/>
      <c r="G782" s="59"/>
      <c r="H782" s="129"/>
      <c r="I782" s="129"/>
      <c r="J782" s="59"/>
      <c r="K782" s="59"/>
      <c r="L782" s="59"/>
    </row>
    <row r="783" spans="6:12">
      <c r="F783" s="129"/>
      <c r="G783" s="59"/>
      <c r="H783" s="129"/>
      <c r="I783" s="129"/>
      <c r="J783" s="59"/>
      <c r="K783" s="59"/>
      <c r="L783" s="59"/>
    </row>
    <row r="784" spans="6:12">
      <c r="F784" s="129"/>
      <c r="G784" s="59"/>
      <c r="H784" s="129"/>
      <c r="I784" s="129"/>
      <c r="J784" s="59"/>
      <c r="K784" s="59"/>
      <c r="L784" s="59"/>
    </row>
    <row r="785" spans="6:12">
      <c r="F785" s="129"/>
      <c r="G785" s="59"/>
      <c r="H785" s="129"/>
      <c r="I785" s="129"/>
      <c r="J785" s="59"/>
      <c r="K785" s="59"/>
      <c r="L785" s="59"/>
    </row>
    <row r="786" spans="6:12">
      <c r="F786" s="129"/>
      <c r="G786" s="59"/>
      <c r="H786" s="129"/>
      <c r="I786" s="129"/>
      <c r="J786" s="59"/>
      <c r="K786" s="59"/>
      <c r="L786" s="59"/>
    </row>
    <row r="787" spans="6:12">
      <c r="F787" s="129"/>
      <c r="G787" s="59"/>
      <c r="H787" s="129"/>
      <c r="I787" s="129"/>
      <c r="J787" s="59"/>
      <c r="K787" s="59"/>
      <c r="L787" s="59"/>
    </row>
    <row r="788" spans="6:12">
      <c r="F788" s="129"/>
      <c r="G788" s="59"/>
      <c r="H788" s="129"/>
      <c r="I788" s="129"/>
      <c r="J788" s="59"/>
      <c r="K788" s="59"/>
      <c r="L788" s="59"/>
    </row>
    <row r="789" spans="6:12">
      <c r="F789" s="129"/>
      <c r="G789" s="59"/>
      <c r="H789" s="129"/>
      <c r="I789" s="129"/>
      <c r="J789" s="59"/>
      <c r="K789" s="59"/>
      <c r="L789" s="59"/>
    </row>
    <row r="790" spans="6:12">
      <c r="F790" s="129"/>
      <c r="G790" s="59"/>
      <c r="H790" s="129"/>
      <c r="I790" s="129"/>
      <c r="J790" s="59"/>
      <c r="K790" s="59"/>
      <c r="L790" s="59"/>
    </row>
    <row r="791" spans="6:12">
      <c r="F791" s="129"/>
      <c r="G791" s="59"/>
      <c r="H791" s="129"/>
      <c r="I791" s="129"/>
      <c r="J791" s="59"/>
      <c r="K791" s="59"/>
      <c r="L791" s="59"/>
    </row>
    <row r="792" spans="6:12">
      <c r="F792" s="129"/>
      <c r="G792" s="59"/>
      <c r="H792" s="129"/>
      <c r="I792" s="129"/>
      <c r="J792" s="59"/>
      <c r="K792" s="59"/>
      <c r="L792" s="59"/>
    </row>
    <row r="793" spans="6:12">
      <c r="F793" s="129"/>
      <c r="G793" s="59"/>
      <c r="H793" s="129"/>
      <c r="I793" s="129"/>
      <c r="J793" s="59"/>
      <c r="K793" s="59"/>
      <c r="L793" s="59"/>
    </row>
    <row r="794" spans="6:12">
      <c r="F794" s="129"/>
      <c r="G794" s="59"/>
      <c r="H794" s="129"/>
      <c r="I794" s="129"/>
      <c r="J794" s="59"/>
      <c r="K794" s="59"/>
      <c r="L794" s="59"/>
    </row>
    <row r="795" spans="6:12">
      <c r="F795" s="129"/>
      <c r="G795" s="59"/>
      <c r="H795" s="129"/>
      <c r="I795" s="129"/>
      <c r="J795" s="59"/>
      <c r="K795" s="59"/>
      <c r="L795" s="59"/>
    </row>
    <row r="796" spans="6:12">
      <c r="F796" s="129"/>
      <c r="G796" s="59"/>
      <c r="H796" s="129"/>
      <c r="I796" s="129"/>
      <c r="J796" s="59"/>
      <c r="K796" s="59"/>
      <c r="L796" s="59"/>
    </row>
    <row r="797" spans="6:12">
      <c r="F797" s="129"/>
      <c r="G797" s="59"/>
      <c r="H797" s="129"/>
      <c r="I797" s="129"/>
      <c r="J797" s="59"/>
      <c r="K797" s="59"/>
      <c r="L797" s="59"/>
    </row>
    <row r="798" spans="6:12">
      <c r="F798" s="129"/>
      <c r="G798" s="59"/>
      <c r="H798" s="129"/>
      <c r="I798" s="129"/>
      <c r="J798" s="59"/>
      <c r="K798" s="59"/>
      <c r="L798" s="59"/>
    </row>
    <row r="799" spans="6:12">
      <c r="F799" s="129"/>
      <c r="G799" s="59"/>
      <c r="H799" s="129"/>
      <c r="I799" s="129"/>
      <c r="J799" s="59"/>
      <c r="K799" s="59"/>
      <c r="L799" s="59"/>
    </row>
    <row r="800" spans="6:12">
      <c r="F800" s="129"/>
      <c r="G800" s="59"/>
      <c r="H800" s="129"/>
      <c r="I800" s="129"/>
      <c r="J800" s="59"/>
      <c r="K800" s="59"/>
      <c r="L800" s="59"/>
    </row>
    <row r="801" spans="6:12">
      <c r="F801" s="129"/>
      <c r="G801" s="59"/>
      <c r="H801" s="129"/>
      <c r="I801" s="129"/>
      <c r="J801" s="59"/>
      <c r="K801" s="59"/>
      <c r="L801" s="59"/>
    </row>
    <row r="802" spans="6:12">
      <c r="F802" s="129"/>
      <c r="G802" s="59"/>
      <c r="H802" s="129"/>
      <c r="I802" s="129"/>
      <c r="J802" s="59"/>
      <c r="K802" s="59"/>
      <c r="L802" s="59"/>
    </row>
    <row r="803" spans="6:12">
      <c r="F803" s="129"/>
      <c r="G803" s="59"/>
      <c r="H803" s="129"/>
      <c r="I803" s="129"/>
      <c r="J803" s="59"/>
      <c r="K803" s="59"/>
      <c r="L803" s="59"/>
    </row>
    <row r="804" spans="6:12">
      <c r="F804" s="129"/>
      <c r="G804" s="59"/>
      <c r="H804" s="129"/>
      <c r="I804" s="129"/>
      <c r="J804" s="59"/>
      <c r="K804" s="59"/>
      <c r="L804" s="59"/>
    </row>
    <row r="805" spans="6:12">
      <c r="F805" s="129"/>
      <c r="G805" s="59"/>
      <c r="H805" s="129"/>
      <c r="I805" s="129"/>
      <c r="J805" s="59"/>
      <c r="K805" s="59"/>
      <c r="L805" s="59"/>
    </row>
    <row r="806" spans="6:12">
      <c r="F806" s="129"/>
      <c r="G806" s="59"/>
      <c r="H806" s="129"/>
      <c r="I806" s="129"/>
      <c r="J806" s="59"/>
      <c r="K806" s="59"/>
      <c r="L806" s="59"/>
    </row>
    <row r="807" spans="6:12">
      <c r="F807" s="129"/>
      <c r="G807" s="59"/>
      <c r="H807" s="129"/>
      <c r="I807" s="129"/>
      <c r="J807" s="59"/>
      <c r="K807" s="59"/>
      <c r="L807" s="59"/>
    </row>
    <row r="808" spans="6:12">
      <c r="F808" s="129"/>
      <c r="G808" s="59"/>
      <c r="H808" s="129"/>
      <c r="I808" s="129"/>
      <c r="J808" s="59"/>
      <c r="K808" s="59"/>
      <c r="L808" s="59"/>
    </row>
    <row r="809" spans="6:12">
      <c r="F809" s="129"/>
      <c r="G809" s="59"/>
      <c r="H809" s="129"/>
      <c r="I809" s="129"/>
      <c r="J809" s="59"/>
      <c r="K809" s="59"/>
      <c r="L809" s="59"/>
    </row>
    <row r="810" spans="6:12">
      <c r="F810" s="129"/>
      <c r="G810" s="59"/>
      <c r="H810" s="129"/>
      <c r="I810" s="129"/>
      <c r="J810" s="59"/>
      <c r="K810" s="59"/>
      <c r="L810" s="59"/>
    </row>
    <row r="811" spans="6:12">
      <c r="F811" s="129"/>
      <c r="G811" s="59"/>
      <c r="H811" s="129"/>
      <c r="I811" s="129"/>
      <c r="J811" s="59"/>
      <c r="K811" s="59"/>
      <c r="L811" s="59"/>
    </row>
    <row r="812" spans="6:12">
      <c r="F812" s="129"/>
      <c r="G812" s="59"/>
      <c r="H812" s="129"/>
      <c r="I812" s="129"/>
      <c r="J812" s="59"/>
      <c r="K812" s="59"/>
      <c r="L812" s="59"/>
    </row>
    <row r="813" spans="6:12">
      <c r="F813" s="129"/>
      <c r="G813" s="59"/>
      <c r="H813" s="129"/>
      <c r="I813" s="129"/>
      <c r="J813" s="59"/>
      <c r="K813" s="59"/>
      <c r="L813" s="59"/>
    </row>
    <row r="814" spans="6:12">
      <c r="F814" s="129"/>
      <c r="G814" s="59"/>
      <c r="H814" s="129"/>
      <c r="I814" s="129"/>
      <c r="J814" s="59"/>
      <c r="K814" s="59"/>
      <c r="L814" s="59"/>
    </row>
    <row r="815" spans="6:12">
      <c r="F815" s="129"/>
      <c r="G815" s="59"/>
      <c r="H815" s="129"/>
      <c r="I815" s="129"/>
      <c r="J815" s="59"/>
      <c r="K815" s="59"/>
      <c r="L815" s="59"/>
    </row>
    <row r="816" spans="6:12">
      <c r="F816" s="129"/>
      <c r="G816" s="59"/>
      <c r="H816" s="129"/>
      <c r="I816" s="129"/>
      <c r="J816" s="59"/>
      <c r="K816" s="59"/>
      <c r="L816" s="59"/>
    </row>
    <row r="817" spans="6:12">
      <c r="F817" s="129"/>
      <c r="G817" s="59"/>
      <c r="H817" s="129"/>
      <c r="I817" s="129"/>
      <c r="J817" s="59"/>
      <c r="K817" s="59"/>
      <c r="L817" s="59"/>
    </row>
    <row r="818" spans="6:12">
      <c r="F818" s="129"/>
      <c r="G818" s="59"/>
      <c r="H818" s="129"/>
      <c r="I818" s="129"/>
      <c r="J818" s="59"/>
      <c r="K818" s="59"/>
      <c r="L818" s="59"/>
    </row>
    <row r="819" spans="6:12">
      <c r="F819" s="129"/>
      <c r="G819" s="59"/>
      <c r="H819" s="129"/>
      <c r="I819" s="129"/>
      <c r="J819" s="59"/>
      <c r="K819" s="59"/>
      <c r="L819" s="59"/>
    </row>
    <row r="820" spans="6:12">
      <c r="F820" s="129"/>
      <c r="G820" s="59"/>
      <c r="H820" s="129"/>
      <c r="I820" s="129"/>
      <c r="J820" s="59"/>
      <c r="K820" s="59"/>
      <c r="L820" s="59"/>
    </row>
    <row r="821" spans="6:12">
      <c r="F821" s="129"/>
      <c r="G821" s="59"/>
      <c r="H821" s="129"/>
      <c r="I821" s="129"/>
      <c r="J821" s="59"/>
      <c r="K821" s="59"/>
      <c r="L821" s="59"/>
    </row>
    <row r="822" spans="6:12">
      <c r="F822" s="129"/>
      <c r="G822" s="59"/>
      <c r="H822" s="129"/>
      <c r="I822" s="129"/>
      <c r="J822" s="59"/>
      <c r="K822" s="59"/>
      <c r="L822" s="59"/>
    </row>
    <row r="823" spans="6:12">
      <c r="F823" s="129"/>
      <c r="G823" s="59"/>
      <c r="H823" s="129"/>
      <c r="I823" s="129"/>
      <c r="J823" s="59"/>
      <c r="K823" s="59"/>
      <c r="L823" s="59"/>
    </row>
    <row r="824" spans="6:12">
      <c r="F824" s="129"/>
      <c r="G824" s="59"/>
      <c r="H824" s="129"/>
      <c r="I824" s="129"/>
      <c r="J824" s="59"/>
      <c r="K824" s="59"/>
      <c r="L824" s="59"/>
    </row>
    <row r="825" spans="6:12">
      <c r="F825" s="129"/>
      <c r="G825" s="59"/>
      <c r="H825" s="129"/>
      <c r="I825" s="129"/>
      <c r="J825" s="59"/>
      <c r="K825" s="59"/>
      <c r="L825" s="59"/>
    </row>
    <row r="826" spans="6:12">
      <c r="F826" s="129"/>
      <c r="G826" s="59"/>
      <c r="H826" s="129"/>
      <c r="I826" s="129"/>
      <c r="J826" s="59"/>
      <c r="K826" s="59"/>
      <c r="L826" s="59"/>
    </row>
    <row r="827" spans="6:12">
      <c r="F827" s="129"/>
      <c r="G827" s="59"/>
      <c r="H827" s="129"/>
      <c r="I827" s="129"/>
      <c r="J827" s="59"/>
      <c r="K827" s="59"/>
      <c r="L827" s="59"/>
    </row>
    <row r="828" spans="6:12">
      <c r="F828" s="129"/>
      <c r="G828" s="59"/>
      <c r="H828" s="129"/>
      <c r="I828" s="129"/>
      <c r="J828" s="59"/>
      <c r="K828" s="59"/>
      <c r="L828" s="59"/>
    </row>
    <row r="829" spans="6:12">
      <c r="F829" s="129"/>
      <c r="G829" s="59"/>
      <c r="H829" s="129"/>
      <c r="I829" s="129"/>
      <c r="J829" s="59"/>
      <c r="K829" s="59"/>
      <c r="L829" s="59"/>
    </row>
    <row r="830" spans="6:12">
      <c r="F830" s="129"/>
      <c r="G830" s="59"/>
      <c r="H830" s="129"/>
      <c r="I830" s="129"/>
      <c r="J830" s="59"/>
      <c r="K830" s="59"/>
      <c r="L830" s="59"/>
    </row>
    <row r="831" spans="6:12">
      <c r="F831" s="129"/>
      <c r="G831" s="59"/>
      <c r="H831" s="129"/>
      <c r="I831" s="129"/>
      <c r="J831" s="59"/>
      <c r="K831" s="59"/>
      <c r="L831" s="59"/>
    </row>
    <row r="832" spans="6:12">
      <c r="F832" s="129"/>
      <c r="G832" s="59"/>
      <c r="H832" s="129"/>
      <c r="I832" s="129"/>
      <c r="J832" s="59"/>
      <c r="K832" s="59"/>
      <c r="L832" s="59"/>
    </row>
    <row r="833" spans="6:12">
      <c r="F833" s="129"/>
      <c r="G833" s="59"/>
      <c r="H833" s="129"/>
      <c r="I833" s="129"/>
      <c r="J833" s="59"/>
      <c r="K833" s="59"/>
      <c r="L833" s="59"/>
    </row>
    <row r="834" spans="6:12">
      <c r="F834" s="129"/>
      <c r="G834" s="59"/>
      <c r="H834" s="129"/>
      <c r="I834" s="129"/>
      <c r="J834" s="59"/>
      <c r="K834" s="59"/>
      <c r="L834" s="59"/>
    </row>
    <row r="835" spans="6:12">
      <c r="F835" s="129"/>
      <c r="G835" s="59"/>
      <c r="H835" s="129"/>
      <c r="I835" s="129"/>
      <c r="J835" s="59"/>
      <c r="K835" s="59"/>
      <c r="L835" s="59"/>
    </row>
    <row r="836" spans="6:12">
      <c r="F836" s="129"/>
      <c r="G836" s="59"/>
      <c r="H836" s="129"/>
      <c r="I836" s="129"/>
      <c r="J836" s="59"/>
      <c r="K836" s="59"/>
      <c r="L836" s="59"/>
    </row>
    <row r="837" spans="6:12">
      <c r="F837" s="129"/>
      <c r="G837" s="59"/>
      <c r="H837" s="129"/>
      <c r="I837" s="129"/>
      <c r="J837" s="59"/>
      <c r="K837" s="59"/>
      <c r="L837" s="59"/>
    </row>
    <row r="838" spans="6:12">
      <c r="F838" s="129"/>
      <c r="G838" s="59"/>
      <c r="H838" s="129"/>
      <c r="I838" s="129"/>
      <c r="J838" s="59"/>
      <c r="K838" s="59"/>
      <c r="L838" s="59"/>
    </row>
    <row r="839" spans="6:12">
      <c r="F839" s="129"/>
      <c r="G839" s="59"/>
      <c r="H839" s="129"/>
      <c r="I839" s="129"/>
      <c r="J839" s="59"/>
      <c r="K839" s="59"/>
      <c r="L839" s="59"/>
    </row>
    <row r="840" spans="6:12">
      <c r="F840" s="129"/>
      <c r="G840" s="59"/>
      <c r="H840" s="129"/>
      <c r="I840" s="129"/>
      <c r="J840" s="59"/>
      <c r="K840" s="59"/>
      <c r="L840" s="59"/>
    </row>
    <row r="841" spans="6:12">
      <c r="F841" s="129"/>
      <c r="G841" s="59"/>
      <c r="H841" s="129"/>
      <c r="I841" s="129"/>
      <c r="J841" s="59"/>
      <c r="K841" s="59"/>
      <c r="L841" s="59"/>
    </row>
    <row r="842" spans="6:12">
      <c r="F842" s="129"/>
      <c r="G842" s="59"/>
      <c r="H842" s="129"/>
      <c r="I842" s="129"/>
      <c r="J842" s="59"/>
      <c r="K842" s="59"/>
      <c r="L842" s="59"/>
    </row>
    <row r="843" spans="6:12">
      <c r="F843" s="129"/>
      <c r="G843" s="59"/>
      <c r="H843" s="129"/>
      <c r="I843" s="129"/>
      <c r="J843" s="59"/>
      <c r="K843" s="59"/>
      <c r="L843" s="59"/>
    </row>
    <row r="844" spans="6:12">
      <c r="F844" s="129"/>
      <c r="G844" s="59"/>
      <c r="H844" s="129"/>
      <c r="I844" s="129"/>
      <c r="J844" s="59"/>
      <c r="K844" s="59"/>
      <c r="L844" s="59"/>
    </row>
    <row r="845" spans="6:12">
      <c r="F845" s="129"/>
      <c r="G845" s="59"/>
      <c r="H845" s="129"/>
      <c r="I845" s="129"/>
      <c r="J845" s="59"/>
      <c r="K845" s="59"/>
      <c r="L845" s="59"/>
    </row>
    <row r="846" spans="6:12">
      <c r="F846" s="129"/>
      <c r="G846" s="59"/>
      <c r="H846" s="129"/>
      <c r="I846" s="129"/>
      <c r="J846" s="59"/>
      <c r="K846" s="59"/>
      <c r="L846" s="59"/>
    </row>
    <row r="847" spans="6:12">
      <c r="F847" s="129"/>
      <c r="G847" s="59"/>
      <c r="H847" s="129"/>
      <c r="I847" s="129"/>
      <c r="J847" s="59"/>
      <c r="K847" s="59"/>
      <c r="L847" s="59"/>
    </row>
    <row r="848" spans="6:12">
      <c r="F848" s="129"/>
      <c r="G848" s="59"/>
      <c r="H848" s="129"/>
      <c r="I848" s="129"/>
      <c r="J848" s="59"/>
      <c r="K848" s="59"/>
      <c r="L848" s="59"/>
    </row>
    <row r="849" spans="6:12">
      <c r="F849" s="129"/>
      <c r="G849" s="59"/>
      <c r="H849" s="129"/>
      <c r="I849" s="129"/>
      <c r="J849" s="59"/>
      <c r="K849" s="59"/>
      <c r="L849" s="59"/>
    </row>
    <row r="850" spans="6:12">
      <c r="F850" s="129"/>
      <c r="G850" s="59"/>
      <c r="H850" s="129"/>
      <c r="I850" s="129"/>
      <c r="J850" s="59"/>
      <c r="K850" s="59"/>
      <c r="L850" s="59"/>
    </row>
    <row r="851" spans="6:12">
      <c r="F851" s="129"/>
      <c r="G851" s="59"/>
      <c r="H851" s="129"/>
      <c r="I851" s="129"/>
      <c r="J851" s="59"/>
      <c r="K851" s="59"/>
      <c r="L851" s="59"/>
    </row>
    <row r="852" spans="6:12">
      <c r="F852" s="129"/>
      <c r="G852" s="59"/>
      <c r="H852" s="129"/>
      <c r="I852" s="129"/>
      <c r="J852" s="59"/>
      <c r="K852" s="59"/>
      <c r="L852" s="59"/>
    </row>
    <row r="853" spans="6:12">
      <c r="F853" s="129"/>
      <c r="G853" s="59"/>
      <c r="H853" s="129"/>
      <c r="I853" s="129"/>
      <c r="J853" s="59"/>
      <c r="K853" s="59"/>
      <c r="L853" s="59"/>
    </row>
    <row r="854" spans="6:12">
      <c r="F854" s="129"/>
      <c r="G854" s="59"/>
      <c r="H854" s="129"/>
      <c r="I854" s="129"/>
      <c r="J854" s="59"/>
      <c r="K854" s="59"/>
      <c r="L854" s="59"/>
    </row>
    <row r="855" spans="6:12">
      <c r="F855" s="129"/>
      <c r="G855" s="59"/>
      <c r="H855" s="129"/>
      <c r="I855" s="129"/>
      <c r="J855" s="59"/>
      <c r="K855" s="59"/>
      <c r="L855" s="59"/>
    </row>
    <row r="856" spans="6:12">
      <c r="F856" s="129"/>
      <c r="G856" s="59"/>
      <c r="H856" s="129"/>
      <c r="I856" s="129"/>
      <c r="J856" s="59"/>
      <c r="K856" s="59"/>
      <c r="L856" s="59"/>
    </row>
    <row r="857" spans="6:12">
      <c r="F857" s="129"/>
      <c r="G857" s="59"/>
      <c r="H857" s="129"/>
      <c r="I857" s="129"/>
      <c r="J857" s="59"/>
      <c r="K857" s="59"/>
      <c r="L857" s="59"/>
    </row>
    <row r="858" spans="6:12">
      <c r="F858" s="129"/>
      <c r="G858" s="59"/>
      <c r="H858" s="129"/>
      <c r="I858" s="129"/>
      <c r="J858" s="59"/>
      <c r="K858" s="59"/>
      <c r="L858" s="59"/>
    </row>
    <row r="859" spans="6:12">
      <c r="F859" s="129"/>
      <c r="G859" s="59"/>
      <c r="H859" s="129"/>
      <c r="I859" s="129"/>
      <c r="J859" s="59"/>
      <c r="K859" s="59"/>
      <c r="L859" s="59"/>
    </row>
    <row r="860" spans="6:12">
      <c r="F860" s="129"/>
      <c r="G860" s="59"/>
      <c r="H860" s="129"/>
      <c r="I860" s="129"/>
      <c r="J860" s="59"/>
      <c r="K860" s="59"/>
      <c r="L860" s="59"/>
    </row>
    <row r="861" spans="6:12">
      <c r="F861" s="129"/>
      <c r="G861" s="59"/>
      <c r="H861" s="129"/>
      <c r="I861" s="129"/>
      <c r="J861" s="59"/>
      <c r="K861" s="59"/>
      <c r="L861" s="59"/>
    </row>
    <row r="862" spans="6:12">
      <c r="F862" s="129"/>
      <c r="G862" s="59"/>
      <c r="H862" s="129"/>
      <c r="I862" s="129"/>
      <c r="J862" s="59"/>
      <c r="K862" s="59"/>
      <c r="L862" s="59"/>
    </row>
    <row r="863" spans="6:12">
      <c r="F863" s="129"/>
      <c r="G863" s="59"/>
      <c r="H863" s="129"/>
      <c r="I863" s="129"/>
      <c r="J863" s="59"/>
      <c r="K863" s="59"/>
      <c r="L863" s="59"/>
    </row>
    <row r="864" spans="6:12">
      <c r="F864" s="129"/>
      <c r="G864" s="59"/>
      <c r="H864" s="129"/>
      <c r="I864" s="129"/>
      <c r="J864" s="59"/>
      <c r="K864" s="59"/>
      <c r="L864" s="59"/>
    </row>
    <row r="865" spans="6:12">
      <c r="F865" s="129"/>
      <c r="G865" s="59"/>
      <c r="H865" s="129"/>
      <c r="I865" s="129"/>
      <c r="J865" s="59"/>
      <c r="K865" s="59"/>
      <c r="L865" s="59"/>
    </row>
    <row r="866" spans="6:12">
      <c r="F866" s="129"/>
      <c r="G866" s="59"/>
      <c r="H866" s="129"/>
      <c r="I866" s="129"/>
      <c r="J866" s="59"/>
      <c r="K866" s="59"/>
      <c r="L866" s="59"/>
    </row>
    <row r="867" spans="6:12">
      <c r="F867" s="129"/>
      <c r="G867" s="59"/>
      <c r="H867" s="129"/>
      <c r="I867" s="129"/>
      <c r="J867" s="59"/>
      <c r="K867" s="59"/>
      <c r="L867" s="59"/>
    </row>
    <row r="868" spans="6:12">
      <c r="F868" s="129"/>
      <c r="G868" s="59"/>
      <c r="H868" s="129"/>
      <c r="I868" s="129"/>
      <c r="J868" s="59"/>
      <c r="K868" s="59"/>
      <c r="L868" s="59"/>
    </row>
    <row r="869" spans="6:12">
      <c r="F869" s="129"/>
      <c r="G869" s="59"/>
      <c r="H869" s="129"/>
      <c r="I869" s="129"/>
      <c r="J869" s="59"/>
      <c r="K869" s="59"/>
      <c r="L869" s="59"/>
    </row>
    <row r="870" spans="6:12">
      <c r="F870" s="129"/>
      <c r="G870" s="59"/>
      <c r="H870" s="129"/>
      <c r="I870" s="129"/>
      <c r="J870" s="59"/>
      <c r="K870" s="59"/>
      <c r="L870" s="59"/>
    </row>
    <row r="871" spans="6:12">
      <c r="F871" s="129"/>
      <c r="G871" s="59"/>
      <c r="H871" s="129"/>
      <c r="I871" s="129"/>
      <c r="J871" s="59"/>
      <c r="K871" s="59"/>
      <c r="L871" s="59"/>
    </row>
    <row r="872" spans="6:12">
      <c r="F872" s="129"/>
      <c r="G872" s="59"/>
      <c r="H872" s="129"/>
      <c r="I872" s="129"/>
      <c r="J872" s="59"/>
      <c r="K872" s="59"/>
      <c r="L872" s="59"/>
    </row>
    <row r="873" spans="6:12">
      <c r="F873" s="129"/>
      <c r="G873" s="59"/>
      <c r="H873" s="129"/>
      <c r="I873" s="129"/>
      <c r="J873" s="59"/>
      <c r="K873" s="59"/>
      <c r="L873" s="59"/>
    </row>
    <row r="874" spans="6:12">
      <c r="F874" s="129"/>
      <c r="G874" s="59"/>
      <c r="H874" s="129"/>
      <c r="I874" s="129"/>
      <c r="J874" s="59"/>
      <c r="K874" s="59"/>
      <c r="L874" s="59"/>
    </row>
    <row r="875" spans="6:12">
      <c r="F875" s="129"/>
      <c r="G875" s="59"/>
      <c r="H875" s="129"/>
      <c r="I875" s="129"/>
      <c r="J875" s="59"/>
      <c r="K875" s="59"/>
      <c r="L875" s="59"/>
    </row>
    <row r="876" spans="6:12">
      <c r="F876" s="129"/>
      <c r="G876" s="59"/>
      <c r="H876" s="129"/>
      <c r="I876" s="129"/>
      <c r="J876" s="59"/>
      <c r="K876" s="59"/>
      <c r="L876" s="59"/>
    </row>
    <row r="877" spans="6:12">
      <c r="F877" s="129"/>
      <c r="G877" s="59"/>
      <c r="H877" s="129"/>
      <c r="I877" s="129"/>
      <c r="J877" s="59"/>
      <c r="K877" s="59"/>
      <c r="L877" s="59"/>
    </row>
    <row r="878" spans="6:12">
      <c r="F878" s="129"/>
      <c r="G878" s="59"/>
      <c r="H878" s="129"/>
      <c r="I878" s="129"/>
      <c r="J878" s="59"/>
      <c r="K878" s="59"/>
      <c r="L878" s="59"/>
    </row>
    <row r="879" spans="6:12">
      <c r="F879" s="129"/>
      <c r="G879" s="59"/>
      <c r="H879" s="129"/>
      <c r="I879" s="129"/>
      <c r="J879" s="59"/>
      <c r="K879" s="59"/>
      <c r="L879" s="59"/>
    </row>
    <row r="880" spans="6:12">
      <c r="F880" s="129"/>
      <c r="G880" s="59"/>
      <c r="H880" s="129"/>
      <c r="I880" s="129"/>
      <c r="J880" s="59"/>
      <c r="K880" s="59"/>
      <c r="L880" s="59"/>
    </row>
    <row r="881" spans="6:12">
      <c r="F881" s="129"/>
      <c r="G881" s="59"/>
      <c r="H881" s="129"/>
      <c r="I881" s="129"/>
      <c r="J881" s="59"/>
      <c r="K881" s="59"/>
      <c r="L881" s="59"/>
    </row>
    <row r="882" spans="6:12">
      <c r="F882" s="129"/>
      <c r="G882" s="59"/>
      <c r="H882" s="129"/>
      <c r="I882" s="129"/>
      <c r="J882" s="59"/>
      <c r="K882" s="59"/>
      <c r="L882" s="59"/>
    </row>
    <row r="883" spans="6:12">
      <c r="F883" s="129"/>
      <c r="G883" s="59"/>
      <c r="H883" s="129"/>
      <c r="I883" s="129"/>
      <c r="J883" s="59"/>
      <c r="K883" s="59"/>
      <c r="L883" s="59"/>
    </row>
    <row r="884" spans="6:12">
      <c r="F884" s="129"/>
      <c r="G884" s="59"/>
      <c r="H884" s="129"/>
      <c r="I884" s="129"/>
      <c r="J884" s="59"/>
      <c r="K884" s="59"/>
      <c r="L884" s="59"/>
    </row>
    <row r="885" spans="6:12">
      <c r="F885" s="129"/>
      <c r="G885" s="59"/>
      <c r="H885" s="129"/>
      <c r="I885" s="129"/>
      <c r="J885" s="59"/>
      <c r="K885" s="59"/>
      <c r="L885" s="59"/>
    </row>
    <row r="886" spans="6:12">
      <c r="F886" s="129"/>
      <c r="G886" s="59"/>
      <c r="H886" s="129"/>
      <c r="I886" s="129"/>
      <c r="J886" s="59"/>
      <c r="K886" s="59"/>
      <c r="L886" s="59"/>
    </row>
    <row r="887" spans="6:12">
      <c r="F887" s="129"/>
      <c r="G887" s="59"/>
      <c r="H887" s="129"/>
      <c r="I887" s="129"/>
      <c r="J887" s="59"/>
      <c r="K887" s="59"/>
      <c r="L887" s="59"/>
    </row>
    <row r="888" spans="6:12">
      <c r="F888" s="129"/>
      <c r="G888" s="59"/>
      <c r="H888" s="129"/>
      <c r="I888" s="129"/>
      <c r="J888" s="59"/>
      <c r="K888" s="59"/>
      <c r="L888" s="59"/>
    </row>
    <row r="889" spans="6:12">
      <c r="F889" s="129"/>
      <c r="G889" s="59"/>
      <c r="H889" s="129"/>
      <c r="I889" s="129"/>
      <c r="J889" s="59"/>
      <c r="K889" s="59"/>
      <c r="L889" s="59"/>
    </row>
    <row r="890" spans="6:12">
      <c r="F890" s="129"/>
      <c r="G890" s="59"/>
      <c r="H890" s="129"/>
      <c r="I890" s="129"/>
      <c r="J890" s="59"/>
      <c r="K890" s="59"/>
      <c r="L890" s="59"/>
    </row>
    <row r="891" spans="6:12">
      <c r="F891" s="129"/>
      <c r="G891" s="59"/>
      <c r="H891" s="129"/>
      <c r="I891" s="129"/>
      <c r="J891" s="59"/>
      <c r="K891" s="59"/>
      <c r="L891" s="59"/>
    </row>
    <row r="892" spans="6:12">
      <c r="F892" s="129"/>
      <c r="G892" s="59"/>
      <c r="H892" s="129"/>
      <c r="I892" s="129"/>
      <c r="J892" s="59"/>
      <c r="K892" s="59"/>
      <c r="L892" s="59"/>
    </row>
    <row r="893" spans="6:12">
      <c r="F893" s="129"/>
      <c r="G893" s="59"/>
      <c r="H893" s="129"/>
      <c r="I893" s="129"/>
      <c r="J893" s="59"/>
      <c r="K893" s="59"/>
      <c r="L893" s="59"/>
    </row>
    <row r="894" spans="6:12">
      <c r="F894" s="129"/>
      <c r="G894" s="59"/>
      <c r="H894" s="129"/>
      <c r="I894" s="129"/>
      <c r="J894" s="59"/>
      <c r="K894" s="59"/>
      <c r="L894" s="59"/>
    </row>
    <row r="895" spans="6:12">
      <c r="F895" s="129"/>
      <c r="G895" s="59"/>
      <c r="H895" s="129"/>
      <c r="I895" s="129"/>
      <c r="J895" s="59"/>
      <c r="K895" s="59"/>
      <c r="L895" s="59"/>
    </row>
    <row r="896" spans="6:12">
      <c r="F896" s="129"/>
      <c r="G896" s="59"/>
      <c r="H896" s="129"/>
      <c r="I896" s="129"/>
      <c r="J896" s="59"/>
      <c r="K896" s="59"/>
      <c r="L896" s="59"/>
    </row>
    <row r="897" spans="6:12">
      <c r="F897" s="129"/>
      <c r="G897" s="59"/>
      <c r="H897" s="129"/>
      <c r="I897" s="129"/>
      <c r="J897" s="59"/>
      <c r="K897" s="59"/>
      <c r="L897" s="59"/>
    </row>
    <row r="898" spans="6:12">
      <c r="F898" s="129"/>
      <c r="G898" s="59"/>
      <c r="H898" s="129"/>
      <c r="I898" s="129"/>
      <c r="J898" s="59"/>
      <c r="K898" s="59"/>
      <c r="L898" s="59"/>
    </row>
    <row r="899" spans="6:12">
      <c r="F899" s="129"/>
      <c r="G899" s="59"/>
      <c r="H899" s="129"/>
      <c r="I899" s="129"/>
      <c r="J899" s="59"/>
      <c r="K899" s="59"/>
      <c r="L899" s="59"/>
    </row>
    <row r="900" spans="6:12">
      <c r="F900" s="129"/>
      <c r="G900" s="59"/>
      <c r="H900" s="129"/>
      <c r="I900" s="129"/>
      <c r="J900" s="59"/>
      <c r="K900" s="59"/>
      <c r="L900" s="59"/>
    </row>
    <row r="901" spans="6:12">
      <c r="F901" s="129"/>
      <c r="G901" s="59"/>
      <c r="H901" s="129"/>
      <c r="I901" s="129"/>
      <c r="J901" s="59"/>
      <c r="K901" s="59"/>
      <c r="L901" s="59"/>
    </row>
    <row r="902" spans="6:12">
      <c r="F902" s="129"/>
      <c r="G902" s="59"/>
      <c r="H902" s="129"/>
      <c r="I902" s="129"/>
      <c r="J902" s="59"/>
      <c r="K902" s="59"/>
      <c r="L902" s="59"/>
    </row>
    <row r="903" spans="6:12">
      <c r="F903" s="129"/>
      <c r="G903" s="59"/>
      <c r="H903" s="129"/>
      <c r="I903" s="129"/>
      <c r="J903" s="59"/>
      <c r="K903" s="59"/>
      <c r="L903" s="59"/>
    </row>
    <row r="904" spans="6:12">
      <c r="F904" s="129"/>
      <c r="G904" s="59"/>
      <c r="H904" s="129"/>
      <c r="I904" s="129"/>
      <c r="J904" s="59"/>
      <c r="K904" s="59"/>
      <c r="L904" s="59"/>
    </row>
    <row r="905" spans="6:12">
      <c r="F905" s="129"/>
      <c r="G905" s="59"/>
      <c r="H905" s="129"/>
      <c r="I905" s="129"/>
      <c r="J905" s="59"/>
      <c r="K905" s="59"/>
      <c r="L905" s="59"/>
    </row>
    <row r="906" spans="6:12">
      <c r="F906" s="129"/>
      <c r="G906" s="59"/>
      <c r="H906" s="129"/>
      <c r="I906" s="129"/>
      <c r="J906" s="59"/>
      <c r="K906" s="59"/>
      <c r="L906" s="59"/>
    </row>
    <row r="907" spans="6:12">
      <c r="F907" s="129"/>
      <c r="G907" s="59"/>
      <c r="H907" s="129"/>
      <c r="I907" s="129"/>
      <c r="J907" s="59"/>
      <c r="K907" s="59"/>
      <c r="L907" s="59"/>
    </row>
    <row r="908" spans="6:12">
      <c r="F908" s="129"/>
      <c r="G908" s="59"/>
      <c r="H908" s="129"/>
      <c r="I908" s="129"/>
      <c r="J908" s="59"/>
      <c r="K908" s="59"/>
      <c r="L908" s="59"/>
    </row>
    <row r="909" spans="6:12">
      <c r="F909" s="129"/>
      <c r="G909" s="59"/>
      <c r="H909" s="129"/>
      <c r="I909" s="129"/>
      <c r="J909" s="59"/>
      <c r="K909" s="59"/>
      <c r="L909" s="59"/>
    </row>
    <row r="910" spans="6:12">
      <c r="F910" s="129"/>
      <c r="G910" s="59"/>
      <c r="H910" s="129"/>
      <c r="I910" s="129"/>
      <c r="J910" s="59"/>
      <c r="K910" s="59"/>
      <c r="L910" s="59"/>
    </row>
    <row r="911" spans="6:12">
      <c r="F911" s="129"/>
      <c r="G911" s="59"/>
      <c r="H911" s="129"/>
      <c r="I911" s="129"/>
      <c r="J911" s="59"/>
      <c r="K911" s="59"/>
      <c r="L911" s="59"/>
    </row>
    <row r="912" spans="6:12">
      <c r="F912" s="129"/>
      <c r="G912" s="59"/>
      <c r="H912" s="129"/>
      <c r="I912" s="129"/>
      <c r="J912" s="59"/>
      <c r="K912" s="59"/>
      <c r="L912" s="59"/>
    </row>
    <row r="913" spans="6:12">
      <c r="F913" s="129"/>
      <c r="G913" s="59"/>
      <c r="H913" s="129"/>
      <c r="I913" s="129"/>
      <c r="J913" s="59"/>
      <c r="K913" s="59"/>
      <c r="L913" s="59"/>
    </row>
    <row r="914" spans="6:12">
      <c r="F914" s="129"/>
      <c r="G914" s="59"/>
      <c r="H914" s="129"/>
      <c r="I914" s="129"/>
      <c r="J914" s="59"/>
      <c r="K914" s="59"/>
      <c r="L914" s="59"/>
    </row>
    <row r="915" spans="6:12">
      <c r="F915" s="129"/>
      <c r="G915" s="59"/>
      <c r="H915" s="129"/>
      <c r="I915" s="129"/>
      <c r="J915" s="59"/>
      <c r="K915" s="59"/>
      <c r="L915" s="59"/>
    </row>
    <row r="916" spans="6:12">
      <c r="F916" s="129"/>
      <c r="G916" s="59"/>
      <c r="H916" s="129"/>
      <c r="I916" s="129"/>
      <c r="J916" s="59"/>
      <c r="K916" s="59"/>
      <c r="L916" s="59"/>
    </row>
    <row r="917" spans="6:12">
      <c r="F917" s="129"/>
      <c r="G917" s="59"/>
      <c r="H917" s="129"/>
      <c r="I917" s="129"/>
      <c r="J917" s="59"/>
      <c r="K917" s="59"/>
      <c r="L917" s="59"/>
    </row>
    <row r="918" spans="6:12">
      <c r="F918" s="129"/>
      <c r="G918" s="59"/>
      <c r="H918" s="129"/>
      <c r="I918" s="129"/>
      <c r="J918" s="59"/>
      <c r="K918" s="59"/>
      <c r="L918" s="59"/>
    </row>
    <row r="919" spans="6:12">
      <c r="F919" s="129"/>
      <c r="G919" s="59"/>
      <c r="H919" s="129"/>
      <c r="I919" s="129"/>
      <c r="J919" s="59"/>
      <c r="K919" s="59"/>
      <c r="L919" s="59"/>
    </row>
    <row r="920" spans="6:12">
      <c r="F920" s="129"/>
      <c r="G920" s="59"/>
      <c r="H920" s="129"/>
      <c r="I920" s="129"/>
      <c r="J920" s="59"/>
      <c r="K920" s="59"/>
      <c r="L920" s="59"/>
    </row>
    <row r="921" spans="6:12">
      <c r="F921" s="129"/>
      <c r="G921" s="59"/>
      <c r="H921" s="129"/>
      <c r="I921" s="129"/>
      <c r="J921" s="59"/>
      <c r="K921" s="59"/>
      <c r="L921" s="59"/>
    </row>
    <row r="922" spans="6:12">
      <c r="F922" s="129"/>
      <c r="G922" s="59"/>
      <c r="H922" s="129"/>
      <c r="I922" s="129"/>
      <c r="J922" s="59"/>
      <c r="K922" s="59"/>
      <c r="L922" s="59"/>
    </row>
    <row r="923" spans="6:12">
      <c r="F923" s="129"/>
      <c r="G923" s="59"/>
      <c r="H923" s="129"/>
      <c r="I923" s="129"/>
      <c r="J923" s="59"/>
      <c r="K923" s="59"/>
      <c r="L923" s="59"/>
    </row>
    <row r="924" spans="6:12">
      <c r="F924" s="129"/>
      <c r="G924" s="59"/>
      <c r="H924" s="129"/>
      <c r="I924" s="129"/>
      <c r="J924" s="59"/>
      <c r="K924" s="59"/>
      <c r="L924" s="59"/>
    </row>
    <row r="925" spans="6:12">
      <c r="F925" s="129"/>
      <c r="G925" s="59"/>
      <c r="H925" s="129"/>
      <c r="I925" s="129"/>
      <c r="J925" s="59"/>
      <c r="K925" s="59"/>
      <c r="L925" s="59"/>
    </row>
    <row r="926" spans="6:12">
      <c r="F926" s="129"/>
      <c r="G926" s="59"/>
      <c r="H926" s="129"/>
      <c r="I926" s="129"/>
      <c r="J926" s="59"/>
      <c r="K926" s="59"/>
      <c r="L926" s="59"/>
    </row>
    <row r="927" spans="6:12">
      <c r="F927" s="129"/>
      <c r="G927" s="59"/>
      <c r="H927" s="129"/>
      <c r="I927" s="129"/>
      <c r="J927" s="59"/>
      <c r="K927" s="59"/>
      <c r="L927" s="59"/>
    </row>
    <row r="928" spans="6:12">
      <c r="F928" s="129"/>
      <c r="G928" s="59"/>
      <c r="H928" s="129"/>
      <c r="I928" s="129"/>
      <c r="J928" s="59"/>
      <c r="K928" s="59"/>
      <c r="L928" s="59"/>
    </row>
    <row r="929" spans="6:12">
      <c r="F929" s="129"/>
      <c r="G929" s="59"/>
      <c r="H929" s="129"/>
      <c r="I929" s="129"/>
      <c r="J929" s="59"/>
      <c r="K929" s="59"/>
      <c r="L929" s="59"/>
    </row>
    <row r="930" spans="6:12">
      <c r="F930" s="129"/>
      <c r="G930" s="59"/>
      <c r="H930" s="129"/>
      <c r="I930" s="129"/>
      <c r="J930" s="59"/>
      <c r="K930" s="59"/>
      <c r="L930" s="59"/>
    </row>
    <row r="931" spans="6:12">
      <c r="F931" s="129"/>
      <c r="G931" s="59"/>
      <c r="H931" s="129"/>
      <c r="I931" s="129"/>
      <c r="J931" s="59"/>
      <c r="K931" s="59"/>
      <c r="L931" s="59"/>
    </row>
    <row r="932" spans="6:12">
      <c r="F932" s="129"/>
      <c r="G932" s="59"/>
      <c r="H932" s="129"/>
      <c r="I932" s="129"/>
      <c r="J932" s="59"/>
      <c r="K932" s="59"/>
      <c r="L932" s="59"/>
    </row>
    <row r="933" spans="6:12">
      <c r="F933" s="129"/>
      <c r="G933" s="59"/>
      <c r="H933" s="129"/>
      <c r="I933" s="129"/>
      <c r="J933" s="59"/>
      <c r="K933" s="59"/>
      <c r="L933" s="59"/>
    </row>
    <row r="934" spans="6:12">
      <c r="F934" s="129"/>
      <c r="G934" s="59"/>
      <c r="H934" s="129"/>
      <c r="I934" s="129"/>
      <c r="J934" s="59"/>
      <c r="K934" s="59"/>
      <c r="L934" s="59"/>
    </row>
    <row r="935" spans="6:12">
      <c r="F935" s="129"/>
      <c r="G935" s="59"/>
      <c r="H935" s="129"/>
      <c r="I935" s="129"/>
      <c r="J935" s="59"/>
      <c r="K935" s="59"/>
      <c r="L935" s="59"/>
    </row>
    <row r="936" spans="6:12">
      <c r="F936" s="129"/>
      <c r="G936" s="59"/>
      <c r="H936" s="129"/>
      <c r="I936" s="129"/>
      <c r="J936" s="59"/>
      <c r="K936" s="59"/>
      <c r="L936" s="59"/>
    </row>
    <row r="937" spans="6:12">
      <c r="F937" s="129"/>
      <c r="G937" s="59"/>
      <c r="H937" s="129"/>
      <c r="I937" s="129"/>
      <c r="J937" s="59"/>
      <c r="K937" s="59"/>
      <c r="L937" s="59"/>
    </row>
    <row r="938" spans="6:12">
      <c r="F938" s="129"/>
      <c r="G938" s="59"/>
      <c r="H938" s="129"/>
      <c r="I938" s="129"/>
      <c r="J938" s="59"/>
      <c r="K938" s="59"/>
      <c r="L938" s="59"/>
    </row>
    <row r="939" spans="6:12">
      <c r="F939" s="129"/>
      <c r="G939" s="59"/>
      <c r="H939" s="129"/>
      <c r="I939" s="129"/>
      <c r="J939" s="59"/>
      <c r="K939" s="59"/>
      <c r="L939" s="59"/>
    </row>
    <row r="940" spans="6:12">
      <c r="F940" s="129"/>
      <c r="G940" s="59"/>
      <c r="H940" s="129"/>
      <c r="I940" s="129"/>
      <c r="J940" s="59"/>
      <c r="K940" s="59"/>
      <c r="L940" s="59"/>
    </row>
    <row r="941" spans="6:12">
      <c r="F941" s="129"/>
      <c r="G941" s="59"/>
      <c r="H941" s="129"/>
      <c r="I941" s="129"/>
      <c r="J941" s="59"/>
      <c r="K941" s="59"/>
      <c r="L941" s="59"/>
    </row>
    <row r="942" spans="6:12">
      <c r="F942" s="129"/>
      <c r="G942" s="59"/>
      <c r="H942" s="129"/>
      <c r="I942" s="129"/>
      <c r="J942" s="59"/>
      <c r="K942" s="59"/>
      <c r="L942" s="59"/>
    </row>
    <row r="943" spans="6:12">
      <c r="F943" s="129"/>
      <c r="G943" s="59"/>
      <c r="H943" s="129"/>
      <c r="I943" s="129"/>
      <c r="J943" s="59"/>
      <c r="K943" s="59"/>
      <c r="L943" s="59"/>
    </row>
    <row r="944" spans="6:12">
      <c r="F944" s="129"/>
      <c r="G944" s="59"/>
      <c r="H944" s="129"/>
      <c r="I944" s="129"/>
      <c r="J944" s="59"/>
      <c r="K944" s="59"/>
      <c r="L944" s="59"/>
    </row>
    <row r="945" spans="6:12">
      <c r="F945" s="129"/>
      <c r="G945" s="59"/>
      <c r="H945" s="129"/>
      <c r="I945" s="129"/>
      <c r="J945" s="59"/>
      <c r="K945" s="59"/>
      <c r="L945" s="59"/>
    </row>
    <row r="946" spans="6:12">
      <c r="F946" s="129"/>
      <c r="G946" s="59"/>
      <c r="H946" s="129"/>
      <c r="I946" s="129"/>
      <c r="J946" s="59"/>
      <c r="K946" s="59"/>
      <c r="L946" s="59"/>
    </row>
    <row r="947" spans="6:12">
      <c r="F947" s="129"/>
      <c r="G947" s="59"/>
      <c r="H947" s="129"/>
      <c r="I947" s="129"/>
      <c r="J947" s="59"/>
      <c r="K947" s="59"/>
      <c r="L947" s="59"/>
    </row>
    <row r="948" spans="6:12">
      <c r="F948" s="129"/>
      <c r="G948" s="59"/>
      <c r="H948" s="129"/>
      <c r="I948" s="129"/>
      <c r="J948" s="59"/>
      <c r="K948" s="59"/>
      <c r="L948" s="59"/>
    </row>
    <row r="949" spans="6:12">
      <c r="F949" s="129"/>
      <c r="G949" s="59"/>
      <c r="H949" s="129"/>
      <c r="I949" s="129"/>
      <c r="J949" s="59"/>
      <c r="K949" s="59"/>
      <c r="L949" s="59"/>
    </row>
    <row r="950" spans="6:12">
      <c r="F950" s="129"/>
      <c r="G950" s="59"/>
      <c r="H950" s="129"/>
      <c r="I950" s="129"/>
      <c r="J950" s="59"/>
      <c r="K950" s="59"/>
      <c r="L950" s="59"/>
    </row>
    <row r="951" spans="6:12">
      <c r="F951" s="129"/>
      <c r="G951" s="59"/>
      <c r="H951" s="129"/>
      <c r="I951" s="129"/>
      <c r="J951" s="59"/>
      <c r="K951" s="59"/>
      <c r="L951" s="59"/>
    </row>
    <row r="952" spans="6:12">
      <c r="F952" s="129"/>
      <c r="G952" s="59"/>
      <c r="H952" s="129"/>
      <c r="I952" s="129"/>
      <c r="J952" s="59"/>
      <c r="K952" s="59"/>
      <c r="L952" s="59"/>
    </row>
    <row r="953" spans="6:12">
      <c r="F953" s="129"/>
      <c r="G953" s="59"/>
      <c r="H953" s="129"/>
      <c r="I953" s="129"/>
      <c r="J953" s="59"/>
      <c r="K953" s="59"/>
      <c r="L953" s="59"/>
    </row>
    <row r="954" spans="6:12">
      <c r="F954" s="129"/>
      <c r="G954" s="59"/>
      <c r="H954" s="129"/>
      <c r="I954" s="129"/>
      <c r="J954" s="59"/>
      <c r="K954" s="59"/>
      <c r="L954" s="59"/>
    </row>
    <row r="955" spans="6:12">
      <c r="F955" s="129"/>
      <c r="G955" s="59"/>
      <c r="H955" s="129"/>
      <c r="I955" s="129"/>
      <c r="J955" s="59"/>
      <c r="K955" s="59"/>
      <c r="L955" s="59"/>
    </row>
    <row r="956" spans="6:12">
      <c r="F956" s="129"/>
      <c r="G956" s="59"/>
      <c r="H956" s="129"/>
      <c r="I956" s="129"/>
      <c r="J956" s="59"/>
      <c r="K956" s="59"/>
      <c r="L956" s="59"/>
    </row>
    <row r="957" spans="6:12">
      <c r="F957" s="129"/>
      <c r="G957" s="59"/>
      <c r="H957" s="129"/>
      <c r="I957" s="129"/>
      <c r="J957" s="59"/>
      <c r="K957" s="59"/>
      <c r="L957" s="59"/>
    </row>
    <row r="958" spans="6:12">
      <c r="F958" s="129"/>
      <c r="G958" s="59"/>
      <c r="H958" s="129"/>
      <c r="I958" s="129"/>
      <c r="J958" s="59"/>
      <c r="K958" s="59"/>
      <c r="L958" s="59"/>
    </row>
    <row r="959" spans="6:12">
      <c r="F959" s="129"/>
      <c r="G959" s="59"/>
      <c r="H959" s="129"/>
      <c r="I959" s="129"/>
      <c r="J959" s="59"/>
      <c r="K959" s="59"/>
      <c r="L959" s="59"/>
    </row>
    <row r="960" spans="6:12">
      <c r="F960" s="129"/>
      <c r="G960" s="59"/>
      <c r="H960" s="129"/>
      <c r="I960" s="129"/>
      <c r="J960" s="59"/>
      <c r="K960" s="59"/>
      <c r="L960" s="59"/>
    </row>
    <row r="961" spans="6:12">
      <c r="F961" s="129"/>
      <c r="G961" s="59"/>
      <c r="H961" s="129"/>
      <c r="I961" s="129"/>
      <c r="J961" s="59"/>
      <c r="K961" s="59"/>
      <c r="L961" s="59"/>
    </row>
    <row r="962" spans="6:12">
      <c r="F962" s="129"/>
      <c r="G962" s="59"/>
      <c r="H962" s="129"/>
      <c r="I962" s="129"/>
      <c r="J962" s="59"/>
      <c r="K962" s="59"/>
      <c r="L962" s="59"/>
    </row>
    <row r="963" spans="6:12">
      <c r="F963" s="129"/>
      <c r="G963" s="59"/>
      <c r="H963" s="129"/>
      <c r="I963" s="129"/>
      <c r="J963" s="59"/>
      <c r="K963" s="59"/>
      <c r="L963" s="59"/>
    </row>
    <row r="964" spans="6:12">
      <c r="F964" s="129"/>
      <c r="G964" s="59"/>
      <c r="H964" s="129"/>
      <c r="I964" s="129"/>
      <c r="J964" s="59"/>
      <c r="K964" s="59"/>
      <c r="L964" s="59"/>
    </row>
    <row r="965" spans="6:12">
      <c r="F965" s="129"/>
      <c r="G965" s="59"/>
      <c r="H965" s="129"/>
      <c r="I965" s="129"/>
      <c r="J965" s="59"/>
      <c r="K965" s="59"/>
      <c r="L965" s="59"/>
    </row>
    <row r="966" spans="6:12">
      <c r="F966" s="129"/>
      <c r="G966" s="59"/>
      <c r="H966" s="129"/>
      <c r="I966" s="129"/>
      <c r="J966" s="59"/>
      <c r="K966" s="59"/>
      <c r="L966" s="59"/>
    </row>
    <row r="967" spans="6:12">
      <c r="F967" s="129"/>
      <c r="G967" s="59"/>
      <c r="H967" s="129"/>
      <c r="I967" s="129"/>
      <c r="J967" s="59"/>
      <c r="K967" s="59"/>
      <c r="L967" s="59"/>
    </row>
    <row r="968" spans="6:12">
      <c r="F968" s="129"/>
      <c r="G968" s="59"/>
      <c r="H968" s="129"/>
      <c r="I968" s="129"/>
      <c r="J968" s="59"/>
      <c r="K968" s="59"/>
      <c r="L968" s="59"/>
    </row>
    <row r="969" spans="6:12">
      <c r="F969" s="129"/>
      <c r="G969" s="59"/>
      <c r="H969" s="129"/>
      <c r="I969" s="129"/>
      <c r="J969" s="59"/>
      <c r="K969" s="59"/>
      <c r="L969" s="59"/>
    </row>
    <row r="970" spans="6:12">
      <c r="F970" s="129"/>
      <c r="G970" s="59"/>
      <c r="H970" s="129"/>
      <c r="I970" s="129"/>
      <c r="J970" s="59"/>
      <c r="K970" s="59"/>
      <c r="L970" s="59"/>
    </row>
    <row r="971" spans="6:12">
      <c r="F971" s="129"/>
      <c r="G971" s="59"/>
      <c r="H971" s="129"/>
      <c r="I971" s="129"/>
      <c r="J971" s="59"/>
      <c r="K971" s="59"/>
      <c r="L971" s="59"/>
    </row>
    <row r="972" spans="6:12">
      <c r="F972" s="129"/>
      <c r="G972" s="59"/>
      <c r="H972" s="129"/>
      <c r="I972" s="129"/>
      <c r="J972" s="59"/>
      <c r="K972" s="59"/>
      <c r="L972" s="59"/>
    </row>
    <row r="973" spans="6:12">
      <c r="F973" s="129"/>
      <c r="G973" s="59"/>
      <c r="H973" s="129"/>
      <c r="I973" s="129"/>
      <c r="J973" s="59"/>
      <c r="K973" s="59"/>
      <c r="L973" s="59"/>
    </row>
    <row r="974" spans="6:12">
      <c r="F974" s="129"/>
      <c r="G974" s="59"/>
      <c r="H974" s="129"/>
      <c r="I974" s="129"/>
      <c r="J974" s="59"/>
      <c r="K974" s="59"/>
      <c r="L974" s="59"/>
    </row>
    <row r="975" spans="6:12">
      <c r="F975" s="129"/>
      <c r="G975" s="59"/>
      <c r="H975" s="129"/>
      <c r="I975" s="129"/>
      <c r="J975" s="59"/>
      <c r="K975" s="59"/>
      <c r="L975" s="59"/>
    </row>
    <row r="976" spans="6:12">
      <c r="F976" s="129"/>
      <c r="G976" s="59"/>
      <c r="H976" s="129"/>
      <c r="I976" s="129"/>
      <c r="J976" s="59"/>
      <c r="K976" s="59"/>
      <c r="L976" s="59"/>
    </row>
    <row r="977" spans="6:12">
      <c r="F977" s="129"/>
      <c r="G977" s="59"/>
      <c r="H977" s="129"/>
      <c r="I977" s="129"/>
      <c r="J977" s="59"/>
      <c r="K977" s="59"/>
      <c r="L977" s="59"/>
    </row>
    <row r="978" spans="6:12">
      <c r="F978" s="129"/>
      <c r="G978" s="59"/>
      <c r="H978" s="129"/>
      <c r="I978" s="129"/>
      <c r="J978" s="59"/>
      <c r="K978" s="59"/>
      <c r="L978" s="59"/>
    </row>
    <row r="979" spans="6:12">
      <c r="F979" s="129"/>
      <c r="G979" s="59"/>
      <c r="H979" s="129"/>
      <c r="I979" s="129"/>
      <c r="J979" s="59"/>
      <c r="K979" s="59"/>
      <c r="L979" s="59"/>
    </row>
    <row r="980" spans="6:12">
      <c r="F980" s="129"/>
    </row>
    <row r="981" spans="6:12">
      <c r="F981" s="129"/>
    </row>
    <row r="982" spans="6:12">
      <c r="F982" s="129"/>
    </row>
    <row r="983" spans="6:12">
      <c r="F983" s="129"/>
    </row>
    <row r="984" spans="6:12">
      <c r="F984" s="129"/>
    </row>
    <row r="985" spans="6:12">
      <c r="F985" s="129"/>
    </row>
    <row r="986" spans="6:12">
      <c r="F986" s="129"/>
    </row>
    <row r="987" spans="6:12">
      <c r="F987" s="129"/>
    </row>
    <row r="988" spans="6:12">
      <c r="F988" s="129"/>
    </row>
    <row r="989" spans="6:12">
      <c r="F989" s="129"/>
    </row>
    <row r="990" spans="6:12">
      <c r="F990" s="129"/>
    </row>
    <row r="991" spans="6:12">
      <c r="F991" s="129"/>
    </row>
    <row r="992" spans="6:12">
      <c r="F992" s="129"/>
    </row>
    <row r="993" spans="6:6">
      <c r="F993" s="129"/>
    </row>
    <row r="994" spans="6:6">
      <c r="F994" s="129"/>
    </row>
    <row r="995" spans="6:6">
      <c r="F995" s="129"/>
    </row>
    <row r="996" spans="6:6">
      <c r="F996" s="129"/>
    </row>
    <row r="997" spans="6:6">
      <c r="F997" s="129"/>
    </row>
    <row r="998" spans="6:6">
      <c r="F998" s="129"/>
    </row>
    <row r="999" spans="6:6">
      <c r="F999" s="129"/>
    </row>
    <row r="1000" spans="6:6">
      <c r="F1000" s="129"/>
    </row>
    <row r="1001" spans="6:6">
      <c r="F1001" s="129"/>
    </row>
    <row r="1002" spans="6:6">
      <c r="F1002" s="129"/>
    </row>
    <row r="1003" spans="6:6">
      <c r="F1003" s="129"/>
    </row>
    <row r="1004" spans="6:6">
      <c r="F1004" s="129"/>
    </row>
    <row r="1005" spans="6:6">
      <c r="F1005" s="129"/>
    </row>
    <row r="1006" spans="6:6">
      <c r="F1006" s="129"/>
    </row>
    <row r="1007" spans="6:6">
      <c r="F1007" s="129"/>
    </row>
    <row r="1008" spans="6:6">
      <c r="F1008" s="129"/>
    </row>
    <row r="1009" spans="6:6">
      <c r="F1009" s="129"/>
    </row>
    <row r="1010" spans="6:6">
      <c r="F1010" s="129"/>
    </row>
    <row r="1011" spans="6:6">
      <c r="F1011" s="129"/>
    </row>
    <row r="1012" spans="6:6">
      <c r="F1012" s="129"/>
    </row>
    <row r="1013" spans="6:6">
      <c r="F1013" s="129"/>
    </row>
    <row r="1014" spans="6:6">
      <c r="F1014" s="129"/>
    </row>
    <row r="1015" spans="6:6">
      <c r="F1015" s="129"/>
    </row>
    <row r="1016" spans="6:6">
      <c r="F1016" s="129"/>
    </row>
    <row r="1017" spans="6:6">
      <c r="F1017" s="129"/>
    </row>
    <row r="1018" spans="6:6">
      <c r="F1018" s="129"/>
    </row>
    <row r="1019" spans="6:6">
      <c r="F1019" s="129"/>
    </row>
    <row r="1020" spans="6:6">
      <c r="F1020" s="129"/>
    </row>
    <row r="1021" spans="6:6">
      <c r="F1021" s="129"/>
    </row>
    <row r="1022" spans="6:6">
      <c r="F1022" s="129"/>
    </row>
    <row r="1023" spans="6:6">
      <c r="F1023" s="129"/>
    </row>
    <row r="1024" spans="6:6">
      <c r="F1024" s="129"/>
    </row>
    <row r="1025" spans="6:6">
      <c r="F1025" s="129"/>
    </row>
    <row r="1026" spans="6:6">
      <c r="F1026" s="129"/>
    </row>
    <row r="1027" spans="6:6">
      <c r="F1027" s="129"/>
    </row>
    <row r="1028" spans="6:6">
      <c r="F1028" s="129"/>
    </row>
    <row r="1029" spans="6:6">
      <c r="F1029" s="129"/>
    </row>
    <row r="1030" spans="6:6">
      <c r="F1030" s="129"/>
    </row>
    <row r="1031" spans="6:6">
      <c r="F1031" s="129"/>
    </row>
    <row r="1032" spans="6:6">
      <c r="F1032" s="129"/>
    </row>
    <row r="1033" spans="6:6">
      <c r="F1033" s="129"/>
    </row>
    <row r="1034" spans="6:6">
      <c r="F1034" s="129"/>
    </row>
    <row r="1035" spans="6:6">
      <c r="F1035" s="129"/>
    </row>
    <row r="1036" spans="6:6">
      <c r="F1036" s="129"/>
    </row>
    <row r="1037" spans="6:6">
      <c r="F1037" s="129"/>
    </row>
    <row r="1038" spans="6:6">
      <c r="F1038" s="129"/>
    </row>
    <row r="1039" spans="6:6">
      <c r="F1039" s="129"/>
    </row>
    <row r="1040" spans="6:6">
      <c r="F1040" s="129"/>
    </row>
    <row r="1041" spans="6:6">
      <c r="F1041" s="129"/>
    </row>
    <row r="1042" spans="6:6">
      <c r="F1042" s="129"/>
    </row>
    <row r="1043" spans="6:6">
      <c r="F1043" s="129"/>
    </row>
    <row r="1044" spans="6:6">
      <c r="F1044" s="129"/>
    </row>
    <row r="1045" spans="6:6">
      <c r="F1045" s="129"/>
    </row>
    <row r="1046" spans="6:6">
      <c r="F1046" s="129"/>
    </row>
    <row r="1047" spans="6:6">
      <c r="F1047" s="129"/>
    </row>
    <row r="1048" spans="6:6">
      <c r="F1048" s="129"/>
    </row>
    <row r="1049" spans="6:6">
      <c r="F1049" s="129"/>
    </row>
    <row r="1050" spans="6:6">
      <c r="F1050" s="129"/>
    </row>
    <row r="1051" spans="6:6">
      <c r="F1051" s="129"/>
    </row>
    <row r="1052" spans="6:6">
      <c r="F1052" s="129"/>
    </row>
    <row r="1053" spans="6:6">
      <c r="F1053" s="129"/>
    </row>
    <row r="1054" spans="6:6">
      <c r="F1054" s="129"/>
    </row>
    <row r="1055" spans="6:6">
      <c r="F1055" s="129"/>
    </row>
    <row r="1056" spans="6:6">
      <c r="F1056" s="129"/>
    </row>
    <row r="1057" spans="6:6">
      <c r="F1057" s="129"/>
    </row>
    <row r="1058" spans="6:6">
      <c r="F1058" s="129"/>
    </row>
    <row r="1059" spans="6:6">
      <c r="F1059" s="129"/>
    </row>
    <row r="1060" spans="6:6">
      <c r="F1060" s="129"/>
    </row>
    <row r="1061" spans="6:6">
      <c r="F1061" s="129"/>
    </row>
    <row r="1062" spans="6:6">
      <c r="F1062" s="129"/>
    </row>
    <row r="1063" spans="6:6">
      <c r="F1063" s="129"/>
    </row>
  </sheetData>
  <sheetProtection algorithmName="SHA-512" hashValue="uawy9RmPnY81cZ8XdSeax9NqalPU2Cyvx9FsZFvWT5WvSbTqxulpQgBImaFnPcLlYFQjQFcXUqzuxZ1z7BZQSA==" saltValue="3obYLJj7T0Bhbb9bwUmX3g==" spinCount="100000" sheet="1" objects="1" scenarios="1"/>
  <mergeCells count="15">
    <mergeCell ref="E68:I68"/>
    <mergeCell ref="K38:L38"/>
    <mergeCell ref="K52:L52"/>
    <mergeCell ref="K65:L65"/>
    <mergeCell ref="F50:G50"/>
    <mergeCell ref="F63:G63"/>
    <mergeCell ref="F22:G22"/>
    <mergeCell ref="F36:G36"/>
    <mergeCell ref="C3:L3"/>
    <mergeCell ref="C4:L4"/>
    <mergeCell ref="C5:L5"/>
    <mergeCell ref="F8:G8"/>
    <mergeCell ref="K10:L10"/>
    <mergeCell ref="K24:L24"/>
    <mergeCell ref="C6:G6"/>
  </mergeCells>
  <phoneticPr fontId="5" type="noConversion"/>
  <conditionalFormatting sqref="F8">
    <cfRule type="expression" dxfId="59" priority="1" stopIfTrue="1">
      <formula>$C$8=""</formula>
    </cfRule>
  </conditionalFormatting>
  <conditionalFormatting sqref="F36">
    <cfRule type="expression" dxfId="58" priority="2" stopIfTrue="1">
      <formula>$C$36=""</formula>
    </cfRule>
  </conditionalFormatting>
  <conditionalFormatting sqref="F50">
    <cfRule type="expression" dxfId="57" priority="3" stopIfTrue="1">
      <formula>$C$50=""</formula>
    </cfRule>
  </conditionalFormatting>
  <conditionalFormatting sqref="H11:I11">
    <cfRule type="expression" dxfId="56" priority="4" stopIfTrue="1">
      <formula>$C$11=""</formula>
    </cfRule>
  </conditionalFormatting>
  <conditionalFormatting sqref="H16:I16">
    <cfRule type="expression" dxfId="55" priority="5" stopIfTrue="1">
      <formula>$C$16=""</formula>
    </cfRule>
  </conditionalFormatting>
  <conditionalFormatting sqref="H17:I17 K16:L17 K30:L31 K33 K44:L45 K47 K58:L59 K61 L15 K19 L29 L43 L57">
    <cfRule type="expression" dxfId="54" priority="6" stopIfTrue="1">
      <formula>$C$17=""</formula>
    </cfRule>
  </conditionalFormatting>
  <conditionalFormatting sqref="H18:I18">
    <cfRule type="expression" dxfId="53" priority="7" stopIfTrue="1">
      <formula>$C$18=""</formula>
    </cfRule>
  </conditionalFormatting>
  <conditionalFormatting sqref="H25:I25">
    <cfRule type="expression" dxfId="52" priority="8" stopIfTrue="1">
      <formula>$C$25=""</formula>
    </cfRule>
  </conditionalFormatting>
  <conditionalFormatting sqref="H30:I30">
    <cfRule type="expression" dxfId="51" priority="9" stopIfTrue="1">
      <formula>$C$30=""</formula>
    </cfRule>
  </conditionalFormatting>
  <conditionalFormatting sqref="H31:I31">
    <cfRule type="expression" dxfId="50" priority="10" stopIfTrue="1">
      <formula>$C$31=""</formula>
    </cfRule>
  </conditionalFormatting>
  <conditionalFormatting sqref="H32:I32">
    <cfRule type="expression" dxfId="49" priority="11" stopIfTrue="1">
      <formula>$C$32=""</formula>
    </cfRule>
  </conditionalFormatting>
  <conditionalFormatting sqref="H44:I44">
    <cfRule type="expression" dxfId="48" priority="12" stopIfTrue="1">
      <formula>$C$44=""</formula>
    </cfRule>
  </conditionalFormatting>
  <conditionalFormatting sqref="H45:I45">
    <cfRule type="expression" dxfId="47" priority="13" stopIfTrue="1">
      <formula>$C$45=""</formula>
    </cfRule>
  </conditionalFormatting>
  <conditionalFormatting sqref="H46:I46">
    <cfRule type="expression" dxfId="46" priority="14" stopIfTrue="1">
      <formula>$C$46=""</formula>
    </cfRule>
  </conditionalFormatting>
  <conditionalFormatting sqref="H58:I58">
    <cfRule type="expression" dxfId="45" priority="15" stopIfTrue="1">
      <formula>$C$58=""</formula>
    </cfRule>
  </conditionalFormatting>
  <conditionalFormatting sqref="H59:I59">
    <cfRule type="expression" dxfId="44" priority="16" stopIfTrue="1">
      <formula>$C$59=""</formula>
    </cfRule>
  </conditionalFormatting>
  <conditionalFormatting sqref="H60:I60">
    <cfRule type="expression" dxfId="43" priority="17" stopIfTrue="1">
      <formula>$C$60=""</formula>
    </cfRule>
  </conditionalFormatting>
  <conditionalFormatting sqref="H39:I39">
    <cfRule type="expression" dxfId="42" priority="18" stopIfTrue="1">
      <formula>$C$39=""</formula>
    </cfRule>
  </conditionalFormatting>
  <conditionalFormatting sqref="H53:I53">
    <cfRule type="expression" dxfId="41" priority="19" stopIfTrue="1">
      <formula>$C$53=""</formula>
    </cfRule>
  </conditionalFormatting>
  <conditionalFormatting sqref="F22:G22">
    <cfRule type="expression" dxfId="40" priority="20" stopIfTrue="1">
      <formula>$C$22=""</formula>
    </cfRule>
  </conditionalFormatting>
  <conditionalFormatting sqref="G10">
    <cfRule type="expression" dxfId="39" priority="21" stopIfTrue="1">
      <formula>$C$10=""</formula>
    </cfRule>
    <cfRule type="expression" dxfId="38" priority="22" stopIfTrue="1">
      <formula>$O$10=2</formula>
    </cfRule>
  </conditionalFormatting>
  <conditionalFormatting sqref="G12">
    <cfRule type="expression" dxfId="37" priority="23" stopIfTrue="1">
      <formula>$C$12=""</formula>
    </cfRule>
    <cfRule type="expression" dxfId="36" priority="24" stopIfTrue="1">
      <formula>$O$11=1</formula>
    </cfRule>
  </conditionalFormatting>
  <conditionalFormatting sqref="G13">
    <cfRule type="expression" dxfId="35" priority="25" stopIfTrue="1">
      <formula>$C$13=""</formula>
    </cfRule>
    <cfRule type="expression" dxfId="34" priority="26" stopIfTrue="1">
      <formula>$O$12=1</formula>
    </cfRule>
  </conditionalFormatting>
  <conditionalFormatting sqref="G24">
    <cfRule type="expression" dxfId="33" priority="27" stopIfTrue="1">
      <formula>$C$24=""</formula>
    </cfRule>
    <cfRule type="expression" dxfId="32" priority="28" stopIfTrue="1">
      <formula>$O$24=2</formula>
    </cfRule>
  </conditionalFormatting>
  <conditionalFormatting sqref="G26">
    <cfRule type="expression" dxfId="31" priority="29" stopIfTrue="1">
      <formula>$C$26=""</formula>
    </cfRule>
    <cfRule type="expression" dxfId="30" priority="30" stopIfTrue="1">
      <formula>$O$25=1</formula>
    </cfRule>
  </conditionalFormatting>
  <conditionalFormatting sqref="G27">
    <cfRule type="expression" dxfId="29" priority="31" stopIfTrue="1">
      <formula>$C$27=""</formula>
    </cfRule>
    <cfRule type="expression" dxfId="28" priority="32" stopIfTrue="1">
      <formula>$O$26=1</formula>
    </cfRule>
  </conditionalFormatting>
  <conditionalFormatting sqref="G38">
    <cfRule type="expression" dxfId="27" priority="33" stopIfTrue="1">
      <formula>$C$38=""</formula>
    </cfRule>
    <cfRule type="expression" dxfId="26" priority="34" stopIfTrue="1">
      <formula>$O$38=2</formula>
    </cfRule>
  </conditionalFormatting>
  <conditionalFormatting sqref="G40">
    <cfRule type="expression" dxfId="25" priority="35" stopIfTrue="1">
      <formula>$C$40=""</formula>
    </cfRule>
    <cfRule type="expression" dxfId="24" priority="36" stopIfTrue="1">
      <formula>$O$39=1</formula>
    </cfRule>
  </conditionalFormatting>
  <conditionalFormatting sqref="G41">
    <cfRule type="expression" dxfId="23" priority="37" stopIfTrue="1">
      <formula>$C$41=""</formula>
    </cfRule>
    <cfRule type="expression" dxfId="22" priority="38" stopIfTrue="1">
      <formula>$O$40=1</formula>
    </cfRule>
  </conditionalFormatting>
  <conditionalFormatting sqref="G52">
    <cfRule type="expression" dxfId="21" priority="39" stopIfTrue="1">
      <formula>$C$52=""</formula>
    </cfRule>
    <cfRule type="expression" dxfId="20" priority="40" stopIfTrue="1">
      <formula>$O$52=2</formula>
    </cfRule>
  </conditionalFormatting>
  <conditionalFormatting sqref="G54">
    <cfRule type="expression" dxfId="19" priority="41" stopIfTrue="1">
      <formula>$C$54=""</formula>
    </cfRule>
    <cfRule type="expression" dxfId="18" priority="42" stopIfTrue="1">
      <formula>$O$53=1</formula>
    </cfRule>
  </conditionalFormatting>
  <conditionalFormatting sqref="G55">
    <cfRule type="expression" dxfId="17" priority="43" stopIfTrue="1">
      <formula>$C$55=""</formula>
    </cfRule>
    <cfRule type="expression" dxfId="16" priority="44" stopIfTrue="1">
      <formula>$O$54=1</formula>
    </cfRule>
  </conditionalFormatting>
  <conditionalFormatting sqref="K18:L18 K32:L32 K46:L46 K60:L60">
    <cfRule type="expression" dxfId="15" priority="45" stopIfTrue="1">
      <formula>N18&lt;&gt;1</formula>
    </cfRule>
  </conditionalFormatting>
  <conditionalFormatting sqref="G14:G15 G28:G29 G42:G43 G56:G57">
    <cfRule type="expression" dxfId="14" priority="46" stopIfTrue="1">
      <formula>$C14=""</formula>
    </cfRule>
    <cfRule type="expression" dxfId="13" priority="47" stopIfTrue="1">
      <formula>$O13=1</formula>
    </cfRule>
  </conditionalFormatting>
  <pageMargins left="0.49" right="0.42" top="0.56000000000000005" bottom="0.55118110236220474" header="0.39370078740157483" footer="0.39370078740157483"/>
  <pageSetup paperSize="9" scale="94" orientation="portrait" r:id="rId1"/>
  <headerFooter alignWithMargins="0">
    <oddFooter>&amp;L&amp;8&amp;F / &amp;A / &amp;D, &amp;T&amp;R&amp;8MINERGIE-Nachweis</oddFooter>
  </headerFooter>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autoLine="0" autoPict="0">
                <anchor moveWithCells="1" sizeWithCells="1">
                  <from>
                    <xdr:col>2</xdr:col>
                    <xdr:colOff>1851660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6148" r:id="rId5" name="Drop Down 4">
              <controlPr defaultSize="0" autoLine="0" autoPict="0">
                <anchor moveWithCells="1" sizeWithCells="1">
                  <from>
                    <xdr:col>2</xdr:col>
                    <xdr:colOff>1851660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6149" r:id="rId6" name="Drop Down 5">
              <controlPr defaultSize="0" autoLine="0" autoPict="0">
                <anchor moveWithCells="1" sizeWithCells="1">
                  <from>
                    <xdr:col>2</xdr:col>
                    <xdr:colOff>1851660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6152" r:id="rId7" name="Drop Down 8">
              <controlPr defaultSize="0" autoLine="0" autoPict="0">
                <anchor moveWithCells="1" sizeWithCells="1">
                  <from>
                    <xdr:col>2</xdr:col>
                    <xdr:colOff>1851660</xdr:colOff>
                    <xdr:row>48</xdr:row>
                    <xdr:rowOff>0</xdr:rowOff>
                  </from>
                  <to>
                    <xdr:col>9</xdr:col>
                    <xdr:colOff>0</xdr:colOff>
                    <xdr:row>49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M59"/>
  <sheetViews>
    <sheetView showZeros="0" topLeftCell="A42" zoomScaleNormal="100" workbookViewId="0">
      <selection activeCell="A58" sqref="A58:XFD63"/>
    </sheetView>
  </sheetViews>
  <sheetFormatPr baseColWidth="10" defaultColWidth="11.44140625" defaultRowHeight="11.4"/>
  <cols>
    <col min="1" max="1" width="4.33203125" style="1392" customWidth="1"/>
    <col min="2" max="2" width="25.6640625" style="129" customWidth="1"/>
    <col min="3" max="4" width="7.33203125" style="129" customWidth="1"/>
    <col min="5" max="8" width="10.33203125" style="129" customWidth="1"/>
    <col min="9" max="9" width="1.33203125" style="129" hidden="1" customWidth="1"/>
    <col min="10" max="10" width="8.6640625" style="129" customWidth="1"/>
    <col min="11" max="11" width="11.44140625" style="215" customWidth="1"/>
    <col min="12" max="13" width="11.44140625" style="214" customWidth="1"/>
    <col min="14" max="16384" width="11.44140625" style="129"/>
  </cols>
  <sheetData>
    <row r="1" spans="1:10" ht="13.2" hidden="1">
      <c r="A1" s="1393"/>
      <c r="B1" s="57"/>
      <c r="C1" s="57"/>
      <c r="D1" s="57"/>
      <c r="E1" s="57"/>
      <c r="F1" s="59"/>
      <c r="G1" s="59"/>
      <c r="H1" s="128" t="s">
        <v>660</v>
      </c>
      <c r="J1" s="311"/>
    </row>
    <row r="2" spans="1:10" ht="13.8">
      <c r="A2" s="1393"/>
      <c r="B2" s="32" t="s">
        <v>629</v>
      </c>
      <c r="C2" s="57"/>
      <c r="D2" s="57"/>
      <c r="E2" s="57"/>
      <c r="G2" s="59"/>
      <c r="J2" s="1211" t="str">
        <f>Dati!J2</f>
        <v>MINERGIE, versione 2016, da utilizzare fino al 31.12.2016 al più tardi</v>
      </c>
    </row>
    <row r="3" spans="1:10" ht="12.75" customHeight="1">
      <c r="A3" s="1393"/>
      <c r="B3" s="1769">
        <f>IF(Projekt1="","",Projekt1)</f>
        <v>0</v>
      </c>
      <c r="C3" s="1770"/>
      <c r="D3" s="1770"/>
      <c r="E3" s="1770"/>
      <c r="F3" s="1770"/>
      <c r="G3" s="1770"/>
      <c r="H3" s="1770"/>
      <c r="I3" s="1770"/>
      <c r="J3" s="1771"/>
    </row>
    <row r="4" spans="1:10" ht="12.75" customHeight="1">
      <c r="A4" s="1393"/>
      <c r="B4" s="1772">
        <f>IF(Projekt2="","",Projekt2)</f>
        <v>0</v>
      </c>
      <c r="C4" s="1773"/>
      <c r="D4" s="1773"/>
      <c r="E4" s="1773"/>
      <c r="F4" s="1773"/>
      <c r="G4" s="1773"/>
      <c r="H4" s="1773"/>
      <c r="I4" s="1773"/>
      <c r="J4" s="1774"/>
    </row>
    <row r="5" spans="1:10" ht="12.75" hidden="1" customHeight="1">
      <c r="A5" s="1393"/>
      <c r="B5" s="1775">
        <f>IF(Projekt3="","",Projekt3)</f>
        <v>0</v>
      </c>
      <c r="C5" s="1776"/>
      <c r="D5" s="1776"/>
      <c r="E5" s="1776"/>
      <c r="F5" s="1776"/>
      <c r="G5" s="1776"/>
      <c r="H5" s="1776"/>
      <c r="I5" s="1776"/>
      <c r="J5" s="1777"/>
    </row>
    <row r="6" spans="1:10" ht="13.2">
      <c r="A6" s="343"/>
      <c r="B6" s="221"/>
      <c r="C6" s="221"/>
      <c r="D6" s="221"/>
      <c r="E6" s="1434"/>
      <c r="F6" s="1435"/>
      <c r="G6" s="1434"/>
      <c r="H6" s="1436"/>
      <c r="I6" s="221"/>
      <c r="J6" s="1436"/>
    </row>
    <row r="7" spans="1:10" ht="13.2">
      <c r="A7" s="343"/>
      <c r="B7" s="238" t="s">
        <v>1210</v>
      </c>
      <c r="C7" s="672"/>
      <c r="D7" s="673"/>
      <c r="E7" s="224">
        <v>1</v>
      </c>
      <c r="F7" s="225">
        <v>2</v>
      </c>
      <c r="G7" s="224">
        <v>3</v>
      </c>
      <c r="H7" s="211">
        <v>4</v>
      </c>
      <c r="I7" s="221"/>
      <c r="J7" s="226" t="s">
        <v>706</v>
      </c>
    </row>
    <row r="8" spans="1:10" ht="12.75" customHeight="1">
      <c r="A8" s="343" t="s">
        <v>1518</v>
      </c>
      <c r="B8" s="674" t="s">
        <v>780</v>
      </c>
      <c r="C8" s="159">
        <f>Standardwerte!D4</f>
        <v>0</v>
      </c>
      <c r="D8" s="677"/>
      <c r="E8" s="675" t="str">
        <f>Standardwerte!K4</f>
        <v/>
      </c>
      <c r="F8" s="675" t="str">
        <f>Standardwerte!M4</f>
        <v/>
      </c>
      <c r="G8" s="222" t="str">
        <f>Standardwerte!O4</f>
        <v/>
      </c>
      <c r="H8" s="676" t="str">
        <f>Standardwerte!Q4</f>
        <v/>
      </c>
      <c r="I8" s="678"/>
      <c r="J8" s="1370" t="str">
        <f>IF(BadMisch,"senza piscina","")</f>
        <v/>
      </c>
    </row>
    <row r="9" spans="1:10" ht="12.75" customHeight="1">
      <c r="A9" s="343" t="s">
        <v>1519</v>
      </c>
      <c r="B9" s="1210" t="s">
        <v>321</v>
      </c>
      <c r="C9" s="148"/>
      <c r="D9" s="82"/>
      <c r="E9" s="1130" t="str">
        <f>Standardwerte!S43</f>
        <v/>
      </c>
      <c r="F9" s="1130" t="str">
        <f>Standardwerte!S44</f>
        <v/>
      </c>
      <c r="G9" s="1130" t="str">
        <f>Standardwerte!S45</f>
        <v/>
      </c>
      <c r="H9" s="1131" t="str">
        <f>Standardwerte!S46</f>
        <v/>
      </c>
      <c r="I9" s="679"/>
      <c r="J9" s="218"/>
    </row>
    <row r="10" spans="1:10" ht="12.75" customHeight="1">
      <c r="A10" s="343" t="s">
        <v>1520</v>
      </c>
      <c r="B10" s="235" t="s">
        <v>1718</v>
      </c>
      <c r="C10" s="220" t="s">
        <v>457</v>
      </c>
      <c r="D10" s="157"/>
      <c r="E10" s="209" t="str">
        <f>IF(_EBF1&gt;0,_EBF1,"")</f>
        <v/>
      </c>
      <c r="F10" s="223" t="str">
        <f>IF(_EBF2&gt;0,_EBF2,"")</f>
        <v/>
      </c>
      <c r="G10" s="209" t="str">
        <f>IF(_EBF3&gt;0,_EBF3,"")</f>
        <v/>
      </c>
      <c r="H10" s="209" t="str">
        <f>IF(_EBF4&gt;0,_EBF4,"")</f>
        <v/>
      </c>
      <c r="I10" s="679"/>
      <c r="J10" s="219" t="str">
        <f>IF(EBF&gt;0,EBF,"")</f>
        <v/>
      </c>
    </row>
    <row r="11" spans="1:10" ht="12.75" customHeight="1">
      <c r="A11" s="343" t="s">
        <v>1521</v>
      </c>
      <c r="B11" s="235" t="str">
        <f>IF(minergiep=TRUE,"Qh-MP con ricambio aria standard","Qh con ricambio aria standard")</f>
        <v>Qh con ricambio aria standard</v>
      </c>
      <c r="C11" s="149" t="s">
        <v>410</v>
      </c>
      <c r="D11" s="150"/>
      <c r="E11" s="230" t="str">
        <f>IF(_qhs1&gt;0,_qhs1/3.6,"")</f>
        <v/>
      </c>
      <c r="F11" s="230" t="str">
        <f>IF(_qhs2&gt;0,_qhs2/3.6,"")</f>
        <v/>
      </c>
      <c r="G11" s="230" t="str">
        <f>IF(_qhs3&gt;0,_qhs3/3.6,"")</f>
        <v/>
      </c>
      <c r="H11" s="230" t="str">
        <f>IF(_qhs4&gt;0,_qhs4/3.6,"")</f>
        <v/>
      </c>
      <c r="I11" s="679"/>
      <c r="J11" s="231" t="str">
        <f>IF(AND(qhs&gt;0,EBF&gt;0),qhs/3.6,"")</f>
        <v/>
      </c>
    </row>
    <row r="12" spans="1:10" ht="12.75" customHeight="1">
      <c r="A12" s="343" t="s">
        <v>1522</v>
      </c>
      <c r="B12" s="1210" t="s">
        <v>403</v>
      </c>
      <c r="C12" s="149" t="s">
        <v>410</v>
      </c>
      <c r="D12" s="150"/>
      <c r="E12" s="230">
        <f>IF(_EBF1&gt;0,IF(WWMIN1,IF(WWBonus1,0,Standardwerte!J104),0),)</f>
        <v>0</v>
      </c>
      <c r="F12" s="230">
        <f>IF(_EBF2&gt;0,IF(WWMIN2,IF(WWBonus2,0,Standardwerte!K104),0),)</f>
        <v>0</v>
      </c>
      <c r="G12" s="230">
        <f>IF(_EBF3&gt;0,IF(WWMIN3,IF(WWBonus3,0,Standardwerte!L104),0),)</f>
        <v>0</v>
      </c>
      <c r="H12" s="230">
        <f>IF(_EBF4&gt;0,IF(WWMIN4,IF(WWBonus4,0,Standardwerte!M104),0),)</f>
        <v>0</v>
      </c>
      <c r="I12" s="679"/>
      <c r="J12" s="231">
        <f>IF(EBF&gt;0,(_qw1*_EBF1+_qw2*_EBF2+_qw3*_EBF3+_qw4*_EBF4)/EBF,0)</f>
        <v>0</v>
      </c>
    </row>
    <row r="13" spans="1:10" ht="12.75" customHeight="1">
      <c r="A13" s="343" t="s">
        <v>1523</v>
      </c>
      <c r="B13" s="101" t="s">
        <v>354</v>
      </c>
      <c r="C13" s="33" t="s">
        <v>265</v>
      </c>
      <c r="D13" s="134"/>
      <c r="E13" s="232">
        <f ca="1">_Vth1</f>
        <v>0</v>
      </c>
      <c r="F13" s="232">
        <f ca="1">_Vth2</f>
        <v>0</v>
      </c>
      <c r="G13" s="232">
        <f ca="1">_Vth3</f>
        <v>0</v>
      </c>
      <c r="H13" s="232">
        <f ca="1">_Vth4</f>
        <v>0</v>
      </c>
      <c r="I13" s="233"/>
      <c r="J13" s="234">
        <f>Vth</f>
        <v>0</v>
      </c>
    </row>
    <row r="14" spans="1:10" ht="12.75" customHeight="1">
      <c r="A14" s="343" t="s">
        <v>1524</v>
      </c>
      <c r="B14" s="235" t="str">
        <f>IF(OR(minergiea,minergiep),"Fabb. term. per riscaldam. Qh,eff","Qh con ricambio aria effettiva")</f>
        <v>Fabb. term. per riscaldam. Qh,eff</v>
      </c>
      <c r="C14" s="149" t="s">
        <v>410</v>
      </c>
      <c r="D14" s="146"/>
      <c r="E14" s="210">
        <f>_qh1/3.6</f>
        <v>0</v>
      </c>
      <c r="F14" s="210">
        <f>_qh2/3.6</f>
        <v>0</v>
      </c>
      <c r="G14" s="210">
        <f>_qh3/3.6</f>
        <v>0</v>
      </c>
      <c r="H14" s="210">
        <f>_qh4/3.6</f>
        <v>0</v>
      </c>
      <c r="I14" s="680"/>
      <c r="J14" s="236">
        <f>qh/3.6</f>
        <v>0</v>
      </c>
    </row>
    <row r="15" spans="1:10" ht="12.75" customHeight="1">
      <c r="A15" s="343" t="s">
        <v>1525</v>
      </c>
      <c r="B15" s="165" t="s">
        <v>781</v>
      </c>
      <c r="C15" s="1083"/>
      <c r="D15" s="150"/>
      <c r="E15" s="291">
        <f>IF(Kategorie1&gt;1,Standardwerte!L25,)</f>
        <v>0</v>
      </c>
      <c r="F15" s="291">
        <f>IF(Kategorie2&gt;1,Standardwerte!P25,)</f>
        <v>0</v>
      </c>
      <c r="G15" s="291">
        <f>IF(Kategorie3&gt;1,Standardwerte!L29,)</f>
        <v>0</v>
      </c>
      <c r="H15" s="291">
        <f>IF(Kategorie4&gt;1,Standardwerte!P29,)</f>
        <v>0</v>
      </c>
      <c r="I15" s="679"/>
      <c r="J15" s="132"/>
    </row>
    <row r="16" spans="1:10" ht="12.75" customHeight="1">
      <c r="A16" s="343" t="s">
        <v>1526</v>
      </c>
      <c r="B16" s="165" t="s">
        <v>1276</v>
      </c>
      <c r="C16" s="1083"/>
      <c r="D16" s="150"/>
      <c r="E16" s="291">
        <f>IF(Kategorie1&gt;1,IF(abgabe1&gt;0,INDEX(Standardwerte!$AE$23:$AE$29,abgabe1,1),),)</f>
        <v>0</v>
      </c>
      <c r="F16" s="291">
        <f>IF(Kategorie2&gt;1,IF(abgabe2&gt;0,INDEX(Standardwerte!$AE$23:$AE$29,abgabe2,1),),)</f>
        <v>0</v>
      </c>
      <c r="G16" s="291">
        <f>IF(Kategorie3&gt;1,IF(abgabe3&gt;0,INDEX(Standardwerte!$AE$23:$AE$29,abgabe3,1),),)</f>
        <v>0</v>
      </c>
      <c r="H16" s="291">
        <f>IF(Kategorie4&gt;1,IF(abgabe4&gt;0,INDEX(Standardwerte!$AE$23:$AE$29,abgabe4,1),),)</f>
        <v>0</v>
      </c>
      <c r="I16" s="679"/>
      <c r="J16" s="132"/>
    </row>
    <row r="17" spans="1:10" ht="12.75" customHeight="1">
      <c r="A17" s="343" t="s">
        <v>1527</v>
      </c>
      <c r="B17" s="101" t="s">
        <v>355</v>
      </c>
      <c r="C17" s="149" t="s">
        <v>410</v>
      </c>
      <c r="D17" s="150"/>
      <c r="E17" s="276">
        <f ca="1">_Qe1</f>
        <v>0</v>
      </c>
      <c r="F17" s="293">
        <f ca="1">_Qe2</f>
        <v>0</v>
      </c>
      <c r="G17" s="293">
        <f ca="1">_Qe3</f>
        <v>0</v>
      </c>
      <c r="H17" s="293">
        <f ca="1">_Qe4</f>
        <v>0</v>
      </c>
      <c r="I17" s="681"/>
      <c r="J17" s="292">
        <f>Qe</f>
        <v>0</v>
      </c>
    </row>
    <row r="18" spans="1:10" ht="12.75" customHeight="1">
      <c r="A18" s="343" t="s">
        <v>1528</v>
      </c>
      <c r="B18" s="165" t="str">
        <f>IF(minergiep,"Elettr. accessori / refrigerazione","Elettricità per climatizzazione")</f>
        <v>Elettricità per climatizzazione</v>
      </c>
      <c r="C18" s="149" t="s">
        <v>410</v>
      </c>
      <c r="D18" s="146"/>
      <c r="E18" s="295">
        <f>IF(minergiea,E_Qk1-E19,E_Qk1)</f>
        <v>0</v>
      </c>
      <c r="F18" s="295">
        <f>IF(minergiea,E_Qk2-F19,E_Qk2)</f>
        <v>0</v>
      </c>
      <c r="G18" s="295">
        <f>IF(minergiea,E_Qk3-G19,E_Qk3)</f>
        <v>0</v>
      </c>
      <c r="H18" s="295">
        <f>IF(minergiea,E_Qk4-H19,E_Qk4)</f>
        <v>0</v>
      </c>
      <c r="I18" s="680"/>
      <c r="J18" s="1671">
        <f>IF(minergiea,E_Qk-J19,E_Qk)</f>
        <v>0</v>
      </c>
    </row>
    <row r="19" spans="1:10" ht="12.75" customHeight="1">
      <c r="A19" s="343" t="s">
        <v>1529</v>
      </c>
      <c r="B19" s="101" t="str">
        <f>IF(minergiea,"Strombedarf Hilfsbetriebe",IF(minergiep,"Valore limite","Valore limite senza supplem."))</f>
        <v>Strombedarf Hilfsbetriebe</v>
      </c>
      <c r="C19" s="149" t="s">
        <v>410</v>
      </c>
      <c r="D19" s="146"/>
      <c r="E19" s="210">
        <f>IF(minergiea,IF(_EBF1&gt;0,Dati!E39/_EBF1,0),IF(minergiep,Standardwerte!J74,MAX(IF(Neubau1=2,INDEX(Standardwerte!$P$9:$Q$21,Kategorie1,1),IF(Neubau1=3,INDEX(Standardwerte!$P$9:$Q$21,Kategorie1,2),0))-Standardwerte!J107,0)))</f>
        <v>0</v>
      </c>
      <c r="F19" s="210">
        <f>IF(minergiea,IF(_EBF2&gt;0,Dati!F39/_EBF2,0),IF(minergiep,Standardwerte!J75,MAX(IF(Neubau2=2,INDEX(Standardwerte!$P$9:$Q$21,Kategorie2,1),IF(Neubau2=3,INDEX(Standardwerte!$P$9:$Q$21,Kategorie2,2),0))-Standardwerte!K107,0)))</f>
        <v>0</v>
      </c>
      <c r="G19" s="210">
        <f>IF(minergiea,IF(_EBF3&gt;0,Dati!G39/_EBF3,0),IF(minergiep,Standardwerte!J76,MAX(IF(Neubau3=2,INDEX(Standardwerte!$P$9:$Q$21,Kategorie3,1),IF(Neubau3=3,INDEX(Standardwerte!$P$9:$Q$21,Kategorie3,2),0))-Standardwerte!L107,0)))</f>
        <v>0</v>
      </c>
      <c r="H19" s="210">
        <f>IF(minergiea,IF(_EBF4&gt;0,Dati!H39/_EBF4,0),IF(minergiep,Standardwerte!J77,MAX(IF(Neubau4=2,INDEX(Standardwerte!$P$9:$Q$21,Kategorie4,1),IF(Neubau4=3,INDEX(Standardwerte!$P$9:$Q$21,Kategorie4,2),0))-Standardwerte!M107,0)))</f>
        <v>0</v>
      </c>
      <c r="I19" s="682"/>
      <c r="J19" s="236">
        <f>IF(EBF&gt;0,(E19*_EBF1+F19*_EBF2+G19*_EBF3+H19*_EBF4)/EBF,)</f>
        <v>0</v>
      </c>
    </row>
    <row r="20" spans="1:10" ht="12.75" customHeight="1">
      <c r="A20" s="343" t="s">
        <v>1530</v>
      </c>
      <c r="B20" s="101" t="str">
        <f>IF(OR(minergiea,minergiep),"","Suppl. clima e ombreggiamento")</f>
        <v/>
      </c>
      <c r="C20" s="149" t="str">
        <f>IF(OR(minergiea,minergiep),"","kWh/m2")</f>
        <v/>
      </c>
      <c r="D20" s="146"/>
      <c r="E20" s="683">
        <f>IF(OR(minergiea,minergiep),0,klima1+Standardwerte!J67)</f>
        <v>0</v>
      </c>
      <c r="F20" s="683">
        <f>IF(OR(minergiea,minergiep),0,klima2+Standardwerte!J68)</f>
        <v>0</v>
      </c>
      <c r="G20" s="683">
        <f>IF(OR(minergiea,minergiep),0,klima3+Standardwerte!J69)</f>
        <v>0</v>
      </c>
      <c r="H20" s="683">
        <f>IF(OR(minergiea,minergiep),0,klima4+Standardwerte!J70)</f>
        <v>0</v>
      </c>
      <c r="I20" s="682"/>
      <c r="J20" s="236">
        <f>IF(EBF&gt;0,(E20*_EBF1+F20*_EBF2+G20*_EBF3+H20*_EBF4)/EBF,)</f>
        <v>0</v>
      </c>
    </row>
    <row r="21" spans="1:10" ht="12.75" customHeight="1">
      <c r="A21" s="343" t="s">
        <v>1531</v>
      </c>
      <c r="B21" s="684" t="s">
        <v>705</v>
      </c>
      <c r="C21" s="685" t="s">
        <v>410</v>
      </c>
      <c r="D21" s="686"/>
      <c r="E21" s="1672">
        <f>IF(minergiea,IF(BioSolar,15,0.00000001),IF(minergiep,Standardwerte!J74,SUM(E19:E20)))</f>
        <v>1E-8</v>
      </c>
      <c r="F21" s="1672">
        <f>IF(minergiea,IF(BioSolar,15,0.00000001),IF(minergiep,Standardwerte!J75,SUM(F19:F20)))</f>
        <v>1E-8</v>
      </c>
      <c r="G21" s="1672">
        <f>IF(minergiea,IF(BioSolar,15,0.00000001),IF(minergiep,Standardwerte!J76,SUM(G19:G20)))</f>
        <v>1E-8</v>
      </c>
      <c r="H21" s="1672">
        <f>IF(minergiea,IF(BioSolar,15,0.00000001),IF(minergiep,Standardwerte!J77,SUM(H19:H20)))</f>
        <v>1E-8</v>
      </c>
      <c r="I21" s="687"/>
      <c r="J21" s="703">
        <f>IF(EBF&gt;0,(E21*_EBF1+F21*_EBF2+G21*_EBF3+H21*_EBF4)/EBF,)</f>
        <v>0</v>
      </c>
    </row>
    <row r="22" spans="1:10" ht="12.75" customHeight="1">
      <c r="A22" s="343"/>
    </row>
    <row r="23" spans="1:10" ht="12.75" customHeight="1">
      <c r="A23" s="343"/>
      <c r="B23" s="158" t="s">
        <v>707</v>
      </c>
      <c r="C23" s="693" t="s">
        <v>567</v>
      </c>
      <c r="D23" s="696" t="s">
        <v>710</v>
      </c>
      <c r="E23" s="1906" t="s">
        <v>712</v>
      </c>
      <c r="F23" s="1907"/>
      <c r="G23" s="1908" t="s">
        <v>713</v>
      </c>
      <c r="H23" s="1909"/>
      <c r="I23" s="155"/>
      <c r="J23" s="694" t="s">
        <v>716</v>
      </c>
    </row>
    <row r="24" spans="1:10" ht="12.75" customHeight="1">
      <c r="A24" s="343"/>
      <c r="B24" s="671" t="s">
        <v>708</v>
      </c>
      <c r="C24" s="237" t="s">
        <v>709</v>
      </c>
      <c r="D24" s="237" t="s">
        <v>711</v>
      </c>
      <c r="E24" s="690" t="s">
        <v>1621</v>
      </c>
      <c r="F24" s="237" t="s">
        <v>1622</v>
      </c>
      <c r="G24" s="1121" t="s">
        <v>714</v>
      </c>
      <c r="H24" s="237" t="s">
        <v>715</v>
      </c>
      <c r="I24" s="153"/>
      <c r="J24" s="695" t="s">
        <v>406</v>
      </c>
    </row>
    <row r="25" spans="1:10" ht="12.75" customHeight="1">
      <c r="A25" s="343" t="s">
        <v>1532</v>
      </c>
      <c r="B25" s="1654" t="str">
        <f>IF(_typ1=1,"",Standardwerte!U63)</f>
        <v/>
      </c>
      <c r="C25" s="209" t="str">
        <f>IF(WirkungsgradA&lt;&gt;"",IF(WirkungsgradA&gt;25,WirkungsgradA/100,WirkungsgradA),"")</f>
        <v/>
      </c>
      <c r="D25" s="209">
        <f>IF(AND(_typ1&gt;34,_typ1&lt;37),IF(Produzione!G15&gt;0,Produzione!G15,INDEX(Standardwerte!$X$6:$X$51,_typ1,1)),INDEX(Standardwerte!$X$6:$X$51,_typ1,1))</f>
        <v>0</v>
      </c>
      <c r="E25" s="691">
        <f>Produzione!K16/100</f>
        <v>0</v>
      </c>
      <c r="F25" s="688">
        <f>IF(qw&gt;0,Produzione!L16/100,)</f>
        <v>0</v>
      </c>
      <c r="G25" s="230">
        <f>IF(Produzione!I16&lt;&gt;"",Produzione!I16*2,0)</f>
        <v>0</v>
      </c>
      <c r="H25" s="689">
        <f>EndenergieA*_gew1</f>
        <v>0</v>
      </c>
      <c r="I25" s="146"/>
      <c r="J25" s="701">
        <f>WaermebedarfA</f>
        <v>0</v>
      </c>
    </row>
    <row r="26" spans="1:10" ht="12.75" customHeight="1">
      <c r="A26" s="343" t="s">
        <v>1533</v>
      </c>
      <c r="B26" s="1655" t="str">
        <f>IF(_typ2=1,"",Standardwerte!U64)</f>
        <v/>
      </c>
      <c r="C26" s="209" t="str">
        <f>IF(WirkungsgradB&lt;&gt;"",IF(WirkungsgradB&gt;25,WirkungsgradB/100,WirkungsgradB),"")</f>
        <v/>
      </c>
      <c r="D26" s="209">
        <f>IF(AND(_typ2&gt;34,_typ2&lt;37),IF(Produzione!G29&gt;0,Produzione!G29,INDEX(Standardwerte!$X$6:$X$51,_typ2,1)),INDEX(Standardwerte!$X$6:$X$51,_typ2,1))</f>
        <v>0</v>
      </c>
      <c r="E26" s="692">
        <f>Produzione!K30/100</f>
        <v>0</v>
      </c>
      <c r="F26" s="294">
        <f>IF(qw&gt;0,Produzione!L30/100,)</f>
        <v>0</v>
      </c>
      <c r="G26" s="295">
        <f>IF(Produzione!I30&lt;&gt;"",Produzione!I30*2,0)</f>
        <v>0</v>
      </c>
      <c r="H26" s="296">
        <f>EndenergieB*_gew2</f>
        <v>0</v>
      </c>
      <c r="I26" s="154"/>
      <c r="J26" s="90">
        <f>WaermebedarfB</f>
        <v>0</v>
      </c>
    </row>
    <row r="27" spans="1:10" ht="12.75" customHeight="1">
      <c r="A27" s="343" t="s">
        <v>1534</v>
      </c>
      <c r="B27" s="1655" t="str">
        <f>IF(_typ3=1,"",Standardwerte!U65)</f>
        <v/>
      </c>
      <c r="C27" s="209" t="str">
        <f>IF(WirkungsgradC&lt;&gt;"",IF(WirkungsgradC&gt;25,WirkungsgradC/100,WirkungsgradC),"")</f>
        <v/>
      </c>
      <c r="D27" s="209">
        <f>IF(AND(_typ3&gt;34,_typ3&lt;37),IF(Produzione!G43&gt;0,Produzione!G43,INDEX(Standardwerte!$X$6:$X$51,_typ3,1)),INDEX(Standardwerte!$X$6:$X$51,_typ3,1))</f>
        <v>0</v>
      </c>
      <c r="E27" s="692">
        <f>Produzione!K44/100</f>
        <v>0</v>
      </c>
      <c r="F27" s="294">
        <f>IF(qw&gt;0,Produzione!L44/100,)</f>
        <v>0</v>
      </c>
      <c r="G27" s="295">
        <f>IF(Produzione!I44&lt;&gt;"",Produzione!I44*2,0)</f>
        <v>0</v>
      </c>
      <c r="H27" s="296">
        <f>EndenergieC*_gew3</f>
        <v>0</v>
      </c>
      <c r="I27" s="154"/>
      <c r="J27" s="90">
        <f>WaermebedarfC</f>
        <v>0</v>
      </c>
    </row>
    <row r="28" spans="1:10" ht="12.75" customHeight="1">
      <c r="A28" s="343" t="s">
        <v>1535</v>
      </c>
      <c r="B28" s="1655" t="str">
        <f>IF(_typ4=1,"",Standardwerte!U66)</f>
        <v/>
      </c>
      <c r="C28" s="209" t="str">
        <f>IF(WirkungsgradD&lt;&gt;"",IF(WirkungsgradD&gt;25,WirkungsgradD/100,WirkungsgradD),"")</f>
        <v/>
      </c>
      <c r="D28" s="209">
        <f>IF(AND(_typ4&gt;34,_typ4&lt;37),IF(Produzione!G57&gt;0,Produzione!G57,INDEX(Standardwerte!$X$6:$X$51,_typ4,1)),INDEX(Standardwerte!$X$6:$X$51,_typ4,1))</f>
        <v>0</v>
      </c>
      <c r="E28" s="692">
        <f>Produzione!K58/100</f>
        <v>0</v>
      </c>
      <c r="F28" s="294">
        <f>IF(qw&gt;0,Produzione!L58/100,)</f>
        <v>0</v>
      </c>
      <c r="G28" s="295">
        <f>IF(Produzione!I58&lt;&gt;"",Produzione!I58*2,0)</f>
        <v>0</v>
      </c>
      <c r="H28" s="296">
        <f>EndenergieD*_gew4</f>
        <v>0</v>
      </c>
      <c r="I28" s="134"/>
      <c r="J28" s="90">
        <f>WaermebedarfD</f>
        <v>0</v>
      </c>
    </row>
    <row r="29" spans="1:10" ht="12.75" customHeight="1">
      <c r="A29" s="343" t="s">
        <v>1536</v>
      </c>
      <c r="B29" s="942" t="str">
        <f>IF(OR(Produzione!K66&gt;0,Produzione!L66&gt;0),"Riporto di altra produzione di calore","")</f>
        <v/>
      </c>
      <c r="C29" s="940"/>
      <c r="D29" s="838">
        <f>IF(B29&lt;&gt;"",2,0)</f>
        <v>0</v>
      </c>
      <c r="E29" s="692" t="str">
        <f>IF(B29="","",Produzione!K66/100)</f>
        <v/>
      </c>
      <c r="F29" s="294">
        <f>IF(qw&gt;0,IF(B29="","",Produzione!L66/100),)</f>
        <v>0</v>
      </c>
      <c r="G29" s="295">
        <f>StrombedarfE*2</f>
        <v>0</v>
      </c>
      <c r="H29" s="296">
        <f>EndenergieE</f>
        <v>0</v>
      </c>
      <c r="I29" s="134"/>
      <c r="J29" s="90">
        <f>WaermebedarfE</f>
        <v>0</v>
      </c>
    </row>
    <row r="30" spans="1:10" ht="12.75" customHeight="1">
      <c r="A30" s="343" t="s">
        <v>1537</v>
      </c>
      <c r="B30" s="1212" t="s">
        <v>355</v>
      </c>
      <c r="C30" s="941"/>
      <c r="D30" s="209">
        <f>IF(EBF&gt;0,2,)</f>
        <v>0</v>
      </c>
      <c r="E30" s="180"/>
      <c r="F30" s="181"/>
      <c r="G30" s="210">
        <f>Qe*D30</f>
        <v>0</v>
      </c>
      <c r="H30" s="296"/>
      <c r="I30" s="146"/>
      <c r="J30" s="90"/>
    </row>
    <row r="31" spans="1:10" ht="12.75" customHeight="1">
      <c r="A31" s="343" t="s">
        <v>1538</v>
      </c>
      <c r="B31" s="942" t="str">
        <f>IF(OR(minergiep,minergiea),"Elettrico per consumi accessori e climat.","Corrente per climatizzazione")</f>
        <v>Elettrico per consumi accessori e climat.</v>
      </c>
      <c r="C31" s="941"/>
      <c r="D31" s="697">
        <f>IF(E_Qk=0,0,2)</f>
        <v>0</v>
      </c>
      <c r="E31" s="180"/>
      <c r="F31" s="336"/>
      <c r="G31" s="210">
        <f>E_Qk*D31</f>
        <v>0</v>
      </c>
      <c r="H31" s="296"/>
      <c r="I31" s="146"/>
      <c r="J31" s="702"/>
    </row>
    <row r="32" spans="1:10" ht="12.75" customHeight="1">
      <c r="A32" s="343" t="s">
        <v>1539</v>
      </c>
      <c r="B32" s="337" t="s">
        <v>717</v>
      </c>
      <c r="C32" s="700"/>
      <c r="D32" s="699"/>
      <c r="E32" s="837">
        <f>SUM(E25:E31)</f>
        <v>0</v>
      </c>
      <c r="F32" s="837">
        <f>SUM(F25:F31)</f>
        <v>0</v>
      </c>
      <c r="G32" s="339">
        <f>SUM(G25:G31)</f>
        <v>0</v>
      </c>
      <c r="H32" s="339">
        <f>SUM(H25:H31)</f>
        <v>0</v>
      </c>
      <c r="I32" s="338"/>
      <c r="J32" s="703">
        <f>SUM(J25:J31)</f>
        <v>0</v>
      </c>
    </row>
    <row r="33" spans="1:11" ht="12.75" customHeight="1">
      <c r="D33" s="1029">
        <f>IF(OR(OR(OR(_typ1=15,_typ2=15,_typ3=15,_typ4=15))),"Ponderazione della frazione elettrica dell'accoppiamento termo-energetico = -2,0",)</f>
        <v>0</v>
      </c>
      <c r="E33" s="1905" t="str">
        <f>IF(AND(E32=0,F32=0),"",IF(OR(E32&lt;0.995,AND(F32&lt;0.995,qw&gt;0)),"Fabbisogno non coperto",""))</f>
        <v/>
      </c>
      <c r="F33" s="1905"/>
    </row>
    <row r="34" spans="1:11" ht="12.75" customHeight="1">
      <c r="A34" s="343"/>
      <c r="B34" s="238" t="s">
        <v>718</v>
      </c>
      <c r="C34" s="221"/>
      <c r="D34" s="221"/>
      <c r="E34" s="1880" t="s">
        <v>617</v>
      </c>
      <c r="F34" s="1882"/>
      <c r="G34" s="1880" t="s">
        <v>1730</v>
      </c>
      <c r="H34" s="1881"/>
      <c r="I34" s="239"/>
      <c r="J34" s="1213" t="s">
        <v>356</v>
      </c>
    </row>
    <row r="35" spans="1:11" ht="12.75" customHeight="1">
      <c r="A35" s="343" t="s">
        <v>1540</v>
      </c>
      <c r="B35" s="130" t="str">
        <f>IF(Primaeranforderung=0,"","Requisito primario involucro dell'edificio")</f>
        <v/>
      </c>
      <c r="C35" s="155"/>
      <c r="E35" s="287" t="str">
        <f>IF(Primaeranforderung&gt;0,Primaeranforderung,"")</f>
        <v/>
      </c>
      <c r="F35" s="288" t="str">
        <f>IF(Primaeranforderung=0,""," kWh/m2")</f>
        <v/>
      </c>
      <c r="G35" s="287" t="str">
        <f>IF(Primaeranforderung=0,"",IF(EBF&gt;0,Zonen_vollständig*qhs_vollständig*(Primaer1*_qhs1*Dati!E15+Primaer2*_qhs2*Dati!F15+Primaer3*_qhs3*Dati!G15+Primaer4*_qhs4*Dati!H15)/(Primaer1*Dati!E15+Primaer2*Dati!F15+Primaer3*Dati!G15+Primaer4*Dati!H15)/3.6,))</f>
        <v/>
      </c>
      <c r="H35" s="1437" t="str">
        <f>IF(Primaeranforderung=0,""," kWh/m2")</f>
        <v/>
      </c>
      <c r="I35" s="155"/>
      <c r="J35" s="240" t="str">
        <f>IF(Primaeranforderung=0,"",IF(AND(G35=0,E35=0),"",IF(OR(G35=0,E35=0),"No",IF(G35&lt;=E35,IF(nurBadnutzung,"Si",IF(E32&lt;0.995,"No","Si")),"No"))))</f>
        <v/>
      </c>
      <c r="K35" s="215" t="e">
        <f>IF(minergiea,0.9*G35/E35,)</f>
        <v>#VALUE!</v>
      </c>
    </row>
    <row r="36" spans="1:11" ht="12.75" customHeight="1">
      <c r="A36" s="343" t="s">
        <v>111</v>
      </c>
      <c r="B36" s="1064" t="str">
        <f>IF(minergiea,"Valore limite indice MINERGIE - A",IF(minergiep,"Valore limite indice MINERGIE - P","Valore limite indice MINERGIE"))</f>
        <v>Valore limite indice MINERGIE - A</v>
      </c>
      <c r="C36" s="146"/>
      <c r="D36" s="1065" t="str">
        <f>IF(BadMisch,"senza piscina coperta",IF(AND(E32=0,F32=0),"",IF(OR(E32&lt;0.995,AND(F32&lt;0.995,qw&gt;0)),"Fabbisogno non coperto","")))</f>
        <v/>
      </c>
      <c r="E36" s="1066">
        <f>IF(minergiea,J21,IF(nurBadnutzung,"",GrenzwertMINERGIE))</f>
        <v>0</v>
      </c>
      <c r="F36" s="1067" t="s">
        <v>266</v>
      </c>
      <c r="G36" s="1066">
        <f>IF(nurBadnutzung,"",IF(AND(qh&gt;0,Zonen_vollständig*qh_vollständig=1),IF(OR(WWBonus,WWMIN1,WWMIN2,WWMIN3,WWMIN4),IF(OR(DeckungsgradHeizung&lt;99.5,DeckungsgradHeizung&gt;101,DeckungsgradWW&gt;101),,G32+H32),IF(OR(DeckungsgradHeizung&lt;99.5,DeckungsgradHeizung&gt;101,DeckungsgradWW&gt;101),,G32+H32)),0))</f>
        <v>0</v>
      </c>
      <c r="H36" s="1438" t="s">
        <v>266</v>
      </c>
      <c r="I36" s="146"/>
      <c r="J36" s="219" t="str">
        <f>IF(nurBadnutzung,"",IF(AND(MINERGIE_Wert=0,E36=0),"",IF(MINERGIE_Wert=0,"No",IF(G36&lt;=E36,IF(OR(E32&lt;0.995,AND(F32&lt;0.995,qw&gt;0)),"No","Si"),"No"))))</f>
        <v/>
      </c>
    </row>
    <row r="37" spans="1:11" ht="12.75" customHeight="1">
      <c r="A37" s="343" t="s">
        <v>1541</v>
      </c>
      <c r="B37" s="1064" t="s">
        <v>681</v>
      </c>
      <c r="C37" s="146"/>
      <c r="D37" s="146"/>
      <c r="E37" s="1066"/>
      <c r="F37" s="1067"/>
      <c r="G37" s="1066"/>
      <c r="H37" s="1438"/>
      <c r="I37" s="146"/>
      <c r="J37" s="219" t="str">
        <f>IF(Waermeschutz,"Si","No")</f>
        <v>No</v>
      </c>
    </row>
    <row r="38" spans="1:11" ht="12.75" customHeight="1">
      <c r="A38" s="343" t="s">
        <v>1542</v>
      </c>
      <c r="B38" s="150" t="str">
        <f>IF(minergiea,"Grenzwert Graue Energie",IF(AND(minergiep=TRUE,Luftheizung),"Spezifischer Wärmeleistungsbedarf-MP",""))</f>
        <v>Grenzwert Graue Energie</v>
      </c>
      <c r="C38" s="150"/>
      <c r="D38" s="150"/>
      <c r="E38" s="1062" t="str">
        <f>IF(AND(minergiea,EBF&gt;0),Grau_Grenz,IF(AND(minergiep=TRUE,Luftheizung),qhmax,""))</f>
        <v/>
      </c>
      <c r="F38" s="150" t="str">
        <f>IF(minergiea," kWh/m2",IF(AND(minergiep=TRUE,Luftheizung),"W/m2",""))</f>
        <v xml:space="preserve"> kWh/m2</v>
      </c>
      <c r="G38" s="1062">
        <f>IF(minergiea,Grau/3.6+Kompensation_PV,IF(AND(Luftheizung,minergiep=TRUE),IF(EBF&gt;0,MAX(F_s1,F_s2,F_s3,F_s4),""),""))</f>
        <v>0</v>
      </c>
      <c r="H38" s="150" t="str">
        <f>IF(minergiea,"kWh/m2",IF(AND(minergiep=TRUE,Luftheizung)," W/m2",""))</f>
        <v>kWh/m2</v>
      </c>
      <c r="I38" s="146"/>
      <c r="J38" s="1063" t="str">
        <f>IF(AND(minergiea,E9="vecchia costr.",Dati!E21=0),"Si",IF(AND(E38=0,G38=""),"",IF(OR(AND(minergiea,(F_s1+F_s2+F_s3+F_s4)&gt;0),AND(minergiep=TRUE,Luftheizung)),IF(E38&lt;&gt;"",IF(G38&lt;=E38,"Si","No"),"No"),IF(AND(minergiea,(F_s1+F_s2+F_s3+F_s4)=0),"No",""))))</f>
        <v>No</v>
      </c>
    </row>
    <row r="39" spans="1:11" ht="12.75" customHeight="1">
      <c r="A39" s="343"/>
      <c r="B39" s="259" t="s">
        <v>616</v>
      </c>
      <c r="C39" s="1122" t="s">
        <v>719</v>
      </c>
      <c r="D39" s="332"/>
      <c r="E39" s="333" t="b">
        <v>1</v>
      </c>
      <c r="F39" s="1214" t="s">
        <v>404</v>
      </c>
      <c r="G39" s="334"/>
      <c r="H39" s="335"/>
      <c r="I39" s="221"/>
      <c r="J39" s="263"/>
    </row>
    <row r="40" spans="1:11" ht="12.75" customHeight="1">
      <c r="A40" s="343" t="s">
        <v>1543</v>
      </c>
      <c r="B40" s="235" t="str">
        <f>Dati!B46</f>
        <v>Elettrodomestici</v>
      </c>
      <c r="C40" s="278" t="str">
        <f>IF(B40="","",IF(AND(Dati!L46=TRUE,Dati!M46=FALSE),"Si","No"))</f>
        <v>No</v>
      </c>
      <c r="D40" s="279"/>
      <c r="E40" s="159"/>
      <c r="F40" s="149" t="str">
        <f>IF(B40="","","Se disponibili dati tecnici degli elettrodomestici")</f>
        <v>Se disponibili dati tecnici degli elettrodomestici</v>
      </c>
      <c r="G40" s="152"/>
      <c r="H40" s="258"/>
      <c r="I40" s="155"/>
      <c r="J40" s="131"/>
    </row>
    <row r="41" spans="1:11" ht="12.75" customHeight="1">
      <c r="A41" s="343" t="s">
        <v>1544</v>
      </c>
      <c r="B41" s="235" t="str">
        <f>Dati!B47</f>
        <v/>
      </c>
      <c r="C41" s="280" t="str">
        <f>IF(B41="","",IF(Dati!L47=TRUE,"Si","No"))</f>
        <v/>
      </c>
      <c r="D41" s="281"/>
      <c r="E41" s="146"/>
      <c r="F41" s="149" t="str">
        <f>IF(B41="","",IF(Dati!L47=FALSE,"verifica secondo SIA 380/4 o motivazione","verifica secondo SIA 380/4"))</f>
        <v/>
      </c>
      <c r="G41" s="150"/>
      <c r="H41" s="156"/>
      <c r="I41" s="146"/>
      <c r="J41" s="132"/>
    </row>
    <row r="42" spans="1:11" ht="12.75" customHeight="1">
      <c r="A42" s="343" t="s">
        <v>1545</v>
      </c>
      <c r="B42" s="235" t="str">
        <f>Dati!B48</f>
        <v/>
      </c>
      <c r="C42" s="280" t="str">
        <f>IF(B42="","",IF(Dati!L48=TRUE,"Si","No"))</f>
        <v/>
      </c>
      <c r="D42" s="281"/>
      <c r="E42" s="146"/>
      <c r="F42" s="149" t="str">
        <f>IF(B42="","","verifica con schema di principio")</f>
        <v/>
      </c>
      <c r="G42" s="150"/>
      <c r="H42" s="156"/>
      <c r="I42" s="146"/>
      <c r="J42" s="132"/>
    </row>
    <row r="43" spans="1:11" ht="12.75" customHeight="1">
      <c r="A43" s="343" t="s">
        <v>1546</v>
      </c>
      <c r="B43" s="235" t="str">
        <f>Dati!B49</f>
        <v/>
      </c>
      <c r="C43" s="280" t="str">
        <f>IF(B43="","",IF(Dati!L49=TRUE,"Si","No"))</f>
        <v/>
      </c>
      <c r="D43" s="281"/>
      <c r="E43" s="146"/>
      <c r="F43" s="149" t="str">
        <f>IF(B43="","",IF(Dati!L49=TRUE,"previsto calore residuo","nessun calore residuo è rigettato"))</f>
        <v/>
      </c>
      <c r="G43" s="150"/>
      <c r="H43" s="156"/>
      <c r="I43" s="146"/>
      <c r="J43" s="132"/>
    </row>
    <row r="44" spans="1:11" ht="12.75" customHeight="1">
      <c r="A44" s="343" t="s">
        <v>1547</v>
      </c>
      <c r="B44" s="235" t="str">
        <f>Dati!B50</f>
        <v/>
      </c>
      <c r="C44" s="280" t="str">
        <f>IF(B44="","",IF(Dati!L50=TRUE,"Si","No"))</f>
        <v/>
      </c>
      <c r="D44" s="281"/>
      <c r="E44" s="146"/>
      <c r="F44" s="149" t="str">
        <f>IF(B44="","",IF(Dati!L50=TRUE,"previsto calore residuo","nessun calore residuo è rigettato"))</f>
        <v/>
      </c>
      <c r="G44" s="150"/>
      <c r="H44" s="156"/>
      <c r="I44" s="146"/>
      <c r="J44" s="132"/>
    </row>
    <row r="45" spans="1:11" ht="12.75" customHeight="1">
      <c r="A45" s="343" t="s">
        <v>1548</v>
      </c>
      <c r="B45" s="235" t="str">
        <f>Dati!B51</f>
        <v/>
      </c>
      <c r="C45" s="280" t="str">
        <f>IF(B45="","",IF(Dati!L51=TRUE,"Si","No"))</f>
        <v/>
      </c>
      <c r="D45" s="281"/>
      <c r="E45" s="146"/>
      <c r="F45" s="149" t="str">
        <f>IF(B45="","",IF(Dati!L51=TRUE,"Nachweis mit Prinzipschema, Deklaration Kälte","Motivazione"))</f>
        <v/>
      </c>
      <c r="G45" s="281"/>
      <c r="H45" s="150"/>
      <c r="I45" s="146"/>
      <c r="J45" s="132"/>
    </row>
    <row r="46" spans="1:11" ht="12.75" customHeight="1">
      <c r="A46" s="343" t="s">
        <v>1549</v>
      </c>
      <c r="B46" s="235" t="str">
        <f>IF(Dati!B52="","",Dati!B52)</f>
        <v/>
      </c>
      <c r="C46" s="280" t="str">
        <f>IF(B46="","",IF(Dati!L52=TRUE,"Si","No"))</f>
        <v/>
      </c>
      <c r="D46" s="281"/>
      <c r="E46" s="146"/>
      <c r="F46" s="149" t="str">
        <f>IF(B46="","","Verifica")</f>
        <v/>
      </c>
      <c r="G46" s="281"/>
      <c r="H46" s="150"/>
      <c r="I46" s="146"/>
      <c r="J46" s="132"/>
    </row>
    <row r="47" spans="1:11" ht="12.75" customHeight="1">
      <c r="A47" s="343" t="s">
        <v>1550</v>
      </c>
      <c r="B47" s="282" t="str">
        <f>IF(Dati!B53="","",Dati!B53)</f>
        <v>Impermeabilità all'aria dell'involucro</v>
      </c>
      <c r="C47" s="283" t="str">
        <f>IF(B47="","",IF(AND(Dati!L53=TRUE,Dati!M53=FALSE),"Si","No"))</f>
        <v>No</v>
      </c>
      <c r="D47" s="153"/>
      <c r="E47" s="153"/>
      <c r="F47" s="284" t="str">
        <f>IF(B47="","","Ermeticità all'aria - Protocollo con valori di verifica")</f>
        <v>Ermeticità all'aria - Protocollo con valori di verifica</v>
      </c>
      <c r="G47" s="285"/>
      <c r="H47" s="286"/>
      <c r="I47" s="153"/>
      <c r="J47" s="133"/>
    </row>
    <row r="48" spans="1:11" ht="12.75" customHeight="1"/>
    <row r="49" spans="1:11" ht="12.75" customHeight="1">
      <c r="B49" s="1215" t="str">
        <f>IF(minergiea,"Allegati",IF(minergiep,"Allegati secondo 'Promemoria per i richiedenti' vedi","Allegati (sono da allegare tutti gli annessi della col. sin.)"))</f>
        <v>Allegati</v>
      </c>
      <c r="C49" s="161"/>
      <c r="D49" s="161"/>
      <c r="E49" s="155"/>
      <c r="F49" s="1383"/>
      <c r="G49" s="1216" t="str">
        <f>IF(minergiep,"","Apporre visto a ciò che corrisponde")</f>
        <v>Apporre visto a ciò che corrisponde</v>
      </c>
      <c r="H49" s="160"/>
      <c r="I49" s="155"/>
      <c r="J49" s="131"/>
    </row>
    <row r="50" spans="1:11" ht="12.75" customHeight="1">
      <c r="A50" s="343"/>
      <c r="B50" s="1890" t="s">
        <v>1261</v>
      </c>
      <c r="C50" s="1891"/>
      <c r="D50" s="1891"/>
      <c r="E50" s="1891"/>
      <c r="F50" s="153"/>
      <c r="G50" s="153"/>
      <c r="H50" s="153"/>
      <c r="I50" s="153"/>
      <c r="J50" s="133"/>
    </row>
    <row r="51" spans="1:11" ht="12.75" customHeight="1">
      <c r="A51" s="343" t="s">
        <v>1551</v>
      </c>
      <c r="B51" s="1897" t="str">
        <f>IF(minergiep,"","                Verifica fabbisogno SIA 380/1 con ricambio aria standard")</f>
        <v xml:space="preserve">                Verifica fabbisogno SIA 380/1 con ricambio aria standard</v>
      </c>
      <c r="C51" s="1888"/>
      <c r="D51" s="1888"/>
      <c r="E51" s="1889"/>
      <c r="F51" s="277"/>
      <c r="G51" s="1888" t="str">
        <f>IF(minergiea,"Nachweis Spezifische Graue Energie",IF(minergiep,"","Dati tecnici apparecchio d'aerazione"))</f>
        <v>Nachweis Spezifische Graue Energie</v>
      </c>
      <c r="H51" s="1888"/>
      <c r="I51" s="1888"/>
      <c r="J51" s="1889"/>
    </row>
    <row r="52" spans="1:11" ht="12.75" customHeight="1">
      <c r="A52" s="343" t="s">
        <v>1552</v>
      </c>
      <c r="B52" s="1902" t="str">
        <f>IF(minergiep,"","                Verifica fabbisogno SIA 380/1 con ricambio d'aria determinante")</f>
        <v xml:space="preserve">                Verifica fabbisogno SIA 380/1 con ricambio d'aria determinante</v>
      </c>
      <c r="C52" s="1903"/>
      <c r="D52" s="1903"/>
      <c r="E52" s="1904"/>
      <c r="F52" s="235"/>
      <c r="G52" s="1895" t="str">
        <f>IF(minergiea,"Beiblatt Deklaration Haushaltsgeräte",IF(minergiep,"","Dati tecnici produzione calore"))</f>
        <v>Beiblatt Deklaration Haushaltsgeräte</v>
      </c>
      <c r="H52" s="1895"/>
      <c r="I52" s="1895"/>
      <c r="J52" s="1896"/>
    </row>
    <row r="53" spans="1:11" ht="12.75" customHeight="1">
      <c r="A53" s="343" t="s">
        <v>1553</v>
      </c>
      <c r="B53" s="1883" t="str">
        <f>IF(minergiep,"","                Lista degli elementi costruttivi e valori U, finestre incluse")</f>
        <v xml:space="preserve">                Lista degli elementi costruttivi e valori U, finestre incluse</v>
      </c>
      <c r="C53" s="1884"/>
      <c r="D53" s="1884"/>
      <c r="E53" s="1885"/>
      <c r="F53" s="235"/>
      <c r="G53" s="1895" t="str">
        <f>IF(minergiea,"Berechnungen Wärmeerzeuger",IF(minergiep,"","Calcolo esterno impianto d'aerazione"))</f>
        <v>Berechnungen Wärmeerzeuger</v>
      </c>
      <c r="H53" s="1895"/>
      <c r="I53" s="1895"/>
      <c r="J53" s="1896"/>
    </row>
    <row r="54" spans="1:11" ht="12.75" customHeight="1">
      <c r="A54" s="343" t="s">
        <v>1554</v>
      </c>
      <c r="B54" s="1883" t="str">
        <f>IF(minergiep,"","                Calcolo SRE, volume e superficie involucro dell'edificio")</f>
        <v xml:space="preserve">                Calcolo SRE, volume e superficie involucro dell'edificio</v>
      </c>
      <c r="C54" s="1884"/>
      <c r="D54" s="1884"/>
      <c r="E54" s="1885"/>
      <c r="F54" s="235"/>
      <c r="G54" s="1895" t="str">
        <f>IF(minergiea,"Berechnungen Photovoltaik",IF(minergiep,"","Calcolo esterno per la climatizzazione"))</f>
        <v>Berechnungen Photovoltaik</v>
      </c>
      <c r="H54" s="1895"/>
      <c r="I54" s="1895"/>
      <c r="J54" s="1896"/>
    </row>
    <row r="55" spans="1:11" ht="12.75" customHeight="1">
      <c r="A55" s="343" t="s">
        <v>1555</v>
      </c>
      <c r="B55" s="1883" t="str">
        <f>IF(minergiep,"","                Piani 1:100 con denominazione degli elementi costruttivi, dettagli")</f>
        <v xml:space="preserve">                Piani 1:100 con denominazione degli elementi costruttivi, dettagli</v>
      </c>
      <c r="C55" s="1884"/>
      <c r="D55" s="1884"/>
      <c r="E55" s="1885"/>
      <c r="F55" s="235"/>
      <c r="G55" s="1900" t="str">
        <f>IF(minergiep,"","Fogli di calcolo 'elettr. per servizi ausiliari'")</f>
        <v>Fogli di calcolo 'elettr. per servizi ausiliari'</v>
      </c>
      <c r="H55" s="1900"/>
      <c r="I55" s="1900"/>
      <c r="J55" s="1901"/>
    </row>
    <row r="56" spans="1:11" ht="12.75" customHeight="1">
      <c r="A56" s="343" t="s">
        <v>1556</v>
      </c>
      <c r="B56" s="1883" t="str">
        <f>IF(minergiep,"","                Schema riscaldamento e acqua calda")</f>
        <v xml:space="preserve">                Schema riscaldamento e acqua calda</v>
      </c>
      <c r="C56" s="1884"/>
      <c r="D56" s="1884"/>
      <c r="E56" s="1885"/>
      <c r="F56" s="235"/>
      <c r="G56" s="1886" t="str">
        <f>IF(minergiea,IF(BioSolar,"Deklaration Gasbezug ",""),IF(minergiep,"",IF(B41="","",IF(Dati!L47=TRUE,"","Motivazione deroga illuminazione"))))</f>
        <v/>
      </c>
      <c r="H56" s="1886"/>
      <c r="I56" s="1886"/>
      <c r="J56" s="1887"/>
    </row>
    <row r="57" spans="1:11" ht="12.75" customHeight="1">
      <c r="A57" s="343" t="s">
        <v>611</v>
      </c>
      <c r="B57" s="1892" t="str">
        <f>IF(minergiep,"","                Schema dell'impianto aerazione")</f>
        <v xml:space="preserve">                Schema dell'impianto aerazione</v>
      </c>
      <c r="C57" s="1893"/>
      <c r="D57" s="1893"/>
      <c r="E57" s="1894"/>
      <c r="F57" s="282"/>
      <c r="G57" s="1898" t="str">
        <f>IF(minergiea,IF(Nachzertifizierung,"vollständiger ursprünglicher Antrag",""),IF(minergiep,"","benessere termico estivo (SIA 382/1)"))</f>
        <v/>
      </c>
      <c r="H57" s="1898"/>
      <c r="I57" s="1898"/>
      <c r="J57" s="1899"/>
    </row>
    <row r="58" spans="1:11">
      <c r="A58" s="1402"/>
      <c r="K58" s="129"/>
    </row>
    <row r="59" spans="1:11">
      <c r="A59" s="1402"/>
      <c r="K59" s="129"/>
    </row>
  </sheetData>
  <sheetProtection algorithmName="SHA-512" hashValue="ZrkEoMxhKGG70YceyWnnfHvMBN8D9/08vB3jp87poDaQpSAqk40zyGAmVLyj4b+GaOv2F+64NxZ7Y9ml7XzRXw==" saltValue="EX/StgHrwRPlf3W/vYTj9g==" spinCount="100000" sheet="1" objects="1" scenarios="1"/>
  <mergeCells count="23">
    <mergeCell ref="E33:F33"/>
    <mergeCell ref="B3:J3"/>
    <mergeCell ref="B4:J4"/>
    <mergeCell ref="B5:J5"/>
    <mergeCell ref="E23:F23"/>
    <mergeCell ref="G23:H23"/>
    <mergeCell ref="B57:E57"/>
    <mergeCell ref="G53:J53"/>
    <mergeCell ref="G54:J54"/>
    <mergeCell ref="B51:E51"/>
    <mergeCell ref="G57:J57"/>
    <mergeCell ref="B56:E56"/>
    <mergeCell ref="B53:E53"/>
    <mergeCell ref="G55:J55"/>
    <mergeCell ref="B55:E55"/>
    <mergeCell ref="B52:E52"/>
    <mergeCell ref="G52:J52"/>
    <mergeCell ref="G34:H34"/>
    <mergeCell ref="E34:F34"/>
    <mergeCell ref="B54:E54"/>
    <mergeCell ref="G56:J56"/>
    <mergeCell ref="G51:J51"/>
    <mergeCell ref="B50:E50"/>
  </mergeCells>
  <phoneticPr fontId="5" type="noConversion"/>
  <conditionalFormatting sqref="I38">
    <cfRule type="expression" dxfId="12" priority="1" stopIfTrue="1">
      <formula>minergiep=FALSE</formula>
    </cfRule>
  </conditionalFormatting>
  <conditionalFormatting sqref="B50:E50">
    <cfRule type="expression" dxfId="11" priority="2" stopIfTrue="1">
      <formula>(minergiep=FALSE)</formula>
    </cfRule>
  </conditionalFormatting>
  <conditionalFormatting sqref="B38">
    <cfRule type="expression" dxfId="10" priority="3" stopIfTrue="1">
      <formula>OR(minergiea=TRUE,minergiep=TRUE)</formula>
    </cfRule>
    <cfRule type="expression" dxfId="9" priority="4" stopIfTrue="1">
      <formula>AND(minergiea=FALSE,minergiep=FALSE)</formula>
    </cfRule>
  </conditionalFormatting>
  <conditionalFormatting sqref="C38 E38 G38">
    <cfRule type="expression" dxfId="8" priority="5" stopIfTrue="1">
      <formula>AND(minergiea=FALSE,minergiep=FALSE)</formula>
    </cfRule>
  </conditionalFormatting>
  <conditionalFormatting sqref="D38 F38 H38">
    <cfRule type="expression" dxfId="7" priority="6" stopIfTrue="1">
      <formula>AND(minergiea=FALSE,minergiep=FALSE)</formula>
    </cfRule>
    <cfRule type="expression" dxfId="6" priority="7" stopIfTrue="1">
      <formula>OR(minergiea=TRUE,minergiep=TRUE)</formula>
    </cfRule>
  </conditionalFormatting>
  <conditionalFormatting sqref="J38">
    <cfRule type="expression" dxfId="5" priority="8" stopIfTrue="1">
      <formula>AND(minergiea=FALSE,minergiep=FALSE)</formula>
    </cfRule>
    <cfRule type="expression" dxfId="4" priority="9" stopIfTrue="1">
      <formula>OR(minergiea=TRUE,minergiep=TRUE)</formula>
    </cfRule>
  </conditionalFormatting>
  <pageMargins left="0.78740157480314965" right="0.59" top="0.59055118110236227" bottom="0.51" header="0.39370078740157483" footer="0.28000000000000003"/>
  <pageSetup paperSize="9" scale="94" orientation="portrait"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38" r:id="rId4" name="Check Box 26">
              <controlPr defaultSize="0" autoFill="0" autoLine="0" autoPict="0">
                <anchor moveWithCells="1" sizeWithCells="1">
                  <from>
                    <xdr:col>5</xdr:col>
                    <xdr:colOff>350520</xdr:colOff>
                    <xdr:row>47</xdr:row>
                    <xdr:rowOff>137160</xdr:rowOff>
                  </from>
                  <to>
                    <xdr:col>5</xdr:col>
                    <xdr:colOff>594360</xdr:colOff>
                    <xdr:row>49</xdr:row>
                    <xdr:rowOff>22860</xdr:rowOff>
                  </to>
                </anchor>
              </controlPr>
            </control>
          </mc:Choice>
        </mc:AlternateContent>
        <mc:AlternateContent xmlns:mc="http://schemas.openxmlformats.org/markup-compatibility/2006">
          <mc:Choice Requires="x14">
            <control shapeId="13327" r:id="rId5" name="Check Box 15">
              <controlPr defaultSize="0" autoFill="0" autoLine="0" autoPict="0">
                <anchor moveWithCells="1" sizeWithCells="1">
                  <from>
                    <xdr:col>4</xdr:col>
                    <xdr:colOff>426720</xdr:colOff>
                    <xdr:row>37</xdr:row>
                    <xdr:rowOff>121920</xdr:rowOff>
                  </from>
                  <to>
                    <xdr:col>4</xdr:col>
                    <xdr:colOff>670560</xdr:colOff>
                    <xdr:row>39</xdr:row>
                    <xdr:rowOff>7620</xdr:rowOff>
                  </to>
                </anchor>
              </controlPr>
            </control>
          </mc:Choice>
        </mc:AlternateContent>
        <mc:AlternateContent xmlns:mc="http://schemas.openxmlformats.org/markup-compatibility/2006">
          <mc:Choice Requires="x14">
            <control shapeId="13320" r:id="rId6" name="Check Box 8">
              <controlPr defaultSize="0" autoFill="0" autoLine="0" autoPict="0">
                <anchor moveWithCells="1" sizeWithCells="1">
                  <from>
                    <xdr:col>4</xdr:col>
                    <xdr:colOff>426720</xdr:colOff>
                    <xdr:row>38</xdr:row>
                    <xdr:rowOff>121920</xdr:rowOff>
                  </from>
                  <to>
                    <xdr:col>4</xdr:col>
                    <xdr:colOff>670560</xdr:colOff>
                    <xdr:row>40</xdr:row>
                    <xdr:rowOff>7620</xdr:rowOff>
                  </to>
                </anchor>
              </controlPr>
            </control>
          </mc:Choice>
        </mc:AlternateContent>
        <mc:AlternateContent xmlns:mc="http://schemas.openxmlformats.org/markup-compatibility/2006">
          <mc:Choice Requires="x14">
            <control shapeId="13379" r:id="rId7" name="Check Box 67">
              <controlPr defaultSize="0" autoFill="0" autoLine="0" autoPict="0">
                <anchor moveWithCells="1" sizeWithCells="1">
                  <from>
                    <xdr:col>4</xdr:col>
                    <xdr:colOff>426720</xdr:colOff>
                    <xdr:row>39</xdr:row>
                    <xdr:rowOff>121920</xdr:rowOff>
                  </from>
                  <to>
                    <xdr:col>4</xdr:col>
                    <xdr:colOff>670560</xdr:colOff>
                    <xdr:row>41</xdr:row>
                    <xdr:rowOff>7620</xdr:rowOff>
                  </to>
                </anchor>
              </controlPr>
            </control>
          </mc:Choice>
        </mc:AlternateContent>
        <mc:AlternateContent xmlns:mc="http://schemas.openxmlformats.org/markup-compatibility/2006">
          <mc:Choice Requires="x14">
            <control shapeId="13322" r:id="rId8" name="Check Box 10">
              <controlPr defaultSize="0" autoFill="0" autoLine="0" autoPict="0">
                <anchor moveWithCells="1" sizeWithCells="1">
                  <from>
                    <xdr:col>4</xdr:col>
                    <xdr:colOff>426720</xdr:colOff>
                    <xdr:row>40</xdr:row>
                    <xdr:rowOff>121920</xdr:rowOff>
                  </from>
                  <to>
                    <xdr:col>4</xdr:col>
                    <xdr:colOff>670560</xdr:colOff>
                    <xdr:row>42</xdr:row>
                    <xdr:rowOff>7620</xdr:rowOff>
                  </to>
                </anchor>
              </controlPr>
            </control>
          </mc:Choice>
        </mc:AlternateContent>
        <mc:AlternateContent xmlns:mc="http://schemas.openxmlformats.org/markup-compatibility/2006">
          <mc:Choice Requires="x14">
            <control shapeId="13323" r:id="rId9" name="Check Box 11">
              <controlPr defaultSize="0" autoFill="0" autoLine="0" autoPict="0">
                <anchor moveWithCells="1" sizeWithCells="1">
                  <from>
                    <xdr:col>4</xdr:col>
                    <xdr:colOff>426720</xdr:colOff>
                    <xdr:row>41</xdr:row>
                    <xdr:rowOff>121920</xdr:rowOff>
                  </from>
                  <to>
                    <xdr:col>4</xdr:col>
                    <xdr:colOff>670560</xdr:colOff>
                    <xdr:row>43</xdr:row>
                    <xdr:rowOff>7620</xdr:rowOff>
                  </to>
                </anchor>
              </controlPr>
            </control>
          </mc:Choice>
        </mc:AlternateContent>
        <mc:AlternateContent xmlns:mc="http://schemas.openxmlformats.org/markup-compatibility/2006">
          <mc:Choice Requires="x14">
            <control shapeId="13324" r:id="rId10" name="Check Box 12">
              <controlPr defaultSize="0" autoFill="0" autoLine="0" autoPict="0">
                <anchor moveWithCells="1" sizeWithCells="1">
                  <from>
                    <xdr:col>4</xdr:col>
                    <xdr:colOff>426720</xdr:colOff>
                    <xdr:row>42</xdr:row>
                    <xdr:rowOff>121920</xdr:rowOff>
                  </from>
                  <to>
                    <xdr:col>4</xdr:col>
                    <xdr:colOff>670560</xdr:colOff>
                    <xdr:row>44</xdr:row>
                    <xdr:rowOff>7620</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sizeWithCells="1">
                  <from>
                    <xdr:col>4</xdr:col>
                    <xdr:colOff>426720</xdr:colOff>
                    <xdr:row>43</xdr:row>
                    <xdr:rowOff>121920</xdr:rowOff>
                  </from>
                  <to>
                    <xdr:col>4</xdr:col>
                    <xdr:colOff>670560</xdr:colOff>
                    <xdr:row>45</xdr:row>
                    <xdr:rowOff>7620</xdr:rowOff>
                  </to>
                </anchor>
              </controlPr>
            </control>
          </mc:Choice>
        </mc:AlternateContent>
        <mc:AlternateContent xmlns:mc="http://schemas.openxmlformats.org/markup-compatibility/2006">
          <mc:Choice Requires="x14">
            <control shapeId="13326" r:id="rId12" name="Check Box 14">
              <controlPr defaultSize="0" autoFill="0" autoLine="0" autoPict="0">
                <anchor moveWithCells="1" sizeWithCells="1">
                  <from>
                    <xdr:col>4</xdr:col>
                    <xdr:colOff>426720</xdr:colOff>
                    <xdr:row>44</xdr:row>
                    <xdr:rowOff>121920</xdr:rowOff>
                  </from>
                  <to>
                    <xdr:col>4</xdr:col>
                    <xdr:colOff>670560</xdr:colOff>
                    <xdr:row>46</xdr:row>
                    <xdr:rowOff>7620</xdr:rowOff>
                  </to>
                </anchor>
              </controlPr>
            </control>
          </mc:Choice>
        </mc:AlternateContent>
        <mc:AlternateContent xmlns:mc="http://schemas.openxmlformats.org/markup-compatibility/2006">
          <mc:Choice Requires="x14">
            <control shapeId="13328" r:id="rId13" name="Check Box 16">
              <controlPr defaultSize="0" autoFill="0" autoLine="0" autoPict="0">
                <anchor moveWithCells="1" sizeWithCells="1">
                  <from>
                    <xdr:col>4</xdr:col>
                    <xdr:colOff>426720</xdr:colOff>
                    <xdr:row>45</xdr:row>
                    <xdr:rowOff>121920</xdr:rowOff>
                  </from>
                  <to>
                    <xdr:col>4</xdr:col>
                    <xdr:colOff>670560</xdr:colOff>
                    <xdr:row>47</xdr:row>
                    <xdr:rowOff>7620</xdr:rowOff>
                  </to>
                </anchor>
              </controlPr>
            </control>
          </mc:Choice>
        </mc:AlternateContent>
        <mc:AlternateContent xmlns:mc="http://schemas.openxmlformats.org/markup-compatibility/2006">
          <mc:Choice Requires="x14">
            <control shapeId="13356" r:id="rId14" name="Check Box 44">
              <controlPr defaultSize="0" autoFill="0" autoLine="0" autoPict="0">
                <anchor moveWithCells="1" sizeWithCells="1">
                  <from>
                    <xdr:col>1</xdr:col>
                    <xdr:colOff>198120</xdr:colOff>
                    <xdr:row>49</xdr:row>
                    <xdr:rowOff>121920</xdr:rowOff>
                  </from>
                  <to>
                    <xdr:col>1</xdr:col>
                    <xdr:colOff>449580</xdr:colOff>
                    <xdr:row>51</xdr:row>
                    <xdr:rowOff>45720</xdr:rowOff>
                  </to>
                </anchor>
              </controlPr>
            </control>
          </mc:Choice>
        </mc:AlternateContent>
        <mc:AlternateContent xmlns:mc="http://schemas.openxmlformats.org/markup-compatibility/2006">
          <mc:Choice Requires="x14">
            <control shapeId="13357" r:id="rId15" name="Check Box 45">
              <controlPr defaultSize="0" autoFill="0" autoLine="0" autoPict="0">
                <anchor moveWithCells="1" sizeWithCells="1">
                  <from>
                    <xdr:col>1</xdr:col>
                    <xdr:colOff>198120</xdr:colOff>
                    <xdr:row>50</xdr:row>
                    <xdr:rowOff>121920</xdr:rowOff>
                  </from>
                  <to>
                    <xdr:col>1</xdr:col>
                    <xdr:colOff>449580</xdr:colOff>
                    <xdr:row>52</xdr:row>
                    <xdr:rowOff>45720</xdr:rowOff>
                  </to>
                </anchor>
              </controlPr>
            </control>
          </mc:Choice>
        </mc:AlternateContent>
        <mc:AlternateContent xmlns:mc="http://schemas.openxmlformats.org/markup-compatibility/2006">
          <mc:Choice Requires="x14">
            <control shapeId="13358" r:id="rId16" name="Check Box 46">
              <controlPr defaultSize="0" autoFill="0" autoLine="0" autoPict="0">
                <anchor moveWithCells="1" sizeWithCells="1">
                  <from>
                    <xdr:col>1</xdr:col>
                    <xdr:colOff>198120</xdr:colOff>
                    <xdr:row>51</xdr:row>
                    <xdr:rowOff>121920</xdr:rowOff>
                  </from>
                  <to>
                    <xdr:col>1</xdr:col>
                    <xdr:colOff>449580</xdr:colOff>
                    <xdr:row>53</xdr:row>
                    <xdr:rowOff>45720</xdr:rowOff>
                  </to>
                </anchor>
              </controlPr>
            </control>
          </mc:Choice>
        </mc:AlternateContent>
        <mc:AlternateContent xmlns:mc="http://schemas.openxmlformats.org/markup-compatibility/2006">
          <mc:Choice Requires="x14">
            <control shapeId="13359" r:id="rId17" name="Check Box 47">
              <controlPr defaultSize="0" autoFill="0" autoLine="0" autoPict="0">
                <anchor moveWithCells="1" sizeWithCells="1">
                  <from>
                    <xdr:col>1</xdr:col>
                    <xdr:colOff>198120</xdr:colOff>
                    <xdr:row>52</xdr:row>
                    <xdr:rowOff>121920</xdr:rowOff>
                  </from>
                  <to>
                    <xdr:col>1</xdr:col>
                    <xdr:colOff>449580</xdr:colOff>
                    <xdr:row>54</xdr:row>
                    <xdr:rowOff>45720</xdr:rowOff>
                  </to>
                </anchor>
              </controlPr>
            </control>
          </mc:Choice>
        </mc:AlternateContent>
        <mc:AlternateContent xmlns:mc="http://schemas.openxmlformats.org/markup-compatibility/2006">
          <mc:Choice Requires="x14">
            <control shapeId="13364" r:id="rId18" name="Check Box 52">
              <controlPr defaultSize="0" autoFill="0" autoLine="0" autoPict="0">
                <anchor moveWithCells="1" sizeWithCells="1">
                  <from>
                    <xdr:col>1</xdr:col>
                    <xdr:colOff>198120</xdr:colOff>
                    <xdr:row>53</xdr:row>
                    <xdr:rowOff>121920</xdr:rowOff>
                  </from>
                  <to>
                    <xdr:col>1</xdr:col>
                    <xdr:colOff>449580</xdr:colOff>
                    <xdr:row>55</xdr:row>
                    <xdr:rowOff>45720</xdr:rowOff>
                  </to>
                </anchor>
              </controlPr>
            </control>
          </mc:Choice>
        </mc:AlternateContent>
        <mc:AlternateContent xmlns:mc="http://schemas.openxmlformats.org/markup-compatibility/2006">
          <mc:Choice Requires="x14">
            <control shapeId="13361" r:id="rId19" name="Check Box 49">
              <controlPr defaultSize="0" autoFill="0" autoLine="0" autoPict="0">
                <anchor moveWithCells="1" sizeWithCells="1">
                  <from>
                    <xdr:col>1</xdr:col>
                    <xdr:colOff>198120</xdr:colOff>
                    <xdr:row>54</xdr:row>
                    <xdr:rowOff>121920</xdr:rowOff>
                  </from>
                  <to>
                    <xdr:col>1</xdr:col>
                    <xdr:colOff>449580</xdr:colOff>
                    <xdr:row>56</xdr:row>
                    <xdr:rowOff>45720</xdr:rowOff>
                  </to>
                </anchor>
              </controlPr>
            </control>
          </mc:Choice>
        </mc:AlternateContent>
        <mc:AlternateContent xmlns:mc="http://schemas.openxmlformats.org/markup-compatibility/2006">
          <mc:Choice Requires="x14">
            <control shapeId="13362" r:id="rId20" name="Check Box 50">
              <controlPr defaultSize="0" autoFill="0" autoLine="0" autoPict="0">
                <anchor moveWithCells="1" sizeWithCells="1">
                  <from>
                    <xdr:col>1</xdr:col>
                    <xdr:colOff>198120</xdr:colOff>
                    <xdr:row>55</xdr:row>
                    <xdr:rowOff>121920</xdr:rowOff>
                  </from>
                  <to>
                    <xdr:col>1</xdr:col>
                    <xdr:colOff>449580</xdr:colOff>
                    <xdr:row>57</xdr:row>
                    <xdr:rowOff>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sizeWithCells="1">
                  <from>
                    <xdr:col>5</xdr:col>
                    <xdr:colOff>365760</xdr:colOff>
                    <xdr:row>49</xdr:row>
                    <xdr:rowOff>152400</xdr:rowOff>
                  </from>
                  <to>
                    <xdr:col>5</xdr:col>
                    <xdr:colOff>632460</xdr:colOff>
                    <xdr:row>51</xdr:row>
                    <xdr:rowOff>45720</xdr:rowOff>
                  </to>
                </anchor>
              </controlPr>
            </control>
          </mc:Choice>
        </mc:AlternateContent>
        <mc:AlternateContent xmlns:mc="http://schemas.openxmlformats.org/markup-compatibility/2006">
          <mc:Choice Requires="x14">
            <control shapeId="13365" r:id="rId22" name="Check Box 53">
              <controlPr defaultSize="0" autoFill="0" autoLine="0" autoPict="0">
                <anchor moveWithCells="1" sizeWithCells="1">
                  <from>
                    <xdr:col>5</xdr:col>
                    <xdr:colOff>365760</xdr:colOff>
                    <xdr:row>50</xdr:row>
                    <xdr:rowOff>152400</xdr:rowOff>
                  </from>
                  <to>
                    <xdr:col>5</xdr:col>
                    <xdr:colOff>632460</xdr:colOff>
                    <xdr:row>52</xdr:row>
                    <xdr:rowOff>45720</xdr:rowOff>
                  </to>
                </anchor>
              </controlPr>
            </control>
          </mc:Choice>
        </mc:AlternateContent>
        <mc:AlternateContent xmlns:mc="http://schemas.openxmlformats.org/markup-compatibility/2006">
          <mc:Choice Requires="x14">
            <control shapeId="13366" r:id="rId23" name="Check Box 54">
              <controlPr defaultSize="0" autoFill="0" autoLine="0" autoPict="0">
                <anchor moveWithCells="1" sizeWithCells="1">
                  <from>
                    <xdr:col>5</xdr:col>
                    <xdr:colOff>365760</xdr:colOff>
                    <xdr:row>51</xdr:row>
                    <xdr:rowOff>152400</xdr:rowOff>
                  </from>
                  <to>
                    <xdr:col>5</xdr:col>
                    <xdr:colOff>632460</xdr:colOff>
                    <xdr:row>53</xdr:row>
                    <xdr:rowOff>45720</xdr:rowOff>
                  </to>
                </anchor>
              </controlPr>
            </control>
          </mc:Choice>
        </mc:AlternateContent>
        <mc:AlternateContent xmlns:mc="http://schemas.openxmlformats.org/markup-compatibility/2006">
          <mc:Choice Requires="x14">
            <control shapeId="13367" r:id="rId24" name="Check Box 55">
              <controlPr defaultSize="0" autoFill="0" autoLine="0" autoPict="0">
                <anchor moveWithCells="1" sizeWithCells="1">
                  <from>
                    <xdr:col>5</xdr:col>
                    <xdr:colOff>365760</xdr:colOff>
                    <xdr:row>52</xdr:row>
                    <xdr:rowOff>152400</xdr:rowOff>
                  </from>
                  <to>
                    <xdr:col>5</xdr:col>
                    <xdr:colOff>632460</xdr:colOff>
                    <xdr:row>54</xdr:row>
                    <xdr:rowOff>45720</xdr:rowOff>
                  </to>
                </anchor>
              </controlPr>
            </control>
          </mc:Choice>
        </mc:AlternateContent>
        <mc:AlternateContent xmlns:mc="http://schemas.openxmlformats.org/markup-compatibility/2006">
          <mc:Choice Requires="x14">
            <control shapeId="13368" r:id="rId25" name="Check Box 56">
              <controlPr defaultSize="0" autoFill="0" autoLine="0" autoPict="0">
                <anchor moveWithCells="1" sizeWithCells="1">
                  <from>
                    <xdr:col>5</xdr:col>
                    <xdr:colOff>365760</xdr:colOff>
                    <xdr:row>53</xdr:row>
                    <xdr:rowOff>152400</xdr:rowOff>
                  </from>
                  <to>
                    <xdr:col>5</xdr:col>
                    <xdr:colOff>632460</xdr:colOff>
                    <xdr:row>55</xdr:row>
                    <xdr:rowOff>45720</xdr:rowOff>
                  </to>
                </anchor>
              </controlPr>
            </control>
          </mc:Choice>
        </mc:AlternateContent>
        <mc:AlternateContent xmlns:mc="http://schemas.openxmlformats.org/markup-compatibility/2006">
          <mc:Choice Requires="x14">
            <control shapeId="13369" r:id="rId26" name="Check Box 57">
              <controlPr defaultSize="0" autoFill="0" autoLine="0" autoPict="0">
                <anchor moveWithCells="1" sizeWithCells="1">
                  <from>
                    <xdr:col>5</xdr:col>
                    <xdr:colOff>365760</xdr:colOff>
                    <xdr:row>54</xdr:row>
                    <xdr:rowOff>152400</xdr:rowOff>
                  </from>
                  <to>
                    <xdr:col>5</xdr:col>
                    <xdr:colOff>632460</xdr:colOff>
                    <xdr:row>56</xdr:row>
                    <xdr:rowOff>45720</xdr:rowOff>
                  </to>
                </anchor>
              </controlPr>
            </control>
          </mc:Choice>
        </mc:AlternateContent>
        <mc:AlternateContent xmlns:mc="http://schemas.openxmlformats.org/markup-compatibility/2006">
          <mc:Choice Requires="x14">
            <control shapeId="13370" r:id="rId27" name="Check Box 58">
              <controlPr defaultSize="0" autoFill="0" autoLine="0" autoPict="0">
                <anchor moveWithCells="1" sizeWithCells="1">
                  <from>
                    <xdr:col>5</xdr:col>
                    <xdr:colOff>365760</xdr:colOff>
                    <xdr:row>55</xdr:row>
                    <xdr:rowOff>152400</xdr:rowOff>
                  </from>
                  <to>
                    <xdr:col>5</xdr:col>
                    <xdr:colOff>632460</xdr:colOff>
                    <xdr:row>57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M651"/>
  <sheetViews>
    <sheetView workbookViewId="0"/>
  </sheetViews>
  <sheetFormatPr baseColWidth="10" defaultColWidth="11.44140625" defaultRowHeight="13.2"/>
  <cols>
    <col min="1" max="1" width="5" style="757" customWidth="1"/>
    <col min="2" max="2" width="31.44140625" style="757" customWidth="1"/>
    <col min="3" max="3" width="7" style="827" customWidth="1"/>
    <col min="4" max="4" width="7.6640625" style="757" customWidth="1"/>
    <col min="5" max="5" width="14.44140625" style="757" customWidth="1"/>
    <col min="6" max="6" width="7.33203125" style="770" customWidth="1"/>
    <col min="7" max="7" width="1.6640625" style="757" customWidth="1"/>
    <col min="8" max="8" width="9" style="757" customWidth="1"/>
    <col min="9" max="9" width="1.109375" style="757" customWidth="1"/>
    <col min="10" max="10" width="7" style="757" customWidth="1"/>
    <col min="11" max="11" width="11.33203125" style="757" customWidth="1"/>
    <col min="12" max="12" width="11.44140625" style="770" customWidth="1"/>
    <col min="13" max="13" width="7.33203125" style="757" customWidth="1"/>
    <col min="14" max="14" width="1.6640625" style="757" customWidth="1"/>
    <col min="15" max="15" width="9" style="859" customWidth="1"/>
    <col min="16" max="16" width="1.109375" style="757" customWidth="1"/>
    <col min="17" max="17" width="8" style="757" customWidth="1"/>
    <col min="18" max="18" width="11.33203125" style="757" customWidth="1"/>
    <col min="19" max="19" width="9.33203125" style="757" customWidth="1"/>
    <col min="20" max="20" width="7.33203125" style="757" customWidth="1"/>
    <col min="21" max="21" width="1.6640625" style="757" customWidth="1"/>
    <col min="22" max="22" width="9" style="757" customWidth="1"/>
    <col min="23" max="23" width="1.109375" style="757" customWidth="1"/>
    <col min="24" max="24" width="7.6640625" style="757" customWidth="1"/>
    <col min="25" max="25" width="11.33203125" style="757" customWidth="1"/>
    <col min="26" max="26" width="11.44140625" style="757" customWidth="1"/>
    <col min="27" max="27" width="7.33203125" style="757" customWidth="1"/>
    <col min="28" max="28" width="1.6640625" style="757" customWidth="1"/>
    <col min="29" max="29" width="9" style="757" customWidth="1"/>
    <col min="30" max="30" width="1.109375" style="757" customWidth="1"/>
    <col min="31" max="31" width="8.33203125" style="757" customWidth="1"/>
    <col min="32" max="32" width="11.33203125" style="757" customWidth="1"/>
    <col min="33" max="33" width="8.33203125" style="757" customWidth="1"/>
    <col min="34" max="34" width="7.33203125" style="757" customWidth="1"/>
    <col min="35" max="35" width="1.6640625" style="757" customWidth="1"/>
    <col min="36" max="36" width="9" style="757" customWidth="1"/>
    <col min="37" max="37" width="1.109375" style="757" customWidth="1"/>
    <col min="38" max="38" width="8.6640625" style="757" customWidth="1"/>
    <col min="39" max="39" width="11.33203125" style="757" customWidth="1"/>
    <col min="40" max="16384" width="11.44140625" style="757"/>
  </cols>
  <sheetData>
    <row r="1" spans="1:39">
      <c r="M1" s="754" t="s">
        <v>732</v>
      </c>
      <c r="N1" s="754"/>
      <c r="O1" s="850"/>
      <c r="T1" s="754" t="s">
        <v>1721</v>
      </c>
      <c r="AA1" s="754" t="s">
        <v>653</v>
      </c>
      <c r="AH1" s="754" t="s">
        <v>654</v>
      </c>
    </row>
    <row r="8" spans="1:39">
      <c r="B8" s="755">
        <v>1</v>
      </c>
      <c r="C8" s="828">
        <v>2</v>
      </c>
      <c r="D8" s="755">
        <v>3</v>
      </c>
      <c r="E8" s="755">
        <v>4</v>
      </c>
      <c r="F8" s="771">
        <v>5</v>
      </c>
      <c r="G8" s="755">
        <v>6</v>
      </c>
      <c r="H8" s="763">
        <v>7</v>
      </c>
      <c r="I8" s="755">
        <v>8</v>
      </c>
      <c r="J8" s="755">
        <v>9</v>
      </c>
      <c r="K8" s="755">
        <v>10</v>
      </c>
      <c r="L8" s="1341">
        <v>11</v>
      </c>
      <c r="M8" s="755">
        <v>12</v>
      </c>
      <c r="N8" s="755">
        <v>13</v>
      </c>
      <c r="O8" s="851">
        <v>14</v>
      </c>
      <c r="P8" s="763">
        <v>15</v>
      </c>
      <c r="Q8" s="755">
        <v>16</v>
      </c>
      <c r="R8" s="755">
        <v>17</v>
      </c>
      <c r="S8" s="755">
        <v>18</v>
      </c>
      <c r="T8" s="763">
        <v>19</v>
      </c>
      <c r="U8" s="755">
        <v>20</v>
      </c>
      <c r="V8" s="755">
        <v>21</v>
      </c>
      <c r="W8" s="755">
        <v>22</v>
      </c>
      <c r="X8" s="763">
        <v>23</v>
      </c>
      <c r="Y8" s="755">
        <v>24</v>
      </c>
      <c r="Z8" s="755">
        <v>25</v>
      </c>
      <c r="AA8" s="755">
        <v>26</v>
      </c>
      <c r="AB8" s="763">
        <v>27</v>
      </c>
      <c r="AC8" s="755">
        <v>28</v>
      </c>
      <c r="AD8" s="755">
        <v>29</v>
      </c>
      <c r="AE8" s="755">
        <v>30</v>
      </c>
      <c r="AF8" s="763">
        <v>31</v>
      </c>
      <c r="AG8" s="755">
        <v>32</v>
      </c>
      <c r="AH8" s="755">
        <v>33</v>
      </c>
      <c r="AI8" s="755">
        <v>34</v>
      </c>
      <c r="AJ8" s="763">
        <v>35</v>
      </c>
      <c r="AK8" s="755">
        <v>36</v>
      </c>
      <c r="AL8" s="755">
        <v>37</v>
      </c>
      <c r="AM8" s="755">
        <v>38</v>
      </c>
    </row>
    <row r="9" spans="1:39">
      <c r="B9" s="772" t="s">
        <v>881</v>
      </c>
      <c r="C9" s="829">
        <v>1</v>
      </c>
      <c r="D9" s="755"/>
      <c r="E9" s="773"/>
      <c r="F9" s="774"/>
      <c r="G9" s="755"/>
      <c r="H9" s="775"/>
      <c r="J9" s="776" t="s">
        <v>525</v>
      </c>
      <c r="K9" s="777" t="s">
        <v>1622</v>
      </c>
      <c r="L9" s="1342" t="s">
        <v>1356</v>
      </c>
      <c r="M9" s="756"/>
      <c r="N9" s="760"/>
      <c r="O9" s="852"/>
      <c r="P9" s="756"/>
      <c r="Q9" s="760" t="s">
        <v>525</v>
      </c>
      <c r="R9" s="756" t="s">
        <v>1622</v>
      </c>
      <c r="S9" s="759"/>
      <c r="T9" s="756"/>
      <c r="U9" s="760"/>
      <c r="V9" s="764"/>
      <c r="W9" s="756"/>
      <c r="X9" s="760" t="s">
        <v>525</v>
      </c>
      <c r="Y9" s="756" t="s">
        <v>1622</v>
      </c>
      <c r="Z9" s="759"/>
      <c r="AA9" s="756"/>
      <c r="AB9" s="760"/>
      <c r="AC9" s="764"/>
      <c r="AD9" s="756"/>
      <c r="AE9" s="760" t="s">
        <v>525</v>
      </c>
      <c r="AF9" s="756" t="s">
        <v>1622</v>
      </c>
      <c r="AG9" s="759"/>
      <c r="AH9" s="756"/>
      <c r="AI9" s="760"/>
      <c r="AJ9" s="764"/>
      <c r="AK9" s="756"/>
      <c r="AL9" s="760" t="s">
        <v>525</v>
      </c>
      <c r="AM9" s="756" t="s">
        <v>1622</v>
      </c>
    </row>
    <row r="10" spans="1:39">
      <c r="A10" s="757">
        <v>1</v>
      </c>
      <c r="B10" s="778"/>
      <c r="C10" s="830"/>
      <c r="D10" s="779"/>
      <c r="E10" s="312"/>
      <c r="F10" s="313">
        <f>INDEX($M$10:$AM$162,$A$10+(_typ1-1)*14,1)</f>
        <v>0</v>
      </c>
      <c r="G10" s="780"/>
      <c r="H10" s="781"/>
      <c r="J10" s="782">
        <f>INDEX(Standardwerte!$Y$6:$Z$43,$C9,2)</f>
        <v>0</v>
      </c>
      <c r="K10" s="783">
        <f>INDEX(Standardwerte!$Y$6:$Z$43,$C9,1)</f>
        <v>0</v>
      </c>
      <c r="L10" s="770" t="s">
        <v>1357</v>
      </c>
      <c r="M10" s="315">
        <f>Produzione!$G$8</f>
        <v>0</v>
      </c>
      <c r="N10" s="764"/>
      <c r="O10" s="852"/>
      <c r="P10" s="756"/>
      <c r="Q10" s="756"/>
      <c r="R10" s="756"/>
      <c r="S10" s="759"/>
      <c r="T10" s="315">
        <f>Produzione!$G$22</f>
        <v>0</v>
      </c>
      <c r="U10" s="764"/>
      <c r="V10" s="764"/>
      <c r="W10" s="756"/>
      <c r="X10" s="756"/>
      <c r="Y10" s="756"/>
      <c r="Z10" s="759"/>
      <c r="AA10" s="315">
        <f>Produzione!$G$36</f>
        <v>0</v>
      </c>
      <c r="AB10" s="764"/>
      <c r="AC10" s="764"/>
      <c r="AD10" s="756"/>
      <c r="AE10" s="756"/>
      <c r="AF10" s="756"/>
      <c r="AG10" s="759"/>
      <c r="AH10" s="315">
        <f>Produzione!$G$50</f>
        <v>0</v>
      </c>
      <c r="AI10" s="764"/>
      <c r="AJ10" s="764"/>
      <c r="AK10" s="756"/>
      <c r="AL10" s="756"/>
      <c r="AM10" s="756"/>
    </row>
    <row r="11" spans="1:39">
      <c r="A11" s="757">
        <v>2</v>
      </c>
      <c r="B11" s="784"/>
      <c r="C11" s="831"/>
      <c r="D11" s="785"/>
      <c r="E11" s="786"/>
      <c r="F11" s="313">
        <f>INDEX($M$10:$AM$162,$A11+(_typ1-1)*14,1)</f>
        <v>0</v>
      </c>
      <c r="G11" s="787"/>
      <c r="H11" s="788"/>
      <c r="J11" s="782"/>
      <c r="K11" s="783"/>
      <c r="L11" s="770" t="s">
        <v>1358</v>
      </c>
      <c r="M11" s="315">
        <f>Produzione!$G$10</f>
        <v>0</v>
      </c>
      <c r="N11" s="764"/>
      <c r="O11" s="853"/>
      <c r="P11" s="756"/>
      <c r="Q11" s="756"/>
      <c r="R11" s="756"/>
      <c r="S11" s="759"/>
      <c r="T11" s="315">
        <f>Produzione!$G$24</f>
        <v>0</v>
      </c>
      <c r="U11" s="764"/>
      <c r="V11" s="765"/>
      <c r="W11" s="756"/>
      <c r="X11" s="756"/>
      <c r="Y11" s="756"/>
      <c r="Z11" s="759"/>
      <c r="AA11" s="315">
        <f>Produzione!$G$38</f>
        <v>0</v>
      </c>
      <c r="AB11" s="764"/>
      <c r="AC11" s="765"/>
      <c r="AD11" s="756"/>
      <c r="AE11" s="756"/>
      <c r="AF11" s="756"/>
      <c r="AG11" s="759"/>
      <c r="AH11" s="315">
        <f>Produzione!$G$52</f>
        <v>0</v>
      </c>
      <c r="AI11" s="764"/>
      <c r="AJ11" s="765"/>
      <c r="AK11" s="756"/>
      <c r="AL11" s="756"/>
      <c r="AM11" s="756"/>
    </row>
    <row r="12" spans="1:39">
      <c r="A12" s="757">
        <v>3</v>
      </c>
      <c r="B12" s="789"/>
      <c r="C12" s="790"/>
      <c r="D12" s="786"/>
      <c r="E12" s="786"/>
      <c r="F12" s="791"/>
      <c r="G12" s="792"/>
      <c r="H12" s="793"/>
      <c r="J12" s="782"/>
      <c r="K12" s="783"/>
      <c r="M12" s="756"/>
      <c r="N12" s="766"/>
      <c r="O12" s="854"/>
      <c r="P12" s="756"/>
      <c r="Q12" s="756"/>
      <c r="R12" s="756"/>
      <c r="S12" s="759"/>
      <c r="T12" s="756"/>
      <c r="U12" s="766"/>
      <c r="V12" s="767"/>
      <c r="W12" s="756"/>
      <c r="X12" s="756"/>
      <c r="Y12" s="756"/>
      <c r="Z12" s="759"/>
      <c r="AA12" s="756"/>
      <c r="AB12" s="766"/>
      <c r="AC12" s="767"/>
      <c r="AD12" s="756"/>
      <c r="AE12" s="756"/>
      <c r="AF12" s="756"/>
      <c r="AG12" s="759"/>
      <c r="AH12" s="756"/>
      <c r="AI12" s="766"/>
      <c r="AJ12" s="767"/>
      <c r="AK12" s="756"/>
      <c r="AL12" s="756"/>
      <c r="AM12" s="756"/>
    </row>
    <row r="13" spans="1:39">
      <c r="A13" s="757">
        <v>4</v>
      </c>
      <c r="B13" s="789"/>
      <c r="C13" s="794"/>
      <c r="D13" s="786"/>
      <c r="E13" s="786"/>
      <c r="F13" s="791"/>
      <c r="G13" s="303"/>
      <c r="H13" s="316"/>
      <c r="J13" s="782"/>
      <c r="K13" s="783"/>
      <c r="M13" s="756"/>
      <c r="N13" s="321"/>
      <c r="O13" s="855" t="str">
        <f>IF(M11&lt;&gt;0,M11,IF(Produzione!$E$10&lt;&gt;"",Produzione!$E$10,Produzione!$G$9))</f>
        <v/>
      </c>
      <c r="P13" s="756"/>
      <c r="Q13" s="768"/>
      <c r="R13" s="756"/>
      <c r="S13" s="759"/>
      <c r="T13" s="756"/>
      <c r="U13" s="321"/>
      <c r="V13" s="322" t="str">
        <f>IF(T11&lt;&gt;0,T11,IF(Produzione!$E$24&lt;&gt;"",Produzione!$E$24,Produzione!$G$23))</f>
        <v/>
      </c>
      <c r="W13" s="756"/>
      <c r="X13" s="756"/>
      <c r="Y13" s="756"/>
      <c r="Z13" s="759"/>
      <c r="AA13" s="756"/>
      <c r="AB13" s="321"/>
      <c r="AC13" s="322" t="str">
        <f>IF(AA11&lt;&gt;0,AA11,IF(Produzione!$E$38&lt;&gt;"",Produzione!$E$38,Produzione!$G$37))</f>
        <v/>
      </c>
      <c r="AD13" s="756"/>
      <c r="AE13" s="756"/>
      <c r="AF13" s="756"/>
      <c r="AG13" s="759"/>
      <c r="AH13" s="756"/>
      <c r="AI13" s="321"/>
      <c r="AJ13" s="322" t="str">
        <f>IF(AH11&lt;&gt;0,AH11,IF(Produzione!$E$52&lt;&gt;"",Produzione!$E$52,Produzione!$G$51))</f>
        <v/>
      </c>
      <c r="AK13" s="756"/>
      <c r="AL13" s="756"/>
      <c r="AM13" s="756"/>
    </row>
    <row r="14" spans="1:39">
      <c r="A14" s="757">
        <v>5</v>
      </c>
      <c r="B14" s="789"/>
      <c r="C14" s="790"/>
      <c r="D14" s="787"/>
      <c r="E14" s="795"/>
      <c r="F14" s="313"/>
      <c r="G14" s="796"/>
      <c r="H14" s="797"/>
      <c r="J14" s="782"/>
      <c r="K14" s="783"/>
      <c r="M14" s="315">
        <f>Produzione!$G$12</f>
        <v>0</v>
      </c>
      <c r="N14" s="758"/>
      <c r="O14" s="854"/>
      <c r="P14" s="756"/>
      <c r="Q14" s="756"/>
      <c r="R14" s="756"/>
      <c r="S14" s="759"/>
      <c r="T14" s="315">
        <f>Produzione!$G$26</f>
        <v>0</v>
      </c>
      <c r="U14" s="758"/>
      <c r="V14" s="758"/>
      <c r="W14" s="756"/>
      <c r="X14" s="756"/>
      <c r="Y14" s="756"/>
      <c r="Z14" s="759"/>
      <c r="AA14" s="315">
        <f>Produzione!$G$40</f>
        <v>0</v>
      </c>
      <c r="AB14" s="758"/>
      <c r="AC14" s="758"/>
      <c r="AD14" s="756"/>
      <c r="AE14" s="756"/>
      <c r="AF14" s="756"/>
      <c r="AG14" s="759"/>
      <c r="AH14" s="315">
        <f>Produzione!$G$54</f>
        <v>0</v>
      </c>
      <c r="AI14" s="758"/>
      <c r="AJ14" s="758"/>
      <c r="AK14" s="756"/>
      <c r="AL14" s="756"/>
      <c r="AM14" s="756"/>
    </row>
    <row r="15" spans="1:39">
      <c r="A15" s="757">
        <v>6</v>
      </c>
      <c r="B15" s="789"/>
      <c r="C15" s="790"/>
      <c r="D15" s="796"/>
      <c r="E15" s="795"/>
      <c r="F15" s="313"/>
      <c r="G15" s="787"/>
      <c r="H15" s="798"/>
      <c r="J15" s="782"/>
      <c r="K15" s="783"/>
      <c r="M15" s="315">
        <f>Produzione!$G$13</f>
        <v>0</v>
      </c>
      <c r="N15" s="764"/>
      <c r="O15" s="852"/>
      <c r="P15" s="756"/>
      <c r="Q15" s="756"/>
      <c r="R15" s="756"/>
      <c r="S15" s="759"/>
      <c r="T15" s="315">
        <f>Produzione!$G$27</f>
        <v>0</v>
      </c>
      <c r="U15" s="764"/>
      <c r="V15" s="768"/>
      <c r="W15" s="756"/>
      <c r="X15" s="756"/>
      <c r="Y15" s="756"/>
      <c r="Z15" s="759"/>
      <c r="AA15" s="315">
        <f>Produzione!$G$41</f>
        <v>0</v>
      </c>
      <c r="AB15" s="764"/>
      <c r="AC15" s="768"/>
      <c r="AD15" s="756"/>
      <c r="AE15" s="756"/>
      <c r="AF15" s="756"/>
      <c r="AG15" s="759"/>
      <c r="AH15" s="315">
        <f>Produzione!$G$55</f>
        <v>0</v>
      </c>
      <c r="AI15" s="764"/>
      <c r="AJ15" s="768"/>
      <c r="AK15" s="756"/>
      <c r="AL15" s="756"/>
      <c r="AM15" s="756"/>
    </row>
    <row r="16" spans="1:39">
      <c r="A16" s="757">
        <v>7</v>
      </c>
      <c r="B16" s="799"/>
      <c r="C16" s="831"/>
      <c r="D16" s="786"/>
      <c r="E16" s="786"/>
      <c r="F16" s="313"/>
      <c r="G16" s="787"/>
      <c r="H16" s="800"/>
      <c r="J16" s="782"/>
      <c r="K16" s="783"/>
      <c r="M16" s="315">
        <f>Produzione!$G$14</f>
        <v>0</v>
      </c>
      <c r="N16" s="764"/>
      <c r="O16" s="852"/>
      <c r="P16" s="756"/>
      <c r="Q16" s="756"/>
      <c r="R16" s="756"/>
      <c r="S16" s="759"/>
      <c r="T16" s="315">
        <f>Produzione!$G$28</f>
        <v>0</v>
      </c>
      <c r="U16" s="764"/>
      <c r="V16" s="764"/>
      <c r="W16" s="756"/>
      <c r="X16" s="756"/>
      <c r="Y16" s="756"/>
      <c r="Z16" s="759"/>
      <c r="AA16" s="315">
        <f>Produzione!$G$42</f>
        <v>0</v>
      </c>
      <c r="AB16" s="764"/>
      <c r="AC16" s="764"/>
      <c r="AD16" s="756"/>
      <c r="AE16" s="756"/>
      <c r="AF16" s="756"/>
      <c r="AG16" s="759"/>
      <c r="AH16" s="315">
        <f>Produzione!$G$56</f>
        <v>0</v>
      </c>
      <c r="AI16" s="764"/>
      <c r="AJ16" s="764"/>
      <c r="AK16" s="756"/>
      <c r="AL16" s="756"/>
      <c r="AM16" s="756"/>
    </row>
    <row r="17" spans="1:39">
      <c r="A17" s="757">
        <v>8</v>
      </c>
      <c r="B17" s="799"/>
      <c r="C17" s="831"/>
      <c r="D17" s="786"/>
      <c r="E17" s="786"/>
      <c r="F17" s="313"/>
      <c r="G17" s="796"/>
      <c r="H17" s="788"/>
      <c r="J17" s="782"/>
      <c r="K17" s="783"/>
      <c r="M17" s="315">
        <f>Produzione!$G$15</f>
        <v>0</v>
      </c>
      <c r="N17" s="758"/>
      <c r="O17" s="853"/>
      <c r="P17" s="756"/>
      <c r="Q17" s="756"/>
      <c r="R17" s="756"/>
      <c r="S17" s="759"/>
      <c r="T17" s="315">
        <f>Produzione!$G$29</f>
        <v>0</v>
      </c>
      <c r="U17" s="758"/>
      <c r="V17" s="765"/>
      <c r="W17" s="756"/>
      <c r="X17" s="756"/>
      <c r="Y17" s="756"/>
      <c r="Z17" s="759"/>
      <c r="AA17" s="315">
        <f>Produzione!$G$43</f>
        <v>0</v>
      </c>
      <c r="AB17" s="758"/>
      <c r="AC17" s="765"/>
      <c r="AD17" s="756"/>
      <c r="AE17" s="756"/>
      <c r="AF17" s="756"/>
      <c r="AG17" s="759"/>
      <c r="AH17" s="315">
        <f>Produzione!$G$57</f>
        <v>0</v>
      </c>
      <c r="AI17" s="758"/>
      <c r="AJ17" s="765"/>
      <c r="AK17" s="756"/>
      <c r="AL17" s="756"/>
      <c r="AM17" s="756"/>
    </row>
    <row r="18" spans="1:39">
      <c r="A18" s="757">
        <v>9</v>
      </c>
      <c r="B18" s="799"/>
      <c r="C18" s="831"/>
      <c r="D18" s="795"/>
      <c r="E18" s="795"/>
      <c r="F18" s="791"/>
      <c r="G18" s="303"/>
      <c r="H18" s="317"/>
      <c r="J18" s="801"/>
      <c r="K18" s="802"/>
      <c r="M18" s="756"/>
      <c r="N18" s="321"/>
      <c r="O18" s="856"/>
      <c r="P18" s="756"/>
      <c r="Q18" s="756"/>
      <c r="R18" s="756"/>
      <c r="S18" s="759"/>
      <c r="T18" s="756"/>
      <c r="U18" s="321"/>
      <c r="V18" s="323"/>
      <c r="W18" s="756"/>
      <c r="X18" s="756"/>
      <c r="Y18" s="756"/>
      <c r="Z18" s="759"/>
      <c r="AA18" s="756"/>
      <c r="AB18" s="321"/>
      <c r="AC18" s="323"/>
      <c r="AD18" s="756"/>
      <c r="AE18" s="756"/>
      <c r="AF18" s="756"/>
      <c r="AG18" s="759"/>
      <c r="AH18" s="756"/>
      <c r="AI18" s="321"/>
      <c r="AJ18" s="323"/>
      <c r="AK18" s="756"/>
      <c r="AL18" s="756"/>
      <c r="AM18" s="756"/>
    </row>
    <row r="19" spans="1:39">
      <c r="A19" s="757">
        <v>10</v>
      </c>
      <c r="B19" s="789"/>
      <c r="C19" s="790"/>
      <c r="D19" s="795"/>
      <c r="E19" s="786"/>
      <c r="F19" s="792"/>
      <c r="G19" s="303"/>
      <c r="H19" s="318"/>
      <c r="J19" s="803"/>
      <c r="K19" s="804"/>
      <c r="M19" s="756"/>
      <c r="N19" s="321"/>
      <c r="O19" s="857"/>
      <c r="P19" s="756"/>
      <c r="Q19" s="756"/>
      <c r="R19" s="756"/>
      <c r="S19" s="759"/>
      <c r="T19" s="756"/>
      <c r="U19" s="321"/>
      <c r="V19" s="324"/>
      <c r="W19" s="756"/>
      <c r="X19" s="756"/>
      <c r="Y19" s="756"/>
      <c r="Z19" s="759"/>
      <c r="AA19" s="756"/>
      <c r="AB19" s="321"/>
      <c r="AC19" s="324"/>
      <c r="AD19" s="756"/>
      <c r="AE19" s="756"/>
      <c r="AF19" s="756"/>
      <c r="AG19" s="759"/>
      <c r="AH19" s="758"/>
      <c r="AI19" s="321"/>
      <c r="AJ19" s="324"/>
      <c r="AK19" s="756"/>
      <c r="AL19" s="756"/>
      <c r="AM19" s="756"/>
    </row>
    <row r="20" spans="1:39">
      <c r="A20" s="757">
        <v>11</v>
      </c>
      <c r="B20" s="805"/>
      <c r="C20" s="832"/>
      <c r="D20" s="806"/>
      <c r="E20" s="806"/>
      <c r="F20" s="774"/>
      <c r="G20" s="319"/>
      <c r="H20" s="320"/>
      <c r="J20" s="807"/>
      <c r="K20" s="808"/>
      <c r="M20" s="756"/>
      <c r="N20" s="325"/>
      <c r="O20" s="858"/>
      <c r="P20" s="756"/>
      <c r="Q20" s="756"/>
      <c r="R20" s="756"/>
      <c r="S20" s="759"/>
      <c r="T20" s="756"/>
      <c r="U20" s="325"/>
      <c r="V20" s="325"/>
      <c r="W20" s="756"/>
      <c r="X20" s="315">
        <f>Produzione!$K$32</f>
        <v>0</v>
      </c>
      <c r="Y20" s="315">
        <f>Produzione!$L$32</f>
        <v>0</v>
      </c>
      <c r="Z20" s="759"/>
      <c r="AA20" s="756"/>
      <c r="AB20" s="325"/>
      <c r="AC20" s="325"/>
      <c r="AD20" s="756"/>
      <c r="AE20" s="315">
        <f>Produzione!$K$46</f>
        <v>0</v>
      </c>
      <c r="AF20" s="315">
        <f>Produzione!$L$46</f>
        <v>0</v>
      </c>
      <c r="AG20" s="759"/>
      <c r="AH20" s="756"/>
      <c r="AI20" s="325"/>
      <c r="AJ20" s="325"/>
      <c r="AK20" s="756"/>
      <c r="AL20" s="315">
        <f>Produzione!$K$60</f>
        <v>0</v>
      </c>
      <c r="AM20" s="315">
        <f>Produzione!$L$60</f>
        <v>0</v>
      </c>
    </row>
    <row r="21" spans="1:39">
      <c r="A21" s="757">
        <v>12</v>
      </c>
      <c r="S21" s="759"/>
      <c r="Z21" s="759"/>
      <c r="AG21" s="759"/>
    </row>
    <row r="22" spans="1:39">
      <c r="A22" s="757">
        <v>13</v>
      </c>
      <c r="B22" s="755"/>
      <c r="C22" s="828"/>
      <c r="D22" s="755"/>
      <c r="E22" s="755"/>
      <c r="F22" s="774"/>
      <c r="G22" s="755"/>
      <c r="H22" s="763"/>
      <c r="I22" s="806"/>
      <c r="J22" s="755" t="s">
        <v>1620</v>
      </c>
      <c r="K22" s="806"/>
      <c r="M22" s="759"/>
      <c r="N22" s="762"/>
      <c r="O22" s="860"/>
      <c r="P22" s="759"/>
      <c r="Q22" s="762" t="s">
        <v>1620</v>
      </c>
      <c r="R22" s="759"/>
      <c r="S22" s="759"/>
      <c r="T22" s="759"/>
      <c r="U22" s="762"/>
      <c r="V22" s="769"/>
      <c r="W22" s="759"/>
      <c r="X22" s="762" t="s">
        <v>1620</v>
      </c>
      <c r="Y22" s="759"/>
      <c r="Z22" s="759"/>
      <c r="AA22" s="756"/>
      <c r="AB22" s="760"/>
      <c r="AC22" s="764"/>
      <c r="AD22" s="756"/>
      <c r="AE22" s="760" t="s">
        <v>1620</v>
      </c>
      <c r="AF22" s="756"/>
      <c r="AG22" s="759"/>
      <c r="AH22" s="756"/>
      <c r="AI22" s="760"/>
      <c r="AJ22" s="764"/>
      <c r="AK22" s="756"/>
      <c r="AL22" s="760" t="s">
        <v>1620</v>
      </c>
      <c r="AM22" s="756"/>
    </row>
    <row r="23" spans="1:39">
      <c r="A23" s="757">
        <v>14</v>
      </c>
      <c r="B23" s="772" t="str">
        <f>INDEX(Standardwerte!$V$6:$V$16,Rechnung!$C23,1)</f>
        <v>Riscaldamento a olio combustibile</v>
      </c>
      <c r="C23" s="829">
        <v>2</v>
      </c>
      <c r="D23" s="755"/>
      <c r="E23" s="773"/>
      <c r="F23" s="774"/>
      <c r="G23" s="755"/>
      <c r="H23" s="775"/>
      <c r="J23" s="776" t="s">
        <v>525</v>
      </c>
      <c r="K23" s="777" t="s">
        <v>1622</v>
      </c>
      <c r="M23" s="756"/>
      <c r="N23" s="760"/>
      <c r="O23" s="852"/>
      <c r="P23" s="756"/>
      <c r="Q23" s="760" t="s">
        <v>525</v>
      </c>
      <c r="R23" s="756" t="s">
        <v>1622</v>
      </c>
      <c r="S23" s="759"/>
      <c r="T23" s="756"/>
      <c r="U23" s="760"/>
      <c r="V23" s="764"/>
      <c r="W23" s="756"/>
      <c r="X23" s="760" t="s">
        <v>525</v>
      </c>
      <c r="Y23" s="756" t="s">
        <v>1622</v>
      </c>
      <c r="Z23" s="759"/>
      <c r="AA23" s="756"/>
      <c r="AB23" s="760"/>
      <c r="AC23" s="764"/>
      <c r="AD23" s="756"/>
      <c r="AE23" s="760" t="s">
        <v>525</v>
      </c>
      <c r="AF23" s="756" t="s">
        <v>1622</v>
      </c>
      <c r="AG23" s="759"/>
      <c r="AH23" s="756"/>
      <c r="AI23" s="760"/>
      <c r="AJ23" s="764"/>
      <c r="AK23" s="756"/>
      <c r="AL23" s="760" t="s">
        <v>525</v>
      </c>
      <c r="AM23" s="756" t="s">
        <v>1622</v>
      </c>
    </row>
    <row r="24" spans="1:39">
      <c r="A24" s="757">
        <v>15</v>
      </c>
      <c r="B24" s="778" t="s">
        <v>526</v>
      </c>
      <c r="C24" s="830"/>
      <c r="D24" s="779"/>
      <c r="E24" s="312"/>
      <c r="F24" s="313">
        <f>INDEX($M$10:$AM$162,$A$10+(_typ1-1)*14,1)</f>
        <v>0</v>
      </c>
      <c r="G24" s="780"/>
      <c r="H24" s="781"/>
      <c r="J24" s="782">
        <f>INDEX(Standardwerte!$Y$6:$Z$43,$C23,2)</f>
        <v>1</v>
      </c>
      <c r="K24" s="783">
        <f>INDEX(Standardwerte!$Y$6:$Z$43,$C23,1)</f>
        <v>1</v>
      </c>
      <c r="M24" s="315">
        <f>Produzione!$G$8</f>
        <v>0</v>
      </c>
      <c r="N24" s="764"/>
      <c r="O24" s="852"/>
      <c r="P24" s="756"/>
      <c r="Q24" s="756"/>
      <c r="R24" s="756"/>
      <c r="S24" s="759"/>
      <c r="T24" s="315">
        <f>Produzione!$G$22</f>
        <v>0</v>
      </c>
      <c r="U24" s="764"/>
      <c r="V24" s="764"/>
      <c r="W24" s="756"/>
      <c r="X24" s="756"/>
      <c r="Y24" s="756"/>
      <c r="Z24" s="759"/>
      <c r="AA24" s="315">
        <f>Produzione!$G$36</f>
        <v>0</v>
      </c>
      <c r="AB24" s="764"/>
      <c r="AC24" s="764"/>
      <c r="AD24" s="756"/>
      <c r="AE24" s="756"/>
      <c r="AF24" s="756"/>
      <c r="AG24" s="759"/>
      <c r="AH24" s="315">
        <f>Produzione!$G$50</f>
        <v>0</v>
      </c>
      <c r="AI24" s="764"/>
      <c r="AJ24" s="764"/>
      <c r="AK24" s="756"/>
      <c r="AL24" s="756"/>
      <c r="AM24" s="756"/>
    </row>
    <row r="25" spans="1:39">
      <c r="A25" s="757">
        <v>16</v>
      </c>
      <c r="B25" s="784" t="s">
        <v>1193</v>
      </c>
      <c r="C25" s="831" t="s">
        <v>584</v>
      </c>
      <c r="E25" s="786"/>
      <c r="F25" s="1343">
        <f>INDEX(Standardwerte!$W$6:$W$43,$C23,1)</f>
        <v>85</v>
      </c>
      <c r="G25" s="787"/>
      <c r="H25" s="788"/>
      <c r="J25" s="782"/>
      <c r="K25" s="783"/>
      <c r="M25" s="315">
        <f>Produzione!$G$10</f>
        <v>0</v>
      </c>
      <c r="N25" s="764"/>
      <c r="O25" s="861">
        <f>F25</f>
        <v>85</v>
      </c>
      <c r="P25" s="756"/>
      <c r="Q25" s="756"/>
      <c r="R25" s="756"/>
      <c r="S25" s="759"/>
      <c r="T25" s="315">
        <f>Produzione!$G$24</f>
        <v>0</v>
      </c>
      <c r="U25" s="764"/>
      <c r="V25" s="28">
        <f>F25</f>
        <v>85</v>
      </c>
      <c r="W25" s="756"/>
      <c r="X25" s="756"/>
      <c r="Y25" s="756"/>
      <c r="Z25" s="759"/>
      <c r="AA25" s="315">
        <f>Produzione!$G$38</f>
        <v>0</v>
      </c>
      <c r="AB25" s="764"/>
      <c r="AC25" s="28">
        <f>F25</f>
        <v>85</v>
      </c>
      <c r="AD25" s="756"/>
      <c r="AE25" s="756"/>
      <c r="AF25" s="756"/>
      <c r="AG25" s="759"/>
      <c r="AH25" s="315">
        <f>Produzione!$G$52</f>
        <v>0</v>
      </c>
      <c r="AI25" s="764"/>
      <c r="AJ25" s="28">
        <f>F25</f>
        <v>85</v>
      </c>
      <c r="AK25" s="756"/>
      <c r="AL25" s="756"/>
      <c r="AM25" s="756"/>
    </row>
    <row r="26" spans="1:39">
      <c r="A26" s="757">
        <v>17</v>
      </c>
      <c r="B26" s="789" t="s">
        <v>1194</v>
      </c>
      <c r="C26" s="831" t="s">
        <v>584</v>
      </c>
      <c r="D26" s="786"/>
      <c r="E26" s="786"/>
      <c r="F26" s="1344"/>
      <c r="G26" s="792"/>
      <c r="H26" s="793"/>
      <c r="J26" s="782"/>
      <c r="K26" s="783"/>
      <c r="L26" s="770">
        <v>1</v>
      </c>
      <c r="M26" s="756"/>
      <c r="N26" s="766"/>
      <c r="O26" s="854"/>
      <c r="P26" s="756"/>
      <c r="Q26" s="756"/>
      <c r="R26" s="756"/>
      <c r="S26" s="759"/>
      <c r="T26" s="756"/>
      <c r="U26" s="766"/>
      <c r="V26" s="767"/>
      <c r="W26" s="756"/>
      <c r="X26" s="756"/>
      <c r="Y26" s="756"/>
      <c r="Z26" s="759"/>
      <c r="AA26" s="756"/>
      <c r="AB26" s="766"/>
      <c r="AC26" s="767"/>
      <c r="AD26" s="756"/>
      <c r="AE26" s="756"/>
      <c r="AF26" s="756"/>
      <c r="AG26" s="759"/>
      <c r="AH26" s="756"/>
      <c r="AI26" s="766"/>
      <c r="AJ26" s="767"/>
      <c r="AK26" s="756"/>
      <c r="AL26" s="756"/>
      <c r="AM26" s="756"/>
    </row>
    <row r="27" spans="1:39">
      <c r="A27" s="757">
        <v>18</v>
      </c>
      <c r="B27" s="789" t="s">
        <v>527</v>
      </c>
      <c r="C27" s="790" t="s">
        <v>584</v>
      </c>
      <c r="D27" s="786"/>
      <c r="E27" s="786"/>
      <c r="F27" s="1345"/>
      <c r="G27" s="303"/>
      <c r="H27" s="316"/>
      <c r="J27" s="782"/>
      <c r="K27" s="783"/>
      <c r="M27" s="756"/>
      <c r="N27" s="321"/>
      <c r="O27" s="855" t="str">
        <f>IF(M25&lt;&gt;0,M25,IF(Produzione!$E$10&lt;&gt;"",Produzione!$E$10,Produzione!$G$9))</f>
        <v/>
      </c>
      <c r="P27" s="756"/>
      <c r="Q27" s="756"/>
      <c r="R27" s="756"/>
      <c r="S27" s="759"/>
      <c r="T27" s="756"/>
      <c r="U27" s="321"/>
      <c r="V27" s="322" t="str">
        <f>IF(T25&lt;&gt;0,T25,IF(Produzione!$E$24&lt;&gt;"",Produzione!$E$24,Produzione!$G$23))</f>
        <v/>
      </c>
      <c r="W27" s="756"/>
      <c r="X27" s="756"/>
      <c r="Y27" s="756"/>
      <c r="Z27" s="759"/>
      <c r="AA27" s="756"/>
      <c r="AB27" s="321"/>
      <c r="AC27" s="322" t="str">
        <f>IF(AA25&lt;&gt;0,AA25,IF(Produzione!$E$38&lt;&gt;"",Produzione!$E$38,Produzione!$G$37))</f>
        <v/>
      </c>
      <c r="AD27" s="756"/>
      <c r="AE27" s="756"/>
      <c r="AF27" s="756"/>
      <c r="AG27" s="759"/>
      <c r="AH27" s="756"/>
      <c r="AI27" s="321"/>
      <c r="AJ27" s="322" t="str">
        <f>IF(AH25&lt;&gt;0,AH25,IF(Produzione!$E$52&lt;&gt;"",Produzione!$E$52,Produzione!$G$51))</f>
        <v/>
      </c>
      <c r="AK27" s="756"/>
      <c r="AL27" s="756"/>
      <c r="AM27" s="756"/>
    </row>
    <row r="28" spans="1:39">
      <c r="A28" s="757">
        <v>19</v>
      </c>
      <c r="B28" s="789"/>
      <c r="C28" s="790"/>
      <c r="D28" s="787"/>
      <c r="E28" s="795"/>
      <c r="F28" s="1344"/>
      <c r="G28" s="796"/>
      <c r="H28" s="797"/>
      <c r="J28" s="782"/>
      <c r="K28" s="783"/>
      <c r="M28" s="315">
        <f>Produzione!$G$12</f>
        <v>0</v>
      </c>
      <c r="N28" s="758"/>
      <c r="O28" s="854"/>
      <c r="P28" s="756"/>
      <c r="Q28" s="756"/>
      <c r="R28" s="756"/>
      <c r="S28" s="759"/>
      <c r="T28" s="315">
        <f>Produzione!$G$26</f>
        <v>0</v>
      </c>
      <c r="U28" s="758"/>
      <c r="V28" s="758"/>
      <c r="W28" s="756"/>
      <c r="X28" s="756"/>
      <c r="Y28" s="756"/>
      <c r="Z28" s="759"/>
      <c r="AA28" s="315">
        <f>Produzione!$G$40</f>
        <v>0</v>
      </c>
      <c r="AB28" s="758"/>
      <c r="AC28" s="758"/>
      <c r="AD28" s="756"/>
      <c r="AE28" s="756"/>
      <c r="AF28" s="756"/>
      <c r="AG28" s="759"/>
      <c r="AH28" s="315">
        <f>Produzione!$G$54</f>
        <v>0</v>
      </c>
      <c r="AI28" s="758"/>
      <c r="AJ28" s="758"/>
      <c r="AK28" s="756"/>
      <c r="AL28" s="756"/>
      <c r="AM28" s="756"/>
    </row>
    <row r="29" spans="1:39">
      <c r="A29" s="757">
        <v>20</v>
      </c>
      <c r="B29" s="789"/>
      <c r="C29" s="790"/>
      <c r="D29" s="796"/>
      <c r="E29" s="795"/>
      <c r="F29" s="1344"/>
      <c r="G29" s="787"/>
      <c r="H29" s="798"/>
      <c r="J29" s="782"/>
      <c r="K29" s="783"/>
      <c r="M29" s="315">
        <f>Produzione!$G$13</f>
        <v>0</v>
      </c>
      <c r="N29" s="764"/>
      <c r="O29" s="852"/>
      <c r="P29" s="756"/>
      <c r="Q29" s="756"/>
      <c r="R29" s="756"/>
      <c r="S29" s="759"/>
      <c r="T29" s="315">
        <f>Produzione!$G$27</f>
        <v>0</v>
      </c>
      <c r="U29" s="764"/>
      <c r="V29" s="768"/>
      <c r="W29" s="756"/>
      <c r="X29" s="756"/>
      <c r="Y29" s="756"/>
      <c r="Z29" s="759"/>
      <c r="AA29" s="315">
        <f>Produzione!$G$41</f>
        <v>0</v>
      </c>
      <c r="AB29" s="764"/>
      <c r="AC29" s="768"/>
      <c r="AD29" s="756"/>
      <c r="AE29" s="756"/>
      <c r="AF29" s="756"/>
      <c r="AG29" s="759"/>
      <c r="AH29" s="315">
        <f>Produzione!$G$55</f>
        <v>0</v>
      </c>
      <c r="AI29" s="764"/>
      <c r="AJ29" s="768"/>
      <c r="AK29" s="756"/>
      <c r="AL29" s="756"/>
      <c r="AM29" s="756"/>
    </row>
    <row r="30" spans="1:39">
      <c r="A30" s="757">
        <v>21</v>
      </c>
      <c r="B30" s="799" t="str">
        <f>IF(J24=1,"Temperatura di mandata riscaldamento","")</f>
        <v>Temperatura di mandata riscaldamento</v>
      </c>
      <c r="C30" s="831" t="str">
        <f>IF(J24=1,"°C","")</f>
        <v>°C</v>
      </c>
      <c r="D30" s="786"/>
      <c r="E30" s="786"/>
      <c r="F30" s="1344"/>
      <c r="G30" s="787"/>
      <c r="H30" s="800"/>
      <c r="J30" s="782"/>
      <c r="K30" s="783"/>
      <c r="L30" s="770">
        <v>2</v>
      </c>
      <c r="M30" s="315">
        <f>Produzione!$G$14</f>
        <v>0</v>
      </c>
      <c r="N30" s="764"/>
      <c r="O30" s="852"/>
      <c r="P30" s="756"/>
      <c r="Q30" s="756"/>
      <c r="R30" s="756"/>
      <c r="S30" s="759"/>
      <c r="T30" s="315">
        <f>Produzione!$G$28</f>
        <v>0</v>
      </c>
      <c r="U30" s="764"/>
      <c r="V30" s="764"/>
      <c r="W30" s="756"/>
      <c r="X30" s="756"/>
      <c r="Y30" s="756"/>
      <c r="Z30" s="759"/>
      <c r="AA30" s="315">
        <f>Produzione!$G$42</f>
        <v>0</v>
      </c>
      <c r="AB30" s="764"/>
      <c r="AC30" s="764"/>
      <c r="AD30" s="756"/>
      <c r="AE30" s="756"/>
      <c r="AF30" s="756"/>
      <c r="AG30" s="759"/>
      <c r="AH30" s="315">
        <f>Produzione!$G$56</f>
        <v>0</v>
      </c>
      <c r="AI30" s="764"/>
      <c r="AJ30" s="764"/>
      <c r="AK30" s="756"/>
      <c r="AL30" s="756"/>
      <c r="AM30" s="756"/>
    </row>
    <row r="31" spans="1:39">
      <c r="A31" s="757">
        <v>22</v>
      </c>
      <c r="B31" s="799" t="str">
        <f>IF(AND(Warmwasser,K24=1),"Temperatura acqua calda sanitaria","")</f>
        <v/>
      </c>
      <c r="C31" s="831" t="str">
        <f>IF(AND(Warmwasser,K24=1),"°C","")</f>
        <v/>
      </c>
      <c r="D31" s="786"/>
      <c r="E31" s="786"/>
      <c r="F31" s="1344"/>
      <c r="G31" s="796"/>
      <c r="H31" s="788"/>
      <c r="J31" s="782"/>
      <c r="K31" s="783"/>
      <c r="L31" s="770">
        <v>2</v>
      </c>
      <c r="M31" s="315">
        <f>Produzione!$G$15</f>
        <v>0</v>
      </c>
      <c r="N31" s="758"/>
      <c r="O31" s="853"/>
      <c r="P31" s="756"/>
      <c r="Q31" s="756"/>
      <c r="R31" s="756" t="str">
        <f>IF(AND($K24=0,R34&lt;&gt;0),"Riscald. ausgewählt",IF(AND($J24=0,Q20&gt;0),"Acqua calda ausgewählt",""))</f>
        <v/>
      </c>
      <c r="S31" s="759"/>
      <c r="T31" s="315">
        <f>Produzione!$G$29</f>
        <v>0</v>
      </c>
      <c r="U31" s="758"/>
      <c r="V31" s="765"/>
      <c r="W31" s="756"/>
      <c r="X31" s="756"/>
      <c r="Y31" s="756" t="str">
        <f>IF(AND($K24=0,Y34&lt;&gt;0),"Riscald. ausgewählt",IF(AND($J24=0,X20&gt;0),"Acqua calda ausgewählt",""))</f>
        <v/>
      </c>
      <c r="Z31" s="759"/>
      <c r="AA31" s="315">
        <f>Produzione!$G$43</f>
        <v>0</v>
      </c>
      <c r="AB31" s="758"/>
      <c r="AC31" s="765"/>
      <c r="AD31" s="756"/>
      <c r="AE31" s="756"/>
      <c r="AF31" s="756" t="str">
        <f>IF(AND($K24=0,AF34&lt;&gt;0),"Riscald. ausgewählt",IF(AND($J24=0,AE20&gt;0),"Acqua calda ausgewählt",""))</f>
        <v/>
      </c>
      <c r="AG31" s="759"/>
      <c r="AH31" s="315">
        <f>Produzione!$G$57</f>
        <v>0</v>
      </c>
      <c r="AI31" s="758"/>
      <c r="AJ31" s="765"/>
      <c r="AK31" s="756"/>
      <c r="AL31" s="756"/>
      <c r="AM31" s="756" t="str">
        <f>IF(AND($K24=0,AM34&lt;&gt;0),"Riscald. ausgewählt",IF(AND($J24=0,AL20&gt;0),"Acqua calda ausgewählt",""))</f>
        <v/>
      </c>
    </row>
    <row r="32" spans="1:39">
      <c r="A32" s="757">
        <v>23</v>
      </c>
      <c r="B32" s="799"/>
      <c r="C32" s="831"/>
      <c r="D32" s="810"/>
      <c r="E32" s="810"/>
      <c r="F32" s="811"/>
      <c r="G32" s="326"/>
      <c r="H32" s="327"/>
      <c r="J32" s="801"/>
      <c r="K32" s="802"/>
      <c r="M32" s="756"/>
      <c r="N32" s="325"/>
      <c r="O32" s="858"/>
      <c r="P32" s="756"/>
      <c r="Q32" s="756">
        <f>IF(Q33&lt;&gt;0,Q33,Q34)*J24</f>
        <v>0</v>
      </c>
      <c r="R32" s="756">
        <f>IF(R33&lt;&gt;0,R33,R34)*K24</f>
        <v>0</v>
      </c>
      <c r="S32" s="759"/>
      <c r="T32" s="756"/>
      <c r="U32" s="325"/>
      <c r="V32" s="325"/>
      <c r="W32" s="756"/>
      <c r="X32" s="756">
        <f>IF(X33&lt;&gt;0,X33,X34)*J24</f>
        <v>0</v>
      </c>
      <c r="Y32" s="756">
        <f>IF(Y33&lt;&gt;0,Y33,Y34)*K24</f>
        <v>0</v>
      </c>
      <c r="Z32" s="759"/>
      <c r="AA32" s="756"/>
      <c r="AB32" s="325"/>
      <c r="AC32" s="325"/>
      <c r="AD32" s="756"/>
      <c r="AE32" s="756">
        <f>IF(AE33&lt;&gt;0,AE33,AE34)*J24</f>
        <v>0</v>
      </c>
      <c r="AF32" s="756">
        <f>IF(AF33&lt;&gt;0,AF33,AF34)*K24</f>
        <v>0</v>
      </c>
      <c r="AG32" s="759"/>
      <c r="AH32" s="756"/>
      <c r="AI32" s="325"/>
      <c r="AJ32" s="325"/>
      <c r="AK32" s="756"/>
      <c r="AL32" s="756">
        <f>IF(AL33&lt;&gt;0,AL33,AL34)*J24</f>
        <v>0</v>
      </c>
      <c r="AM32" s="756">
        <f>IF(AM33&lt;&gt;0,AM33,AM34)*K24</f>
        <v>0</v>
      </c>
    </row>
    <row r="33" spans="1:39">
      <c r="A33" s="757">
        <v>24</v>
      </c>
      <c r="B33" s="757" t="s">
        <v>652</v>
      </c>
      <c r="C33" s="827" t="s">
        <v>410</v>
      </c>
      <c r="D33" s="795"/>
      <c r="E33" s="795"/>
      <c r="F33" s="791"/>
      <c r="G33" s="303"/>
      <c r="H33" s="317"/>
      <c r="J33" s="803"/>
      <c r="K33" s="804"/>
      <c r="M33" s="756"/>
      <c r="N33" s="321"/>
      <c r="O33" s="844">
        <f>(Q32/100*qh/3.6+R32/100*qw)</f>
        <v>0</v>
      </c>
      <c r="P33" s="756"/>
      <c r="Q33" s="756"/>
      <c r="R33" s="756"/>
      <c r="S33" s="759"/>
      <c r="T33" s="756"/>
      <c r="U33" s="321"/>
      <c r="V33" s="329">
        <f>(X32/100*qh/3.6+Y32/100*qw)</f>
        <v>0</v>
      </c>
      <c r="W33" s="756"/>
      <c r="X33" s="756"/>
      <c r="Y33" s="756"/>
      <c r="Z33" s="759"/>
      <c r="AA33" s="756"/>
      <c r="AB33" s="321"/>
      <c r="AC33" s="329">
        <f>(AE32/100*qh/3.6+AF32/100*qw)</f>
        <v>0</v>
      </c>
      <c r="AD33" s="756"/>
      <c r="AE33" s="756"/>
      <c r="AF33" s="756"/>
      <c r="AG33" s="759"/>
      <c r="AH33" s="756"/>
      <c r="AI33" s="321"/>
      <c r="AJ33" s="329">
        <f>(AL32/100*qh/3.6+AM32/100*qw)</f>
        <v>0</v>
      </c>
      <c r="AK33" s="756"/>
      <c r="AL33" s="756"/>
      <c r="AM33" s="756"/>
    </row>
    <row r="34" spans="1:39">
      <c r="A34" s="757">
        <v>25</v>
      </c>
      <c r="B34" s="812" t="s">
        <v>41</v>
      </c>
      <c r="C34" s="813" t="s">
        <v>410</v>
      </c>
      <c r="D34" s="814"/>
      <c r="E34" s="815"/>
      <c r="F34" s="816"/>
      <c r="G34" s="306"/>
      <c r="H34" s="328"/>
      <c r="J34" s="756"/>
      <c r="K34" s="756"/>
      <c r="M34" s="758"/>
      <c r="N34" s="321"/>
      <c r="O34" s="330" t="e">
        <f>IF(O27=0,"",($J24*Q$32/100*qh/3.6+$K24*R$32/100*qw)/(O27/100))</f>
        <v>#VALUE!</v>
      </c>
      <c r="P34" s="756"/>
      <c r="Q34" s="315">
        <f>Produzione!$K$18</f>
        <v>0</v>
      </c>
      <c r="R34" s="315">
        <f>Produzione!$L$18</f>
        <v>0</v>
      </c>
      <c r="S34" s="759"/>
      <c r="T34" s="756"/>
      <c r="U34" s="321"/>
      <c r="V34" s="330" t="e">
        <f>IF(V27=0,"",(X$32/100*qh/3.6+Y$32/100*qw)/(V27/100))</f>
        <v>#VALUE!</v>
      </c>
      <c r="W34" s="756"/>
      <c r="X34" s="315">
        <f>Produzione!$K$32</f>
        <v>0</v>
      </c>
      <c r="Y34" s="315">
        <f>Produzione!$L$32</f>
        <v>0</v>
      </c>
      <c r="Z34" s="759"/>
      <c r="AA34" s="758"/>
      <c r="AB34" s="321"/>
      <c r="AC34" s="330" t="e">
        <f>IF(AC27=0,"",(AE$32/100*qh/3.6+AF$32/100*qw)/(AC27/100))</f>
        <v>#VALUE!</v>
      </c>
      <c r="AD34" s="756"/>
      <c r="AE34" s="315">
        <f>Produzione!$K$46</f>
        <v>0</v>
      </c>
      <c r="AF34" s="315">
        <f>Produzione!$L$46</f>
        <v>0</v>
      </c>
      <c r="AG34" s="759"/>
      <c r="AH34" s="758"/>
      <c r="AI34" s="321"/>
      <c r="AJ34" s="330" t="e">
        <f>IF(AJ27=0,"",(AL$32/100*qh/3.6+AM$32/100*qw)/(AJ27/100))</f>
        <v>#VALUE!</v>
      </c>
      <c r="AK34" s="756"/>
      <c r="AL34" s="315">
        <f>Produzione!$K$60</f>
        <v>0</v>
      </c>
      <c r="AM34" s="315">
        <f>Produzione!$L$60</f>
        <v>0</v>
      </c>
    </row>
    <row r="35" spans="1:39">
      <c r="A35" s="757">
        <v>26</v>
      </c>
      <c r="B35" s="759"/>
      <c r="C35" s="833"/>
      <c r="D35" s="759"/>
      <c r="E35" s="759"/>
      <c r="F35" s="817"/>
      <c r="G35" s="759"/>
      <c r="H35" s="759"/>
      <c r="I35" s="759"/>
      <c r="J35" s="759"/>
      <c r="Q35" s="761" t="str">
        <f>IF(Q33&lt;&gt;0,IF(Q34&lt;&gt;0,"Doppelte Eingabe",""),IF(R33&lt;&gt;0,IF(R34&lt;&gt;0,"Doppelte Eingabe",""),""))</f>
        <v/>
      </c>
      <c r="S35" s="759"/>
      <c r="X35" s="761" t="str">
        <f>IF(X33&lt;&gt;0,IF(X34&lt;&gt;0,"Doppelte Eingabe",""),IF(Y33&lt;&gt;0,IF(Y34&lt;&gt;0,"Doppelte Eingabe",""),""))</f>
        <v/>
      </c>
      <c r="Z35" s="759"/>
      <c r="AA35" s="759"/>
      <c r="AB35" s="759"/>
      <c r="AC35" s="759"/>
      <c r="AD35" s="759"/>
      <c r="AE35" s="761" t="str">
        <f>IF(AE33&lt;&gt;0,IF(AE34&lt;&gt;0,"Doppelte Eingabe",""),IF(AF33&lt;&gt;0,IF(AF34&lt;&gt;0,"Doppelte Eingabe",""),""))</f>
        <v/>
      </c>
      <c r="AF35" s="759"/>
      <c r="AG35" s="759"/>
      <c r="AL35" s="761" t="str">
        <f>IF(AL33&lt;&gt;0,IF(AL34&lt;&gt;0,"Doppelte Eingabe",""),IF(AM33&lt;&gt;0,IF(AM34&lt;&gt;0,"Doppelte Eingabe",""),""))</f>
        <v/>
      </c>
    </row>
    <row r="36" spans="1:39">
      <c r="A36" s="757">
        <v>27</v>
      </c>
      <c r="B36" s="755"/>
      <c r="C36" s="828"/>
      <c r="D36" s="755"/>
      <c r="E36" s="755"/>
      <c r="F36" s="774"/>
      <c r="G36" s="755"/>
      <c r="H36" s="763"/>
      <c r="I36" s="806"/>
      <c r="J36" s="755" t="s">
        <v>1620</v>
      </c>
      <c r="K36" s="806"/>
      <c r="M36" s="759"/>
      <c r="N36" s="762"/>
      <c r="O36" s="860"/>
      <c r="P36" s="759"/>
      <c r="Q36" s="762" t="s">
        <v>1620</v>
      </c>
      <c r="R36" s="759"/>
      <c r="S36" s="759"/>
      <c r="T36" s="759"/>
      <c r="U36" s="762"/>
      <c r="V36" s="769"/>
      <c r="W36" s="759"/>
      <c r="X36" s="762" t="s">
        <v>1620</v>
      </c>
      <c r="Y36" s="759"/>
      <c r="Z36" s="759"/>
      <c r="AA36" s="756"/>
      <c r="AB36" s="760"/>
      <c r="AC36" s="764"/>
      <c r="AD36" s="756"/>
      <c r="AE36" s="760" t="s">
        <v>1620</v>
      </c>
      <c r="AF36" s="756"/>
      <c r="AG36" s="759"/>
      <c r="AH36" s="756"/>
      <c r="AI36" s="760"/>
      <c r="AJ36" s="764"/>
      <c r="AK36" s="756"/>
      <c r="AL36" s="760" t="s">
        <v>1620</v>
      </c>
      <c r="AM36" s="756"/>
    </row>
    <row r="37" spans="1:39">
      <c r="A37" s="757">
        <v>28</v>
      </c>
      <c r="B37" s="772" t="str">
        <f>INDEX(Standardwerte!$V$6:$V$16,Rechnung!$C37,1)</f>
        <v>Riscaldamento a olio a condensazione, solo risc.</v>
      </c>
      <c r="C37" s="829">
        <v>3</v>
      </c>
      <c r="D37" s="755"/>
      <c r="E37" s="773"/>
      <c r="F37" s="774"/>
      <c r="G37" s="755"/>
      <c r="H37" s="775"/>
      <c r="J37" s="776" t="s">
        <v>525</v>
      </c>
      <c r="K37" s="777" t="s">
        <v>1622</v>
      </c>
      <c r="M37" s="756"/>
      <c r="N37" s="760"/>
      <c r="O37" s="852"/>
      <c r="P37" s="756"/>
      <c r="Q37" s="760" t="s">
        <v>525</v>
      </c>
      <c r="R37" s="756" t="s">
        <v>1622</v>
      </c>
      <c r="S37" s="759"/>
      <c r="T37" s="756"/>
      <c r="U37" s="760"/>
      <c r="V37" s="764"/>
      <c r="W37" s="756"/>
      <c r="X37" s="760" t="s">
        <v>525</v>
      </c>
      <c r="Y37" s="756" t="s">
        <v>1622</v>
      </c>
      <c r="Z37" s="759"/>
      <c r="AA37" s="756"/>
      <c r="AB37" s="760"/>
      <c r="AC37" s="764"/>
      <c r="AD37" s="756"/>
      <c r="AE37" s="760" t="s">
        <v>525</v>
      </c>
      <c r="AF37" s="756" t="s">
        <v>1622</v>
      </c>
      <c r="AG37" s="759"/>
      <c r="AH37" s="756"/>
      <c r="AI37" s="760"/>
      <c r="AJ37" s="764"/>
      <c r="AK37" s="756"/>
      <c r="AL37" s="760" t="s">
        <v>525</v>
      </c>
      <c r="AM37" s="756" t="s">
        <v>1622</v>
      </c>
    </row>
    <row r="38" spans="1:39">
      <c r="A38" s="757">
        <v>29</v>
      </c>
      <c r="B38" s="778" t="s">
        <v>526</v>
      </c>
      <c r="C38" s="830"/>
      <c r="D38" s="779"/>
      <c r="E38" s="312"/>
      <c r="F38" s="313">
        <f>INDEX($M$10:$AM$162,$A$10+(_typ1-1)*14,1)</f>
        <v>0</v>
      </c>
      <c r="G38" s="780"/>
      <c r="H38" s="781"/>
      <c r="J38" s="782">
        <f>INDEX(Standardwerte!$Y$6:$Z$43,$C37,2)</f>
        <v>1</v>
      </c>
      <c r="K38" s="783">
        <f>INDEX(Standardwerte!$Y$6:$Z$43,$C37,1)</f>
        <v>0</v>
      </c>
      <c r="M38" s="315">
        <f>Produzione!$G$8</f>
        <v>0</v>
      </c>
      <c r="N38" s="764"/>
      <c r="O38" s="852"/>
      <c r="P38" s="756"/>
      <c r="Q38" s="756"/>
      <c r="R38" s="756"/>
      <c r="S38" s="759"/>
      <c r="T38" s="315">
        <f>Produzione!$G$22</f>
        <v>0</v>
      </c>
      <c r="U38" s="764"/>
      <c r="V38" s="764"/>
      <c r="W38" s="756"/>
      <c r="X38" s="756"/>
      <c r="Y38" s="756"/>
      <c r="Z38" s="759"/>
      <c r="AA38" s="315">
        <f>Produzione!$G$36</f>
        <v>0</v>
      </c>
      <c r="AB38" s="764"/>
      <c r="AC38" s="764"/>
      <c r="AD38" s="756"/>
      <c r="AE38" s="756"/>
      <c r="AF38" s="756"/>
      <c r="AG38" s="759"/>
      <c r="AH38" s="315">
        <f>Produzione!$G$50</f>
        <v>0</v>
      </c>
      <c r="AI38" s="764"/>
      <c r="AJ38" s="764"/>
      <c r="AK38" s="756"/>
      <c r="AL38" s="756"/>
      <c r="AM38" s="756"/>
    </row>
    <row r="39" spans="1:39">
      <c r="A39" s="757">
        <v>30</v>
      </c>
      <c r="B39" s="784" t="s">
        <v>1193</v>
      </c>
      <c r="C39" s="831" t="s">
        <v>584</v>
      </c>
      <c r="E39" s="786"/>
      <c r="F39" s="809">
        <f>INDEX(Standardwerte!$W$6:$W$43,$C37,1)</f>
        <v>91</v>
      </c>
      <c r="G39" s="787"/>
      <c r="H39" s="788"/>
      <c r="J39" s="782"/>
      <c r="K39" s="783"/>
      <c r="M39" s="315">
        <f>Produzione!$G$10</f>
        <v>0</v>
      </c>
      <c r="N39" s="764"/>
      <c r="O39" s="861">
        <f>F39</f>
        <v>91</v>
      </c>
      <c r="P39" s="756"/>
      <c r="Q39" s="756"/>
      <c r="R39" s="756"/>
      <c r="S39" s="759"/>
      <c r="T39" s="315">
        <f>Produzione!$G$24</f>
        <v>0</v>
      </c>
      <c r="U39" s="764"/>
      <c r="V39" s="28">
        <f>F39</f>
        <v>91</v>
      </c>
      <c r="W39" s="756"/>
      <c r="X39" s="756"/>
      <c r="Y39" s="756"/>
      <c r="Z39" s="759"/>
      <c r="AA39" s="315">
        <f>Produzione!$G$38</f>
        <v>0</v>
      </c>
      <c r="AB39" s="764"/>
      <c r="AC39" s="28">
        <f>F39</f>
        <v>91</v>
      </c>
      <c r="AD39" s="756"/>
      <c r="AE39" s="756"/>
      <c r="AF39" s="756"/>
      <c r="AG39" s="759"/>
      <c r="AH39" s="315">
        <f>Produzione!$G$52</f>
        <v>0</v>
      </c>
      <c r="AI39" s="764"/>
      <c r="AJ39" s="28">
        <f>F39</f>
        <v>91</v>
      </c>
      <c r="AK39" s="756"/>
      <c r="AL39" s="756"/>
      <c r="AM39" s="756"/>
    </row>
    <row r="40" spans="1:39">
      <c r="A40" s="757">
        <v>31</v>
      </c>
      <c r="B40" s="789" t="s">
        <v>1194</v>
      </c>
      <c r="C40" s="831" t="s">
        <v>584</v>
      </c>
      <c r="D40" s="786"/>
      <c r="E40" s="786"/>
      <c r="F40" s="1344"/>
      <c r="G40" s="792"/>
      <c r="H40" s="793"/>
      <c r="J40" s="782"/>
      <c r="K40" s="783"/>
      <c r="L40" s="770">
        <v>1</v>
      </c>
      <c r="M40" s="756"/>
      <c r="N40" s="766"/>
      <c r="O40" s="854"/>
      <c r="P40" s="756"/>
      <c r="Q40" s="756"/>
      <c r="R40" s="756"/>
      <c r="S40" s="759"/>
      <c r="T40" s="756"/>
      <c r="U40" s="766"/>
      <c r="V40" s="767"/>
      <c r="W40" s="756"/>
      <c r="X40" s="756"/>
      <c r="Y40" s="756"/>
      <c r="Z40" s="759"/>
      <c r="AA40" s="756"/>
      <c r="AB40" s="766"/>
      <c r="AC40" s="767"/>
      <c r="AD40" s="756"/>
      <c r="AE40" s="756"/>
      <c r="AF40" s="756"/>
      <c r="AG40" s="759"/>
      <c r="AH40" s="756"/>
      <c r="AI40" s="766"/>
      <c r="AJ40" s="767"/>
      <c r="AK40" s="756"/>
      <c r="AL40" s="756"/>
      <c r="AM40" s="756"/>
    </row>
    <row r="41" spans="1:39">
      <c r="A41" s="757">
        <v>32</v>
      </c>
      <c r="B41" s="789" t="s">
        <v>527</v>
      </c>
      <c r="C41" s="790" t="s">
        <v>584</v>
      </c>
      <c r="D41" s="786"/>
      <c r="E41" s="786"/>
      <c r="F41" s="791"/>
      <c r="G41" s="303"/>
      <c r="H41" s="316"/>
      <c r="J41" s="782"/>
      <c r="K41" s="783"/>
      <c r="M41" s="756"/>
      <c r="N41" s="321"/>
      <c r="O41" s="855" t="str">
        <f>IF(M39&lt;&gt;0,M39,IF(Produzione!$E$10&lt;&gt;"",Produzione!$E$10,Produzione!$G$9))</f>
        <v/>
      </c>
      <c r="P41" s="756"/>
      <c r="Q41" s="756"/>
      <c r="R41" s="756"/>
      <c r="S41" s="759"/>
      <c r="T41" s="756"/>
      <c r="U41" s="321"/>
      <c r="V41" s="322" t="str">
        <f>IF(T39&lt;&gt;0,T39,IF(Produzione!$E$24&lt;&gt;"",Produzione!$E$24,Produzione!$G$23))</f>
        <v/>
      </c>
      <c r="W41" s="756"/>
      <c r="X41" s="756"/>
      <c r="Y41" s="756"/>
      <c r="Z41" s="759"/>
      <c r="AA41" s="756"/>
      <c r="AB41" s="321"/>
      <c r="AC41" s="322" t="str">
        <f>IF(AA39&lt;&gt;0,AA39,IF(Produzione!$E$38&lt;&gt;"",Produzione!$E$38,Produzione!$G$37))</f>
        <v/>
      </c>
      <c r="AD41" s="756"/>
      <c r="AE41" s="756"/>
      <c r="AF41" s="756"/>
      <c r="AG41" s="759"/>
      <c r="AH41" s="756"/>
      <c r="AI41" s="321"/>
      <c r="AJ41" s="322" t="str">
        <f>IF(AH39&lt;&gt;0,AH39,IF(Produzione!$E$52&lt;&gt;"",Produzione!$E$52,Produzione!$G$51))</f>
        <v/>
      </c>
      <c r="AK41" s="756"/>
      <c r="AL41" s="756"/>
      <c r="AM41" s="756"/>
    </row>
    <row r="42" spans="1:39">
      <c r="A42" s="757">
        <v>33</v>
      </c>
      <c r="B42" s="789"/>
      <c r="C42" s="790"/>
      <c r="D42" s="787"/>
      <c r="E42" s="795"/>
      <c r="F42" s="1344"/>
      <c r="G42" s="796"/>
      <c r="H42" s="797"/>
      <c r="J42" s="782"/>
      <c r="K42" s="783"/>
      <c r="M42" s="315">
        <f>Produzione!$G$12</f>
        <v>0</v>
      </c>
      <c r="N42" s="758"/>
      <c r="O42" s="854"/>
      <c r="P42" s="756"/>
      <c r="Q42" s="756"/>
      <c r="R42" s="756"/>
      <c r="S42" s="759"/>
      <c r="T42" s="315">
        <f>Produzione!$G$26</f>
        <v>0</v>
      </c>
      <c r="U42" s="758"/>
      <c r="V42" s="758"/>
      <c r="W42" s="756"/>
      <c r="X42" s="756"/>
      <c r="Y42" s="756"/>
      <c r="Z42" s="759"/>
      <c r="AA42" s="315">
        <f>Produzione!$G$40</f>
        <v>0</v>
      </c>
      <c r="AB42" s="758"/>
      <c r="AC42" s="758"/>
      <c r="AD42" s="756"/>
      <c r="AE42" s="756"/>
      <c r="AF42" s="756"/>
      <c r="AG42" s="759"/>
      <c r="AH42" s="315">
        <f>Produzione!$G$54</f>
        <v>0</v>
      </c>
      <c r="AI42" s="758"/>
      <c r="AJ42" s="758"/>
      <c r="AK42" s="756"/>
      <c r="AL42" s="756"/>
      <c r="AM42" s="756"/>
    </row>
    <row r="43" spans="1:39">
      <c r="A43" s="757">
        <v>34</v>
      </c>
      <c r="B43" s="789"/>
      <c r="C43" s="790"/>
      <c r="D43" s="796"/>
      <c r="E43" s="795"/>
      <c r="F43" s="1344"/>
      <c r="G43" s="787"/>
      <c r="H43" s="798"/>
      <c r="J43" s="782"/>
      <c r="K43" s="783"/>
      <c r="M43" s="315">
        <f>Produzione!$G$13</f>
        <v>0</v>
      </c>
      <c r="N43" s="764"/>
      <c r="O43" s="852"/>
      <c r="P43" s="756"/>
      <c r="Q43" s="756"/>
      <c r="R43" s="756"/>
      <c r="S43" s="759"/>
      <c r="T43" s="315">
        <f>Produzione!$G$27</f>
        <v>0</v>
      </c>
      <c r="U43" s="764"/>
      <c r="V43" s="768"/>
      <c r="W43" s="756"/>
      <c r="X43" s="756"/>
      <c r="Y43" s="756"/>
      <c r="Z43" s="759"/>
      <c r="AA43" s="315">
        <f>Produzione!$G$41</f>
        <v>0</v>
      </c>
      <c r="AB43" s="764"/>
      <c r="AC43" s="768"/>
      <c r="AD43" s="756"/>
      <c r="AE43" s="756"/>
      <c r="AF43" s="756"/>
      <c r="AG43" s="759"/>
      <c r="AH43" s="315">
        <f>Produzione!$G$55</f>
        <v>0</v>
      </c>
      <c r="AI43" s="764"/>
      <c r="AJ43" s="768"/>
      <c r="AK43" s="756"/>
      <c r="AL43" s="756"/>
      <c r="AM43" s="756"/>
    </row>
    <row r="44" spans="1:39">
      <c r="A44" s="757">
        <v>35</v>
      </c>
      <c r="B44" s="799" t="str">
        <f>IF(J38=1,"Temperatura di mandata riscaldamento","")</f>
        <v>Temperatura di mandata riscaldamento</v>
      </c>
      <c r="C44" s="831" t="str">
        <f>IF(J38=1,"°C","")</f>
        <v>°C</v>
      </c>
      <c r="D44" s="786"/>
      <c r="E44" s="786"/>
      <c r="F44" s="1344"/>
      <c r="G44" s="787"/>
      <c r="H44" s="800"/>
      <c r="J44" s="782"/>
      <c r="K44" s="783"/>
      <c r="L44" s="770">
        <v>2</v>
      </c>
      <c r="M44" s="315">
        <f>Produzione!$G$14</f>
        <v>0</v>
      </c>
      <c r="N44" s="764"/>
      <c r="O44" s="852"/>
      <c r="P44" s="756"/>
      <c r="Q44" s="756"/>
      <c r="R44" s="756"/>
      <c r="S44" s="759"/>
      <c r="T44" s="315">
        <f>Produzione!$G$28</f>
        <v>0</v>
      </c>
      <c r="U44" s="764"/>
      <c r="V44" s="764"/>
      <c r="W44" s="756"/>
      <c r="X44" s="756"/>
      <c r="Y44" s="756"/>
      <c r="Z44" s="759"/>
      <c r="AA44" s="315">
        <f>Produzione!$G$42</f>
        <v>0</v>
      </c>
      <c r="AB44" s="764"/>
      <c r="AC44" s="764"/>
      <c r="AD44" s="756"/>
      <c r="AE44" s="756"/>
      <c r="AF44" s="756"/>
      <c r="AG44" s="759"/>
      <c r="AH44" s="315">
        <f>Produzione!$G$56</f>
        <v>0</v>
      </c>
      <c r="AI44" s="764"/>
      <c r="AJ44" s="764"/>
      <c r="AK44" s="756"/>
      <c r="AL44" s="756"/>
      <c r="AM44" s="756"/>
    </row>
    <row r="45" spans="1:39">
      <c r="A45" s="757">
        <v>36</v>
      </c>
      <c r="B45" s="799" t="str">
        <f>IF(AND(Warmwasser,K38=1),"Temperatura acqua calda sanitaria","")</f>
        <v/>
      </c>
      <c r="C45" s="831" t="str">
        <f>IF(AND(Warmwasser,K38=1),"°C","")</f>
        <v/>
      </c>
      <c r="D45" s="786"/>
      <c r="E45" s="786"/>
      <c r="F45" s="1344"/>
      <c r="G45" s="796"/>
      <c r="H45" s="788"/>
      <c r="J45" s="782"/>
      <c r="K45" s="783"/>
      <c r="M45" s="315">
        <f>Produzione!$G$15</f>
        <v>0</v>
      </c>
      <c r="N45" s="758"/>
      <c r="O45" s="853"/>
      <c r="P45" s="756"/>
      <c r="Q45" s="756"/>
      <c r="R45" s="756" t="str">
        <f>IF(AND($K38=0,R48&lt;&gt;0),"Riscald. ausgewählt",IF(AND($J38=0,Q34&gt;0),"Acqua calda ausgewählt",""))</f>
        <v/>
      </c>
      <c r="S45" s="759"/>
      <c r="T45" s="315">
        <f>Produzione!$G$29</f>
        <v>0</v>
      </c>
      <c r="U45" s="758"/>
      <c r="V45" s="765"/>
      <c r="W45" s="756"/>
      <c r="X45" s="756"/>
      <c r="Y45" s="756" t="str">
        <f>IF(AND($K38=0,Y48&lt;&gt;0),"Riscald. ausgewählt",IF(AND($J38=0,X34&gt;0),"Acqua calda ausgewählt",""))</f>
        <v/>
      </c>
      <c r="Z45" s="759"/>
      <c r="AA45" s="315">
        <f>Produzione!$G$43</f>
        <v>0</v>
      </c>
      <c r="AB45" s="758"/>
      <c r="AC45" s="765"/>
      <c r="AD45" s="756"/>
      <c r="AE45" s="756"/>
      <c r="AF45" s="756" t="str">
        <f>IF(AND($K38=0,AF48&lt;&gt;0),"Riscald. ausgewählt",IF(AND($J38=0,AE34&gt;0),"Acqua calda ausgewählt",""))</f>
        <v/>
      </c>
      <c r="AG45" s="759"/>
      <c r="AH45" s="315">
        <f>Produzione!$G$57</f>
        <v>0</v>
      </c>
      <c r="AI45" s="758"/>
      <c r="AJ45" s="765"/>
      <c r="AK45" s="756"/>
      <c r="AL45" s="756"/>
      <c r="AM45" s="756" t="str">
        <f>IF(AND($K38=0,AM48&lt;&gt;0),"Riscald. ausgewählt",IF(AND($J38=0,AL34&gt;0),"Acqua calda ausgewählt",""))</f>
        <v/>
      </c>
    </row>
    <row r="46" spans="1:39">
      <c r="A46" s="757">
        <v>37</v>
      </c>
      <c r="B46" s="799"/>
      <c r="C46" s="831"/>
      <c r="D46" s="810"/>
      <c r="E46" s="810"/>
      <c r="F46" s="811"/>
      <c r="G46" s="326"/>
      <c r="H46" s="327"/>
      <c r="J46" s="801"/>
      <c r="K46" s="802"/>
      <c r="M46" s="756"/>
      <c r="N46" s="325"/>
      <c r="O46" s="858"/>
      <c r="P46" s="756"/>
      <c r="Q46" s="756">
        <f>IF(Q47&lt;&gt;0,Q47,Q48)*J38</f>
        <v>0</v>
      </c>
      <c r="R46" s="756">
        <f>IF(R47&lt;&gt;0,R47,R48)*K38</f>
        <v>0</v>
      </c>
      <c r="S46" s="759"/>
      <c r="T46" s="756"/>
      <c r="U46" s="325"/>
      <c r="V46" s="325"/>
      <c r="W46" s="756"/>
      <c r="X46" s="756">
        <f>IF(X47&lt;&gt;0,X47,X48)*J38</f>
        <v>0</v>
      </c>
      <c r="Y46" s="756">
        <f>IF(Y47&lt;&gt;0,Y47,Y48)*K38</f>
        <v>0</v>
      </c>
      <c r="Z46" s="759"/>
      <c r="AA46" s="756"/>
      <c r="AB46" s="325"/>
      <c r="AC46" s="325"/>
      <c r="AD46" s="756"/>
      <c r="AE46" s="756">
        <f>IF(AE47&lt;&gt;0,AE47,AE48)*J38</f>
        <v>0</v>
      </c>
      <c r="AF46" s="756">
        <f>IF(AF47&lt;&gt;0,AF47,AF48)*K38</f>
        <v>0</v>
      </c>
      <c r="AG46" s="759"/>
      <c r="AH46" s="756"/>
      <c r="AI46" s="325"/>
      <c r="AJ46" s="325"/>
      <c r="AK46" s="756"/>
      <c r="AL46" s="756">
        <f>IF(AL47&lt;&gt;0,AL47,AL48)*J38</f>
        <v>0</v>
      </c>
      <c r="AM46" s="756">
        <f>IF(AM47&lt;&gt;0,AM47,AM48)*K38</f>
        <v>0</v>
      </c>
    </row>
    <row r="47" spans="1:39">
      <c r="A47" s="757">
        <v>38</v>
      </c>
      <c r="B47" s="757" t="s">
        <v>652</v>
      </c>
      <c r="C47" s="813" t="s">
        <v>410</v>
      </c>
      <c r="D47" s="795"/>
      <c r="E47" s="795"/>
      <c r="F47" s="791"/>
      <c r="G47" s="303"/>
      <c r="H47" s="317"/>
      <c r="J47" s="803"/>
      <c r="K47" s="804"/>
      <c r="M47" s="756"/>
      <c r="N47" s="321"/>
      <c r="O47" s="844">
        <f>(Q46/100*qh/3.6)</f>
        <v>0</v>
      </c>
      <c r="P47" s="756"/>
      <c r="Q47" s="756"/>
      <c r="R47" s="756"/>
      <c r="S47" s="759"/>
      <c r="T47" s="756"/>
      <c r="U47" s="321"/>
      <c r="V47" s="844">
        <f>(X46/100*qh/3.6)</f>
        <v>0</v>
      </c>
      <c r="W47" s="756"/>
      <c r="X47" s="756"/>
      <c r="Y47" s="756"/>
      <c r="Z47" s="759"/>
      <c r="AA47" s="756"/>
      <c r="AB47" s="321"/>
      <c r="AC47" s="844">
        <f>(AE46/100*qh/3.6)</f>
        <v>0</v>
      </c>
      <c r="AD47" s="756"/>
      <c r="AE47" s="756"/>
      <c r="AF47" s="756"/>
      <c r="AG47" s="759"/>
      <c r="AH47" s="756"/>
      <c r="AI47" s="321"/>
      <c r="AJ47" s="844">
        <f>(AL46/100*qh/3.6)</f>
        <v>0</v>
      </c>
      <c r="AK47" s="756"/>
      <c r="AL47" s="756"/>
      <c r="AM47" s="756"/>
    </row>
    <row r="48" spans="1:39">
      <c r="A48" s="757">
        <v>39</v>
      </c>
      <c r="B48" s="812" t="s">
        <v>41</v>
      </c>
      <c r="C48" s="813" t="s">
        <v>410</v>
      </c>
      <c r="D48" s="814"/>
      <c r="E48" s="815"/>
      <c r="F48" s="816"/>
      <c r="G48" s="306"/>
      <c r="H48" s="328"/>
      <c r="J48" s="756"/>
      <c r="K48" s="756"/>
      <c r="M48" s="758"/>
      <c r="N48" s="321"/>
      <c r="O48" s="330" t="e">
        <f>IF(O41=0,"",(Q$46/100*qh/3.6)/(O41/100))</f>
        <v>#VALUE!</v>
      </c>
      <c r="P48" s="756"/>
      <c r="Q48" s="315">
        <f>Produzione!$K$18</f>
        <v>0</v>
      </c>
      <c r="R48" s="315">
        <f>Produzione!$L$18</f>
        <v>0</v>
      </c>
      <c r="S48" s="759"/>
      <c r="T48" s="756"/>
      <c r="U48" s="321"/>
      <c r="V48" s="330" t="e">
        <f>IF(V41=0,"",(X$46/100*qh/3.6)/(V41/100))</f>
        <v>#VALUE!</v>
      </c>
      <c r="W48" s="756"/>
      <c r="X48" s="315">
        <f>Produzione!$K$32</f>
        <v>0</v>
      </c>
      <c r="Y48" s="315">
        <f>Produzione!$L$32</f>
        <v>0</v>
      </c>
      <c r="Z48" s="759"/>
      <c r="AA48" s="758"/>
      <c r="AB48" s="321"/>
      <c r="AC48" s="330" t="e">
        <f>IF(AC41=0,"",(AE$46/100*qh/3.6)/(AC41/100))</f>
        <v>#VALUE!</v>
      </c>
      <c r="AD48" s="756"/>
      <c r="AE48" s="315">
        <f>Produzione!$K$46</f>
        <v>0</v>
      </c>
      <c r="AF48" s="315">
        <f>Produzione!$L$46</f>
        <v>0</v>
      </c>
      <c r="AG48" s="759"/>
      <c r="AH48" s="758"/>
      <c r="AI48" s="321"/>
      <c r="AJ48" s="330" t="e">
        <f>IF(AJ41=0,"",(AL$46/100*qh/3.6)/(AJ41/100))</f>
        <v>#VALUE!</v>
      </c>
      <c r="AK48" s="756"/>
      <c r="AL48" s="315">
        <f>Produzione!$K$60</f>
        <v>0</v>
      </c>
      <c r="AM48" s="315">
        <f>Produzione!$L$60</f>
        <v>0</v>
      </c>
    </row>
    <row r="49" spans="1:39">
      <c r="A49" s="757">
        <v>40</v>
      </c>
      <c r="B49" s="759"/>
      <c r="C49" s="833"/>
      <c r="D49" s="759"/>
      <c r="E49" s="759"/>
      <c r="F49" s="817"/>
      <c r="G49" s="759"/>
      <c r="H49" s="759"/>
      <c r="I49" s="759"/>
      <c r="J49" s="759"/>
      <c r="Q49" s="761" t="str">
        <f>IF(Q47&lt;&gt;0,IF(Q48&lt;&gt;0,"Doppelte Eingabe",""),IF(R47&lt;&gt;0,IF(R48&lt;&gt;0,"Doppelte Eingabe",""),""))</f>
        <v/>
      </c>
      <c r="S49" s="759"/>
      <c r="X49" s="761" t="str">
        <f>IF(X47&lt;&gt;0,IF(X48&lt;&gt;0,"Doppelte Eingabe",""),IF(Y47&lt;&gt;0,IF(Y48&lt;&gt;0,"Doppelte Eingabe",""),""))</f>
        <v/>
      </c>
      <c r="Z49" s="759"/>
      <c r="AA49" s="759"/>
      <c r="AB49" s="759"/>
      <c r="AC49" s="759"/>
      <c r="AD49" s="759"/>
      <c r="AE49" s="761" t="str">
        <f>IF(AE47&lt;&gt;0,IF(AE48&lt;&gt;0,"Doppelte Eingabe",""),IF(AF47&lt;&gt;0,IF(AF48&lt;&gt;0,"Doppelte Eingabe",""),""))</f>
        <v/>
      </c>
      <c r="AF49" s="759"/>
      <c r="AG49" s="759"/>
      <c r="AL49" s="761" t="str">
        <f>IF(AL47&lt;&gt;0,IF(AL48&lt;&gt;0,"Doppelte Eingabe",""),IF(AM47&lt;&gt;0,IF(AM48&lt;&gt;0,"Doppelte Eingabe",""),""))</f>
        <v/>
      </c>
    </row>
    <row r="50" spans="1:39">
      <c r="A50" s="757">
        <v>41</v>
      </c>
      <c r="B50" s="755"/>
      <c r="C50" s="828"/>
      <c r="D50" s="755"/>
      <c r="E50" s="755"/>
      <c r="F50" s="774"/>
      <c r="G50" s="755"/>
      <c r="H50" s="763"/>
      <c r="I50" s="806"/>
      <c r="J50" s="755" t="s">
        <v>1620</v>
      </c>
      <c r="K50" s="806"/>
      <c r="M50" s="759"/>
      <c r="N50" s="762"/>
      <c r="O50" s="860"/>
      <c r="P50" s="759"/>
      <c r="Q50" s="762" t="s">
        <v>1620</v>
      </c>
      <c r="R50" s="759"/>
      <c r="S50" s="759"/>
      <c r="T50" s="759"/>
      <c r="U50" s="762"/>
      <c r="V50" s="769"/>
      <c r="W50" s="759"/>
      <c r="X50" s="762" t="s">
        <v>1620</v>
      </c>
      <c r="Y50" s="759"/>
      <c r="Z50" s="759"/>
      <c r="AA50" s="756"/>
      <c r="AB50" s="760"/>
      <c r="AC50" s="764"/>
      <c r="AD50" s="756"/>
      <c r="AE50" s="760" t="s">
        <v>1620</v>
      </c>
      <c r="AF50" s="756"/>
      <c r="AG50" s="759"/>
      <c r="AH50" s="756"/>
      <c r="AI50" s="760"/>
      <c r="AJ50" s="764"/>
      <c r="AK50" s="756"/>
      <c r="AL50" s="760" t="s">
        <v>1620</v>
      </c>
      <c r="AM50" s="756"/>
    </row>
    <row r="51" spans="1:39">
      <c r="A51" s="757">
        <v>42</v>
      </c>
      <c r="B51" s="772" t="str">
        <f>INDEX(Standardwerte!$V$6:$V$16,Rechnung!$C51,1)</f>
        <v>Riscaldamento a olio a condensazione, solo AC</v>
      </c>
      <c r="C51" s="829">
        <v>4</v>
      </c>
      <c r="D51" s="755"/>
      <c r="E51" s="773"/>
      <c r="F51" s="774"/>
      <c r="G51" s="755"/>
      <c r="H51" s="775"/>
      <c r="J51" s="776" t="s">
        <v>525</v>
      </c>
      <c r="K51" s="777" t="s">
        <v>1622</v>
      </c>
      <c r="M51" s="756"/>
      <c r="N51" s="760"/>
      <c r="O51" s="852"/>
      <c r="P51" s="756"/>
      <c r="Q51" s="760" t="s">
        <v>525</v>
      </c>
      <c r="R51" s="756" t="s">
        <v>1622</v>
      </c>
      <c r="S51" s="759"/>
      <c r="T51" s="756"/>
      <c r="U51" s="760"/>
      <c r="V51" s="764"/>
      <c r="W51" s="756"/>
      <c r="X51" s="760" t="s">
        <v>525</v>
      </c>
      <c r="Y51" s="756" t="s">
        <v>1622</v>
      </c>
      <c r="Z51" s="759"/>
      <c r="AA51" s="756"/>
      <c r="AB51" s="760"/>
      <c r="AC51" s="764"/>
      <c r="AD51" s="756"/>
      <c r="AE51" s="760" t="s">
        <v>525</v>
      </c>
      <c r="AF51" s="756" t="s">
        <v>1622</v>
      </c>
      <c r="AG51" s="759"/>
      <c r="AH51" s="756"/>
      <c r="AI51" s="760"/>
      <c r="AJ51" s="764"/>
      <c r="AK51" s="756"/>
      <c r="AL51" s="760" t="s">
        <v>525</v>
      </c>
      <c r="AM51" s="756" t="s">
        <v>1622</v>
      </c>
    </row>
    <row r="52" spans="1:39">
      <c r="A52" s="757">
        <v>43</v>
      </c>
      <c r="B52" s="778" t="s">
        <v>526</v>
      </c>
      <c r="C52" s="830"/>
      <c r="D52" s="779"/>
      <c r="E52" s="312"/>
      <c r="F52" s="313">
        <f>INDEX($M$10:$AM$162,$A$10+(_typ1-1)*14,1)</f>
        <v>0</v>
      </c>
      <c r="G52" s="780"/>
      <c r="H52" s="781"/>
      <c r="J52" s="782">
        <f>INDEX(Standardwerte!$Y$6:$Z$43,$C51,2)</f>
        <v>0</v>
      </c>
      <c r="K52" s="783">
        <f>INDEX(Standardwerte!$Y$6:$Z$43,$C51,1)</f>
        <v>1</v>
      </c>
      <c r="M52" s="315">
        <f>Produzione!$G$8</f>
        <v>0</v>
      </c>
      <c r="N52" s="764"/>
      <c r="O52" s="852"/>
      <c r="P52" s="756"/>
      <c r="Q52" s="756"/>
      <c r="R52" s="756"/>
      <c r="S52" s="759"/>
      <c r="T52" s="315">
        <f>Produzione!$G$22</f>
        <v>0</v>
      </c>
      <c r="U52" s="764"/>
      <c r="V52" s="764"/>
      <c r="W52" s="756"/>
      <c r="X52" s="756"/>
      <c r="Y52" s="756"/>
      <c r="Z52" s="759"/>
      <c r="AA52" s="315">
        <f>Produzione!$G$36</f>
        <v>0</v>
      </c>
      <c r="AB52" s="764"/>
      <c r="AC52" s="764"/>
      <c r="AD52" s="756"/>
      <c r="AE52" s="756"/>
      <c r="AF52" s="756"/>
      <c r="AG52" s="759"/>
      <c r="AH52" s="315">
        <f>Produzione!$G$50</f>
        <v>0</v>
      </c>
      <c r="AI52" s="764"/>
      <c r="AJ52" s="764"/>
      <c r="AK52" s="756"/>
      <c r="AL52" s="756"/>
      <c r="AM52" s="756"/>
    </row>
    <row r="53" spans="1:39">
      <c r="A53" s="757">
        <v>44</v>
      </c>
      <c r="B53" s="784" t="s">
        <v>1193</v>
      </c>
      <c r="C53" s="831" t="s">
        <v>584</v>
      </c>
      <c r="E53" s="786"/>
      <c r="F53" s="809">
        <f>INDEX(Standardwerte!$W$6:$W$43,$C51,1)</f>
        <v>88</v>
      </c>
      <c r="G53" s="787"/>
      <c r="H53" s="788"/>
      <c r="J53" s="782"/>
      <c r="K53" s="783"/>
      <c r="M53" s="315">
        <f>Produzione!$G$10</f>
        <v>0</v>
      </c>
      <c r="N53" s="764"/>
      <c r="O53" s="861">
        <f>F53</f>
        <v>88</v>
      </c>
      <c r="P53" s="756"/>
      <c r="Q53" s="756"/>
      <c r="R53" s="756"/>
      <c r="S53" s="759"/>
      <c r="T53" s="315">
        <f>Produzione!$G$24</f>
        <v>0</v>
      </c>
      <c r="U53" s="764"/>
      <c r="V53" s="28">
        <f>F53</f>
        <v>88</v>
      </c>
      <c r="W53" s="756"/>
      <c r="X53" s="756"/>
      <c r="Y53" s="756"/>
      <c r="Z53" s="759"/>
      <c r="AA53" s="315">
        <f>Produzione!$G$38</f>
        <v>0</v>
      </c>
      <c r="AB53" s="764"/>
      <c r="AC53" s="28">
        <f>F53</f>
        <v>88</v>
      </c>
      <c r="AD53" s="756"/>
      <c r="AE53" s="756"/>
      <c r="AF53" s="756"/>
      <c r="AG53" s="759"/>
      <c r="AH53" s="315">
        <f>Produzione!$G$52</f>
        <v>0</v>
      </c>
      <c r="AI53" s="764"/>
      <c r="AJ53" s="28">
        <f>F53</f>
        <v>88</v>
      </c>
      <c r="AK53" s="756"/>
      <c r="AL53" s="756"/>
      <c r="AM53" s="756"/>
    </row>
    <row r="54" spans="1:39">
      <c r="A54" s="757">
        <v>45</v>
      </c>
      <c r="B54" s="789" t="s">
        <v>1194</v>
      </c>
      <c r="C54" s="831" t="s">
        <v>584</v>
      </c>
      <c r="D54" s="786"/>
      <c r="E54" s="786"/>
      <c r="F54" s="1344"/>
      <c r="G54" s="792"/>
      <c r="H54" s="793"/>
      <c r="J54" s="782"/>
      <c r="K54" s="783"/>
      <c r="L54" s="770">
        <v>1</v>
      </c>
      <c r="M54" s="756"/>
      <c r="N54" s="766"/>
      <c r="O54" s="854"/>
      <c r="P54" s="756"/>
      <c r="Q54" s="756"/>
      <c r="R54" s="756"/>
      <c r="S54" s="759"/>
      <c r="T54" s="756"/>
      <c r="U54" s="766"/>
      <c r="V54" s="767"/>
      <c r="W54" s="756"/>
      <c r="X54" s="756"/>
      <c r="Y54" s="756"/>
      <c r="Z54" s="759"/>
      <c r="AA54" s="756"/>
      <c r="AB54" s="766"/>
      <c r="AC54" s="767"/>
      <c r="AD54" s="756"/>
      <c r="AE54" s="756"/>
      <c r="AF54" s="756"/>
      <c r="AG54" s="759"/>
      <c r="AH54" s="756"/>
      <c r="AI54" s="766"/>
      <c r="AJ54" s="767"/>
      <c r="AK54" s="756"/>
      <c r="AL54" s="756"/>
      <c r="AM54" s="756"/>
    </row>
    <row r="55" spans="1:39">
      <c r="A55" s="757">
        <v>46</v>
      </c>
      <c r="B55" s="789" t="s">
        <v>527</v>
      </c>
      <c r="C55" s="790" t="s">
        <v>584</v>
      </c>
      <c r="D55" s="786"/>
      <c r="E55" s="786"/>
      <c r="F55" s="791"/>
      <c r="G55" s="303"/>
      <c r="H55" s="316"/>
      <c r="J55" s="782"/>
      <c r="K55" s="783"/>
      <c r="M55" s="756"/>
      <c r="N55" s="321"/>
      <c r="O55" s="855" t="str">
        <f>IF(M53&lt;&gt;0,M53,IF(Produzione!$E$10&lt;&gt;"",Produzione!$E$10,Produzione!$G$9))</f>
        <v/>
      </c>
      <c r="P55" s="756"/>
      <c r="Q55" s="756"/>
      <c r="R55" s="756"/>
      <c r="S55" s="759"/>
      <c r="T55" s="756"/>
      <c r="U55" s="321"/>
      <c r="V55" s="322" t="str">
        <f>IF(T53&lt;&gt;0,T53,IF(Produzione!$E$24&lt;&gt;"",Produzione!$E$24,Produzione!$G$23))</f>
        <v/>
      </c>
      <c r="W55" s="756"/>
      <c r="X55" s="756"/>
      <c r="Y55" s="756"/>
      <c r="Z55" s="759"/>
      <c r="AA55" s="756"/>
      <c r="AB55" s="321"/>
      <c r="AC55" s="322" t="str">
        <f>IF(AA53&lt;&gt;0,AA53,IF(Produzione!$E$38&lt;&gt;"",Produzione!$E$38,Produzione!$G$37))</f>
        <v/>
      </c>
      <c r="AD55" s="756"/>
      <c r="AE55" s="756"/>
      <c r="AF55" s="756"/>
      <c r="AG55" s="759"/>
      <c r="AH55" s="756"/>
      <c r="AI55" s="321"/>
      <c r="AJ55" s="322" t="str">
        <f>IF(AH53&lt;&gt;0,AH53,IF(Produzione!$E$52&lt;&gt;"",Produzione!$E$52,Produzione!$G$51))</f>
        <v/>
      </c>
      <c r="AK55" s="756"/>
      <c r="AL55" s="756"/>
      <c r="AM55" s="756"/>
    </row>
    <row r="56" spans="1:39">
      <c r="A56" s="757">
        <v>47</v>
      </c>
      <c r="B56" s="789"/>
      <c r="C56" s="790"/>
      <c r="D56" s="787"/>
      <c r="E56" s="795"/>
      <c r="F56" s="1344"/>
      <c r="G56" s="796"/>
      <c r="H56" s="797"/>
      <c r="J56" s="782"/>
      <c r="K56" s="783"/>
      <c r="M56" s="315">
        <f>Produzione!$G$12</f>
        <v>0</v>
      </c>
      <c r="N56" s="758"/>
      <c r="O56" s="854"/>
      <c r="P56" s="756"/>
      <c r="Q56" s="756"/>
      <c r="R56" s="756"/>
      <c r="S56" s="759"/>
      <c r="T56" s="315">
        <f>Produzione!$G$26</f>
        <v>0</v>
      </c>
      <c r="U56" s="758"/>
      <c r="V56" s="758"/>
      <c r="W56" s="756"/>
      <c r="X56" s="756"/>
      <c r="Y56" s="756"/>
      <c r="Z56" s="759"/>
      <c r="AA56" s="315">
        <f>Produzione!$G$40</f>
        <v>0</v>
      </c>
      <c r="AB56" s="758"/>
      <c r="AC56" s="758"/>
      <c r="AD56" s="756"/>
      <c r="AE56" s="756"/>
      <c r="AF56" s="756"/>
      <c r="AG56" s="759"/>
      <c r="AH56" s="315">
        <f>Produzione!$G$54</f>
        <v>0</v>
      </c>
      <c r="AI56" s="758"/>
      <c r="AJ56" s="758"/>
      <c r="AK56" s="756"/>
      <c r="AL56" s="756"/>
      <c r="AM56" s="756"/>
    </row>
    <row r="57" spans="1:39">
      <c r="A57" s="757">
        <v>48</v>
      </c>
      <c r="B57" s="789"/>
      <c r="C57" s="790"/>
      <c r="D57" s="796"/>
      <c r="E57" s="795"/>
      <c r="F57" s="1344"/>
      <c r="G57" s="787"/>
      <c r="H57" s="798"/>
      <c r="J57" s="782"/>
      <c r="K57" s="783"/>
      <c r="M57" s="315">
        <f>Produzione!$G$13</f>
        <v>0</v>
      </c>
      <c r="N57" s="764"/>
      <c r="O57" s="852"/>
      <c r="P57" s="756"/>
      <c r="Q57" s="756"/>
      <c r="R57" s="756"/>
      <c r="S57" s="759"/>
      <c r="T57" s="315">
        <f>Produzione!$G$27</f>
        <v>0</v>
      </c>
      <c r="U57" s="764"/>
      <c r="V57" s="768"/>
      <c r="W57" s="756"/>
      <c r="X57" s="756"/>
      <c r="Y57" s="756"/>
      <c r="Z57" s="759"/>
      <c r="AA57" s="315">
        <f>Produzione!$G$41</f>
        <v>0</v>
      </c>
      <c r="AB57" s="764"/>
      <c r="AC57" s="768"/>
      <c r="AD57" s="756"/>
      <c r="AE57" s="756"/>
      <c r="AF57" s="756"/>
      <c r="AG57" s="759"/>
      <c r="AH57" s="315">
        <f>Produzione!$G$55</f>
        <v>0</v>
      </c>
      <c r="AI57" s="764"/>
      <c r="AJ57" s="768"/>
      <c r="AK57" s="756"/>
      <c r="AL57" s="756"/>
      <c r="AM57" s="756"/>
    </row>
    <row r="58" spans="1:39">
      <c r="A58" s="757">
        <v>49</v>
      </c>
      <c r="B58" s="799" t="str">
        <f>IF(J52=1,"Temperatura di mandata riscaldamento","")</f>
        <v/>
      </c>
      <c r="C58" s="831" t="str">
        <f>IF(J52=1,"°C","")</f>
        <v/>
      </c>
      <c r="D58" s="786"/>
      <c r="E58" s="786"/>
      <c r="F58" s="1344"/>
      <c r="G58" s="787"/>
      <c r="H58" s="800"/>
      <c r="J58" s="782"/>
      <c r="K58" s="783"/>
      <c r="M58" s="315">
        <f>Produzione!$G$14</f>
        <v>0</v>
      </c>
      <c r="N58" s="764"/>
      <c r="O58" s="852"/>
      <c r="P58" s="756"/>
      <c r="Q58" s="756"/>
      <c r="R58" s="756"/>
      <c r="S58" s="759"/>
      <c r="T58" s="315">
        <f>Produzione!$G$28</f>
        <v>0</v>
      </c>
      <c r="U58" s="764"/>
      <c r="V58" s="764"/>
      <c r="W58" s="756"/>
      <c r="X58" s="756"/>
      <c r="Y58" s="756"/>
      <c r="Z58" s="759"/>
      <c r="AA58" s="315">
        <f>Produzione!$G$42</f>
        <v>0</v>
      </c>
      <c r="AB58" s="764"/>
      <c r="AC58" s="764"/>
      <c r="AD58" s="756"/>
      <c r="AE58" s="756"/>
      <c r="AF58" s="756"/>
      <c r="AG58" s="759"/>
      <c r="AH58" s="315">
        <f>Produzione!$G$56</f>
        <v>0</v>
      </c>
      <c r="AI58" s="764"/>
      <c r="AJ58" s="764"/>
      <c r="AK58" s="756"/>
      <c r="AL58" s="756"/>
      <c r="AM58" s="756"/>
    </row>
    <row r="59" spans="1:39">
      <c r="A59" s="757">
        <v>50</v>
      </c>
      <c r="B59" s="799" t="str">
        <f>IF(AND(Warmwasser,K52=1),"Temperatura acqua calda sanitaria","")</f>
        <v/>
      </c>
      <c r="C59" s="831" t="str">
        <f>IF(AND(Warmwasser,K52=1),"°C","")</f>
        <v/>
      </c>
      <c r="D59" s="786"/>
      <c r="E59" s="786"/>
      <c r="F59" s="1344"/>
      <c r="G59" s="796"/>
      <c r="H59" s="788"/>
      <c r="J59" s="782"/>
      <c r="K59" s="783"/>
      <c r="L59" s="770">
        <v>2</v>
      </c>
      <c r="M59" s="315">
        <f>Produzione!$G$15</f>
        <v>0</v>
      </c>
      <c r="N59" s="758"/>
      <c r="O59" s="853"/>
      <c r="P59" s="756"/>
      <c r="Q59" s="756"/>
      <c r="R59" s="756" t="str">
        <f>IF(AND($K52=0,R62&lt;&gt;0),"scelto riscald.",IF(AND($J52=0,Q48&gt;0),"scelto acqua calda",""))</f>
        <v/>
      </c>
      <c r="S59" s="759"/>
      <c r="T59" s="315">
        <f>Produzione!$G$29</f>
        <v>0</v>
      </c>
      <c r="U59" s="758"/>
      <c r="V59" s="765"/>
      <c r="W59" s="756"/>
      <c r="X59" s="756"/>
      <c r="Y59" s="756" t="str">
        <f>IF(AND($K52=0,Y62&lt;&gt;0),"Riscald. ausgewählt",IF(AND($J52=0,X48&gt;0),"Acqua calda ausgewählt",""))</f>
        <v/>
      </c>
      <c r="Z59" s="759"/>
      <c r="AA59" s="315">
        <f>Produzione!$G$43</f>
        <v>0</v>
      </c>
      <c r="AB59" s="758"/>
      <c r="AC59" s="765"/>
      <c r="AD59" s="756"/>
      <c r="AE59" s="756"/>
      <c r="AF59" s="756" t="str">
        <f>IF(AND($K52=0,AF62&lt;&gt;0),"Riscald. ausgewählt",IF(AND($J52=0,AE48&gt;0),"Acqua calda ausgewählt",""))</f>
        <v/>
      </c>
      <c r="AG59" s="759"/>
      <c r="AH59" s="315">
        <f>Produzione!$G$57</f>
        <v>0</v>
      </c>
      <c r="AI59" s="758"/>
      <c r="AJ59" s="765"/>
      <c r="AK59" s="756"/>
      <c r="AL59" s="756"/>
      <c r="AM59" s="756" t="str">
        <f>IF(AND($K52=0,AM62&lt;&gt;0),"Riscald. ausgewählt",IF(AND($J52=0,AL48&gt;0),"Acqua calda ausgewählt",""))</f>
        <v/>
      </c>
    </row>
    <row r="60" spans="1:39">
      <c r="A60" s="757">
        <v>51</v>
      </c>
      <c r="B60" s="799"/>
      <c r="C60" s="831"/>
      <c r="D60" s="810"/>
      <c r="E60" s="810"/>
      <c r="F60" s="811"/>
      <c r="G60" s="326"/>
      <c r="H60" s="327"/>
      <c r="J60" s="801"/>
      <c r="K60" s="802"/>
      <c r="M60" s="756"/>
      <c r="N60" s="325"/>
      <c r="O60" s="858"/>
      <c r="P60" s="756"/>
      <c r="Q60" s="756">
        <f>IF(Q61&lt;&gt;0,Q61,Q62)*J52</f>
        <v>0</v>
      </c>
      <c r="R60" s="756">
        <f>IF(R61&lt;&gt;0,R61,R62)*K52</f>
        <v>0</v>
      </c>
      <c r="S60" s="759"/>
      <c r="T60" s="756"/>
      <c r="U60" s="325"/>
      <c r="V60" s="325"/>
      <c r="W60" s="756"/>
      <c r="X60" s="756">
        <f>IF(X61&lt;&gt;0,X61,X62)*J52</f>
        <v>0</v>
      </c>
      <c r="Y60" s="756">
        <f>IF(Y61&lt;&gt;0,Y61,Y62)*K52</f>
        <v>0</v>
      </c>
      <c r="Z60" s="759"/>
      <c r="AA60" s="756"/>
      <c r="AB60" s="325"/>
      <c r="AC60" s="325"/>
      <c r="AD60" s="756"/>
      <c r="AE60" s="756">
        <f>IF(AE61&lt;&gt;0,AE61,AE62)*J52</f>
        <v>0</v>
      </c>
      <c r="AF60" s="756">
        <f>IF(AF61&lt;&gt;0,AF61,AF62)*K52</f>
        <v>0</v>
      </c>
      <c r="AG60" s="759"/>
      <c r="AH60" s="756"/>
      <c r="AI60" s="325"/>
      <c r="AJ60" s="325"/>
      <c r="AK60" s="756"/>
      <c r="AL60" s="756">
        <f>IF(AL61&lt;&gt;0,AL61,AL62)*J52</f>
        <v>0</v>
      </c>
      <c r="AM60" s="756">
        <f>IF(AM61&lt;&gt;0,AM61,AM62)*K52</f>
        <v>0</v>
      </c>
    </row>
    <row r="61" spans="1:39">
      <c r="A61" s="757">
        <v>52</v>
      </c>
      <c r="B61" s="757" t="s">
        <v>652</v>
      </c>
      <c r="C61" s="813" t="s">
        <v>410</v>
      </c>
      <c r="D61" s="795"/>
      <c r="E61" s="795"/>
      <c r="F61" s="791"/>
      <c r="G61" s="303"/>
      <c r="H61" s="317"/>
      <c r="J61" s="803"/>
      <c r="K61" s="804"/>
      <c r="M61" s="756"/>
      <c r="N61" s="321"/>
      <c r="O61" s="844">
        <f>(R60/100*qw)</f>
        <v>0</v>
      </c>
      <c r="P61" s="756"/>
      <c r="Q61" s="756"/>
      <c r="R61" s="756"/>
      <c r="S61" s="759"/>
      <c r="T61" s="756"/>
      <c r="U61" s="321"/>
      <c r="V61" s="844">
        <f>(Y60/100*qw)</f>
        <v>0</v>
      </c>
      <c r="W61" s="756"/>
      <c r="X61" s="756"/>
      <c r="Y61" s="756"/>
      <c r="Z61" s="759"/>
      <c r="AA61" s="756"/>
      <c r="AB61" s="321"/>
      <c r="AC61" s="844">
        <f>(AF60/100*qw)</f>
        <v>0</v>
      </c>
      <c r="AD61" s="756"/>
      <c r="AE61" s="756"/>
      <c r="AF61" s="756"/>
      <c r="AG61" s="759"/>
      <c r="AH61" s="756"/>
      <c r="AI61" s="321"/>
      <c r="AJ61" s="844">
        <f>(AM60/100*qw)</f>
        <v>0</v>
      </c>
      <c r="AK61" s="756"/>
      <c r="AL61" s="756"/>
      <c r="AM61" s="756"/>
    </row>
    <row r="62" spans="1:39">
      <c r="A62" s="757">
        <v>53</v>
      </c>
      <c r="B62" s="812" t="s">
        <v>41</v>
      </c>
      <c r="C62" s="813" t="s">
        <v>410</v>
      </c>
      <c r="D62" s="814"/>
      <c r="E62" s="815"/>
      <c r="F62" s="816"/>
      <c r="G62" s="306"/>
      <c r="H62" s="328"/>
      <c r="J62" s="756"/>
      <c r="K62" s="756"/>
      <c r="M62" s="758"/>
      <c r="N62" s="321"/>
      <c r="O62" s="330" t="e">
        <f>IF(O55=0,"",(R$60/100*qw)/(O55/100))</f>
        <v>#VALUE!</v>
      </c>
      <c r="P62" s="756"/>
      <c r="Q62" s="315">
        <f>Produzione!$K$18</f>
        <v>0</v>
      </c>
      <c r="R62" s="315">
        <f>Produzione!$L$18</f>
        <v>0</v>
      </c>
      <c r="S62" s="759"/>
      <c r="T62" s="756"/>
      <c r="U62" s="321"/>
      <c r="V62" s="330" t="e">
        <f>IF(V55=0,"",(Y$60/100*qw)/(V55/100))</f>
        <v>#VALUE!</v>
      </c>
      <c r="W62" s="756"/>
      <c r="X62" s="315">
        <f>Produzione!$K$32</f>
        <v>0</v>
      </c>
      <c r="Y62" s="315">
        <f>Produzione!$L$32</f>
        <v>0</v>
      </c>
      <c r="Z62" s="759"/>
      <c r="AA62" s="758"/>
      <c r="AB62" s="321"/>
      <c r="AC62" s="330" t="e">
        <f>IF(AC55=0,"",(AF$60/100*qw)/(AC55/100))</f>
        <v>#VALUE!</v>
      </c>
      <c r="AD62" s="756"/>
      <c r="AE62" s="315">
        <f>Produzione!$K$46</f>
        <v>0</v>
      </c>
      <c r="AF62" s="315">
        <f>Produzione!$L$46</f>
        <v>0</v>
      </c>
      <c r="AG62" s="759"/>
      <c r="AH62" s="758"/>
      <c r="AI62" s="321"/>
      <c r="AJ62" s="330" t="e">
        <f>IF(AJ55=0,"",(AM$60/100*qw)/(AJ55/100))</f>
        <v>#VALUE!</v>
      </c>
      <c r="AK62" s="756"/>
      <c r="AL62" s="315">
        <f>Produzione!$K$60</f>
        <v>0</v>
      </c>
      <c r="AM62" s="315">
        <f>Produzione!$L$60</f>
        <v>0</v>
      </c>
    </row>
    <row r="63" spans="1:39">
      <c r="A63" s="757">
        <v>54</v>
      </c>
      <c r="B63" s="759"/>
      <c r="C63" s="833"/>
      <c r="D63" s="759"/>
      <c r="E63" s="759"/>
      <c r="F63" s="817"/>
      <c r="G63" s="759"/>
      <c r="H63" s="759"/>
      <c r="I63" s="759"/>
      <c r="J63" s="759"/>
      <c r="Q63" s="761" t="str">
        <f>IF(Q61&lt;&gt;0,IF(Q62&lt;&gt;0,"Doppelte Eingabe",""),IF(R61&lt;&gt;0,IF(R62&lt;&gt;0,"Doppelte Eingabe",""),""))</f>
        <v/>
      </c>
      <c r="S63" s="759"/>
      <c r="X63" s="761" t="str">
        <f>IF(X61&lt;&gt;0,IF(X62&lt;&gt;0,"Doppelte Eingabe",""),IF(Y61&lt;&gt;0,IF(Y62&lt;&gt;0,"Doppelte Eingabe",""),""))</f>
        <v/>
      </c>
      <c r="Z63" s="759"/>
      <c r="AA63" s="759"/>
      <c r="AB63" s="759"/>
      <c r="AC63" s="759"/>
      <c r="AD63" s="759"/>
      <c r="AE63" s="761" t="str">
        <f>IF(AE61&lt;&gt;0,IF(AE62&lt;&gt;0,"Doppelte Eingabe",""),IF(AF61&lt;&gt;0,IF(AF62&lt;&gt;0,"Doppelte Eingabe",""),""))</f>
        <v/>
      </c>
      <c r="AF63" s="759"/>
      <c r="AG63" s="759"/>
      <c r="AL63" s="761" t="str">
        <f>IF(AL61&lt;&gt;0,IF(AL62&lt;&gt;0,"Doppelte Eingabe",""),IF(AM61&lt;&gt;0,IF(AM62&lt;&gt;0,"Doppelte Eingabe",""),""))</f>
        <v/>
      </c>
    </row>
    <row r="64" spans="1:39">
      <c r="A64" s="757">
        <v>55</v>
      </c>
      <c r="B64" s="755"/>
      <c r="C64" s="834"/>
      <c r="D64" s="762"/>
      <c r="E64" s="762"/>
      <c r="G64" s="762"/>
      <c r="H64" s="818"/>
      <c r="J64" s="762" t="s">
        <v>1620</v>
      </c>
      <c r="M64" s="759"/>
      <c r="N64" s="762"/>
      <c r="O64" s="860"/>
      <c r="P64" s="759"/>
      <c r="Q64" s="762" t="s">
        <v>1620</v>
      </c>
      <c r="R64" s="759"/>
      <c r="S64" s="759"/>
      <c r="T64" s="759"/>
      <c r="U64" s="762"/>
      <c r="V64" s="769"/>
      <c r="W64" s="759"/>
      <c r="X64" s="762" t="s">
        <v>1620</v>
      </c>
      <c r="Y64" s="759"/>
      <c r="Z64" s="759"/>
      <c r="AB64" s="762"/>
      <c r="AC64" s="818"/>
      <c r="AE64" s="762" t="s">
        <v>1620</v>
      </c>
      <c r="AG64" s="759"/>
      <c r="AH64" s="759"/>
      <c r="AI64" s="762"/>
      <c r="AJ64" s="769"/>
      <c r="AK64" s="759"/>
      <c r="AL64" s="762" t="s">
        <v>1620</v>
      </c>
      <c r="AM64" s="759"/>
    </row>
    <row r="65" spans="1:39">
      <c r="A65" s="757">
        <v>56</v>
      </c>
      <c r="B65" s="772" t="str">
        <f>INDEX(Standardwerte!$V$6:$V$16,Rechnung!$C65,1)</f>
        <v>Riscaldamento a gas</v>
      </c>
      <c r="C65" s="835">
        <v>5</v>
      </c>
      <c r="D65" s="819"/>
      <c r="E65" s="820"/>
      <c r="F65" s="821"/>
      <c r="G65" s="819"/>
      <c r="H65" s="822"/>
      <c r="J65" s="760" t="s">
        <v>525</v>
      </c>
      <c r="K65" s="756" t="s">
        <v>1622</v>
      </c>
      <c r="M65" s="756"/>
      <c r="N65" s="760"/>
      <c r="O65" s="852"/>
      <c r="P65" s="756"/>
      <c r="Q65" s="760" t="s">
        <v>525</v>
      </c>
      <c r="R65" s="756" t="s">
        <v>1622</v>
      </c>
      <c r="S65" s="759"/>
      <c r="T65" s="756"/>
      <c r="U65" s="760"/>
      <c r="V65" s="764"/>
      <c r="W65" s="756"/>
      <c r="X65" s="760" t="s">
        <v>525</v>
      </c>
      <c r="Y65" s="756" t="s">
        <v>1622</v>
      </c>
      <c r="Z65" s="759"/>
      <c r="AA65" s="756"/>
      <c r="AB65" s="760"/>
      <c r="AC65" s="764"/>
      <c r="AD65" s="756"/>
      <c r="AE65" s="760" t="s">
        <v>525</v>
      </c>
      <c r="AF65" s="756" t="s">
        <v>1622</v>
      </c>
      <c r="AG65" s="759"/>
      <c r="AH65" s="756"/>
      <c r="AI65" s="760"/>
      <c r="AJ65" s="764"/>
      <c r="AK65" s="756"/>
      <c r="AL65" s="760" t="s">
        <v>525</v>
      </c>
      <c r="AM65" s="756" t="s">
        <v>1622</v>
      </c>
    </row>
    <row r="66" spans="1:39">
      <c r="A66" s="757">
        <v>57</v>
      </c>
      <c r="B66" s="778" t="s">
        <v>526</v>
      </c>
      <c r="C66" s="830"/>
      <c r="D66" s="779"/>
      <c r="E66" s="312"/>
      <c r="F66" s="313">
        <f>INDEX($M$10:$AM$162,$A$10+(_typ1-1)*14,1)</f>
        <v>0</v>
      </c>
      <c r="G66" s="780"/>
      <c r="H66" s="781"/>
      <c r="J66" s="782">
        <f>INDEX(Standardwerte!$Y$6:$Z$43,$C65,2)</f>
        <v>1</v>
      </c>
      <c r="K66" s="783">
        <f>INDEX(Standardwerte!$Y$6:$Z$43,$C65,1)</f>
        <v>1</v>
      </c>
      <c r="M66" s="315">
        <f>Produzione!$G$8</f>
        <v>0</v>
      </c>
      <c r="N66" s="764"/>
      <c r="O66" s="852"/>
      <c r="P66" s="756"/>
      <c r="Q66" s="756"/>
      <c r="R66" s="756"/>
      <c r="S66" s="759"/>
      <c r="T66" s="315">
        <f>Produzione!$G$22</f>
        <v>0</v>
      </c>
      <c r="U66" s="764"/>
      <c r="V66" s="764"/>
      <c r="W66" s="756"/>
      <c r="X66" s="756"/>
      <c r="Y66" s="756"/>
      <c r="Z66" s="759"/>
      <c r="AA66" s="315">
        <f>Produzione!$G$36</f>
        <v>0</v>
      </c>
      <c r="AB66" s="764"/>
      <c r="AC66" s="764"/>
      <c r="AD66" s="756"/>
      <c r="AE66" s="756"/>
      <c r="AF66" s="756"/>
      <c r="AG66" s="759"/>
      <c r="AH66" s="315">
        <f>Produzione!$G$50</f>
        <v>0</v>
      </c>
      <c r="AI66" s="764"/>
      <c r="AJ66" s="764"/>
      <c r="AK66" s="756"/>
      <c r="AL66" s="756"/>
      <c r="AM66" s="756"/>
    </row>
    <row r="67" spans="1:39">
      <c r="A67" s="757">
        <v>58</v>
      </c>
      <c r="B67" s="784" t="s">
        <v>1193</v>
      </c>
      <c r="C67" s="831" t="s">
        <v>584</v>
      </c>
      <c r="E67" s="786"/>
      <c r="F67" s="809">
        <f>INDEX(Standardwerte!$W$6:$W$43,$C65,1)</f>
        <v>85</v>
      </c>
      <c r="G67" s="787"/>
      <c r="H67" s="788"/>
      <c r="J67" s="782"/>
      <c r="K67" s="783"/>
      <c r="M67" s="315">
        <f>Produzione!$G$10</f>
        <v>0</v>
      </c>
      <c r="N67" s="764"/>
      <c r="O67" s="861">
        <f>F67</f>
        <v>85</v>
      </c>
      <c r="P67" s="756"/>
      <c r="Q67" s="756"/>
      <c r="R67" s="756"/>
      <c r="S67" s="759"/>
      <c r="T67" s="315">
        <f>Produzione!$G$24</f>
        <v>0</v>
      </c>
      <c r="U67" s="764"/>
      <c r="V67" s="28">
        <f>F67</f>
        <v>85</v>
      </c>
      <c r="W67" s="756"/>
      <c r="X67" s="756"/>
      <c r="Y67" s="756"/>
      <c r="Z67" s="759"/>
      <c r="AA67" s="315">
        <f>Produzione!$G$38</f>
        <v>0</v>
      </c>
      <c r="AB67" s="764"/>
      <c r="AC67" s="28">
        <f>F67</f>
        <v>85</v>
      </c>
      <c r="AD67" s="756"/>
      <c r="AE67" s="756"/>
      <c r="AF67" s="756"/>
      <c r="AG67" s="759"/>
      <c r="AH67" s="315">
        <f>Produzione!$G$52</f>
        <v>0</v>
      </c>
      <c r="AI67" s="764"/>
      <c r="AJ67" s="28">
        <f>F67</f>
        <v>85</v>
      </c>
      <c r="AK67" s="756"/>
      <c r="AL67" s="756"/>
      <c r="AM67" s="756"/>
    </row>
    <row r="68" spans="1:39">
      <c r="A68" s="757">
        <v>59</v>
      </c>
      <c r="B68" s="784" t="s">
        <v>1194</v>
      </c>
      <c r="C68" s="831" t="s">
        <v>584</v>
      </c>
      <c r="D68" s="786"/>
      <c r="E68" s="786"/>
      <c r="F68" s="1344"/>
      <c r="G68" s="792"/>
      <c r="H68" s="793"/>
      <c r="J68" s="782"/>
      <c r="K68" s="783"/>
      <c r="L68" s="770">
        <v>1</v>
      </c>
      <c r="M68" s="756"/>
      <c r="N68" s="766"/>
      <c r="O68" s="854"/>
      <c r="P68" s="756"/>
      <c r="Q68" s="756"/>
      <c r="R68" s="756"/>
      <c r="S68" s="759"/>
      <c r="T68" s="756"/>
      <c r="U68" s="766"/>
      <c r="V68" s="767"/>
      <c r="W68" s="756"/>
      <c r="X68" s="756"/>
      <c r="Y68" s="756"/>
      <c r="Z68" s="759"/>
      <c r="AA68" s="756"/>
      <c r="AB68" s="766"/>
      <c r="AC68" s="767"/>
      <c r="AD68" s="756"/>
      <c r="AE68" s="756"/>
      <c r="AF68" s="756"/>
      <c r="AG68" s="759"/>
      <c r="AH68" s="756"/>
      <c r="AI68" s="766"/>
      <c r="AJ68" s="767"/>
      <c r="AK68" s="756"/>
      <c r="AL68" s="756"/>
      <c r="AM68" s="756"/>
    </row>
    <row r="69" spans="1:39">
      <c r="A69" s="757">
        <v>60</v>
      </c>
      <c r="B69" s="789" t="s">
        <v>527</v>
      </c>
      <c r="C69" s="790" t="s">
        <v>584</v>
      </c>
      <c r="D69" s="786"/>
      <c r="E69" s="786"/>
      <c r="F69" s="791"/>
      <c r="G69" s="303"/>
      <c r="H69" s="316"/>
      <c r="J69" s="782"/>
      <c r="K69" s="783"/>
      <c r="M69" s="756"/>
      <c r="N69" s="321"/>
      <c r="O69" s="855" t="str">
        <f>IF(M67&lt;&gt;0,M67,IF(Produzione!$E$10&lt;&gt;"",Produzione!$E$10,Produzione!$G$9))</f>
        <v/>
      </c>
      <c r="P69" s="756"/>
      <c r="Q69" s="756"/>
      <c r="R69" s="756"/>
      <c r="S69" s="759"/>
      <c r="T69" s="756"/>
      <c r="U69" s="321"/>
      <c r="V69" s="322" t="str">
        <f>IF(T67&lt;&gt;0,T67,IF(Produzione!$E$24&lt;&gt;"",Produzione!$E$24,Produzione!$G$23))</f>
        <v/>
      </c>
      <c r="W69" s="756"/>
      <c r="X69" s="756"/>
      <c r="Y69" s="756"/>
      <c r="Z69" s="759"/>
      <c r="AA69" s="756"/>
      <c r="AB69" s="321"/>
      <c r="AC69" s="322" t="str">
        <f>IF(AA67&lt;&gt;0,AA67,IF(Produzione!$E$38&lt;&gt;"",Produzione!$E$38,Produzione!$G$37))</f>
        <v/>
      </c>
      <c r="AD69" s="756"/>
      <c r="AE69" s="756"/>
      <c r="AF69" s="756"/>
      <c r="AG69" s="759"/>
      <c r="AH69" s="756"/>
      <c r="AI69" s="321"/>
      <c r="AJ69" s="322" t="str">
        <f>IF(AH67&lt;&gt;0,AH67,IF(Produzione!$E$52&lt;&gt;"",Produzione!$E$52,Produzione!$G$51))</f>
        <v/>
      </c>
      <c r="AK69" s="756"/>
      <c r="AL69" s="756"/>
      <c r="AM69" s="756"/>
    </row>
    <row r="70" spans="1:39">
      <c r="A70" s="757">
        <v>61</v>
      </c>
      <c r="B70" s="789"/>
      <c r="C70" s="790"/>
      <c r="D70" s="787"/>
      <c r="E70" s="795"/>
      <c r="F70" s="1344"/>
      <c r="G70" s="796"/>
      <c r="H70" s="797"/>
      <c r="J70" s="782"/>
      <c r="K70" s="783"/>
      <c r="M70" s="315">
        <f>Produzione!$G$12</f>
        <v>0</v>
      </c>
      <c r="N70" s="758"/>
      <c r="O70" s="854"/>
      <c r="P70" s="756"/>
      <c r="Q70" s="756"/>
      <c r="R70" s="756"/>
      <c r="S70" s="759"/>
      <c r="T70" s="315">
        <f>Produzione!$G$26</f>
        <v>0</v>
      </c>
      <c r="U70" s="758"/>
      <c r="V70" s="758"/>
      <c r="W70" s="756"/>
      <c r="X70" s="756"/>
      <c r="Y70" s="756"/>
      <c r="Z70" s="759"/>
      <c r="AA70" s="315">
        <f>Produzione!$G$40</f>
        <v>0</v>
      </c>
      <c r="AB70" s="758"/>
      <c r="AC70" s="758"/>
      <c r="AD70" s="756"/>
      <c r="AE70" s="756"/>
      <c r="AF70" s="756"/>
      <c r="AG70" s="759"/>
      <c r="AH70" s="315">
        <f>Produzione!$G$54</f>
        <v>0</v>
      </c>
      <c r="AI70" s="758"/>
      <c r="AJ70" s="758"/>
      <c r="AK70" s="756"/>
      <c r="AL70" s="756"/>
      <c r="AM70" s="756"/>
    </row>
    <row r="71" spans="1:39">
      <c r="A71" s="757">
        <v>62</v>
      </c>
      <c r="B71" s="789"/>
      <c r="C71" s="790"/>
      <c r="D71" s="796"/>
      <c r="E71" s="795"/>
      <c r="F71" s="1344"/>
      <c r="G71" s="787"/>
      <c r="H71" s="798"/>
      <c r="J71" s="782"/>
      <c r="K71" s="783"/>
      <c r="M71" s="315">
        <f>Produzione!$G$13</f>
        <v>0</v>
      </c>
      <c r="N71" s="764"/>
      <c r="O71" s="852"/>
      <c r="P71" s="756"/>
      <c r="Q71" s="756"/>
      <c r="R71" s="756"/>
      <c r="S71" s="759"/>
      <c r="T71" s="315">
        <f>Produzione!$G$27</f>
        <v>0</v>
      </c>
      <c r="U71" s="764"/>
      <c r="V71" s="768"/>
      <c r="W71" s="756"/>
      <c r="X71" s="756"/>
      <c r="Y71" s="756"/>
      <c r="Z71" s="759"/>
      <c r="AA71" s="315">
        <f>Produzione!$G$41</f>
        <v>0</v>
      </c>
      <c r="AB71" s="764"/>
      <c r="AC71" s="768"/>
      <c r="AD71" s="756"/>
      <c r="AE71" s="756"/>
      <c r="AF71" s="756"/>
      <c r="AG71" s="759"/>
      <c r="AH71" s="315">
        <f>Produzione!$G$55</f>
        <v>0</v>
      </c>
      <c r="AI71" s="764"/>
      <c r="AJ71" s="768"/>
      <c r="AK71" s="756"/>
      <c r="AL71" s="756"/>
      <c r="AM71" s="756"/>
    </row>
    <row r="72" spans="1:39">
      <c r="A72" s="757">
        <v>63</v>
      </c>
      <c r="B72" s="799" t="str">
        <f>IF(J66=1,"Temperatura di mandata riscaldamento","")</f>
        <v>Temperatura di mandata riscaldamento</v>
      </c>
      <c r="C72" s="831" t="str">
        <f>IF(J66=1,"°C","")</f>
        <v>°C</v>
      </c>
      <c r="D72" s="786"/>
      <c r="E72" s="786"/>
      <c r="F72" s="1344"/>
      <c r="G72" s="787"/>
      <c r="H72" s="800"/>
      <c r="J72" s="782"/>
      <c r="K72" s="783"/>
      <c r="L72" s="770">
        <v>2</v>
      </c>
      <c r="M72" s="315">
        <f>Produzione!$G$14</f>
        <v>0</v>
      </c>
      <c r="N72" s="764"/>
      <c r="O72" s="852"/>
      <c r="P72" s="756"/>
      <c r="Q72" s="756"/>
      <c r="R72" s="756"/>
      <c r="S72" s="759"/>
      <c r="T72" s="315">
        <f>Produzione!$G$28</f>
        <v>0</v>
      </c>
      <c r="U72" s="764"/>
      <c r="V72" s="764"/>
      <c r="W72" s="756"/>
      <c r="X72" s="756"/>
      <c r="Y72" s="756"/>
      <c r="Z72" s="759"/>
      <c r="AA72" s="315">
        <f>Produzione!$G$42</f>
        <v>0</v>
      </c>
      <c r="AB72" s="764"/>
      <c r="AC72" s="764"/>
      <c r="AD72" s="756"/>
      <c r="AE72" s="756"/>
      <c r="AF72" s="756"/>
      <c r="AG72" s="759"/>
      <c r="AH72" s="315">
        <f>Produzione!$G$56</f>
        <v>0</v>
      </c>
      <c r="AI72" s="764"/>
      <c r="AJ72" s="764"/>
      <c r="AK72" s="756"/>
      <c r="AL72" s="756"/>
      <c r="AM72" s="756"/>
    </row>
    <row r="73" spans="1:39">
      <c r="A73" s="757">
        <v>64</v>
      </c>
      <c r="B73" s="799" t="str">
        <f>IF(AND(Warmwasser,K66=1),"Temperatura acqua calda sanitaria","")</f>
        <v/>
      </c>
      <c r="C73" s="831" t="str">
        <f>IF(AND(Warmwasser,K66=1),"°C","")</f>
        <v/>
      </c>
      <c r="D73" s="786"/>
      <c r="E73" s="786"/>
      <c r="F73" s="1344"/>
      <c r="G73" s="796"/>
      <c r="H73" s="788"/>
      <c r="J73" s="782"/>
      <c r="K73" s="783"/>
      <c r="L73" s="770">
        <v>2</v>
      </c>
      <c r="M73" s="315">
        <f>Produzione!$G$15</f>
        <v>0</v>
      </c>
      <c r="N73" s="758"/>
      <c r="O73" s="853"/>
      <c r="P73" s="756"/>
      <c r="Q73" s="756"/>
      <c r="R73" s="756" t="str">
        <f>IF(AND($K66=0,R76&lt;&gt;0),"Riscald. ausgewählt",IF(AND($J66=0,Q62&gt;0),"Acqua calda ausgewählt",""))</f>
        <v/>
      </c>
      <c r="S73" s="759"/>
      <c r="T73" s="315">
        <f>Produzione!$G$29</f>
        <v>0</v>
      </c>
      <c r="U73" s="758"/>
      <c r="V73" s="765"/>
      <c r="W73" s="756"/>
      <c r="X73" s="756"/>
      <c r="Y73" s="756" t="str">
        <f>IF(AND($K66=0,Y76&lt;&gt;0),"Riscald. ausgewählt",IF(AND($J66=0,X62&gt;0),"Acqua calda ausgewählt",""))</f>
        <v/>
      </c>
      <c r="Z73" s="759"/>
      <c r="AA73" s="315">
        <f>Produzione!$G$43</f>
        <v>0</v>
      </c>
      <c r="AB73" s="758"/>
      <c r="AC73" s="765"/>
      <c r="AD73" s="756"/>
      <c r="AE73" s="756"/>
      <c r="AF73" s="756" t="str">
        <f>IF(AND($K66=0,AF76&lt;&gt;0),"Riscald. ausgewählt",IF(AND($J66=0,AE62&gt;0),"Acqua calda ausgewählt",""))</f>
        <v/>
      </c>
      <c r="AG73" s="759"/>
      <c r="AH73" s="315">
        <f>Produzione!$G$57</f>
        <v>0</v>
      </c>
      <c r="AI73" s="758"/>
      <c r="AJ73" s="765"/>
      <c r="AK73" s="756"/>
      <c r="AL73" s="756"/>
      <c r="AM73" s="756" t="str">
        <f>IF(AND($K66=0,AM76&lt;&gt;0),"Riscald. ausgewählt",IF(AND($J66=0,AL62&gt;0),"Acqua calda ausgewählt",""))</f>
        <v/>
      </c>
    </row>
    <row r="74" spans="1:39">
      <c r="A74" s="757">
        <v>65</v>
      </c>
      <c r="B74" s="799"/>
      <c r="C74" s="831"/>
      <c r="D74" s="795"/>
      <c r="E74" s="795"/>
      <c r="F74" s="791"/>
      <c r="G74" s="303"/>
      <c r="H74" s="317"/>
      <c r="J74" s="801"/>
      <c r="K74" s="802"/>
      <c r="M74" s="756"/>
      <c r="N74" s="321"/>
      <c r="O74" s="856"/>
      <c r="P74" s="756"/>
      <c r="Q74" s="756">
        <f>IF(Q75&lt;&gt;0,Q75,Q76)*J66</f>
        <v>0</v>
      </c>
      <c r="R74" s="756">
        <f>IF(R75&lt;&gt;0,R75,R76)*K66</f>
        <v>0</v>
      </c>
      <c r="S74" s="759"/>
      <c r="T74" s="756"/>
      <c r="U74" s="321"/>
      <c r="V74" s="323"/>
      <c r="W74" s="756"/>
      <c r="X74" s="756">
        <f>IF(X75&lt;&gt;0,X75,X76)*J66</f>
        <v>0</v>
      </c>
      <c r="Y74" s="756">
        <f>IF(Y75&lt;&gt;0,Y75,Y76)*K66</f>
        <v>0</v>
      </c>
      <c r="Z74" s="759"/>
      <c r="AA74" s="756"/>
      <c r="AB74" s="321"/>
      <c r="AC74" s="323"/>
      <c r="AD74" s="756"/>
      <c r="AE74" s="756">
        <f>IF(AE75&lt;&gt;0,AE75,AE76)*J66</f>
        <v>0</v>
      </c>
      <c r="AF74" s="756">
        <f>IF(AF75&lt;&gt;0,AF75,AF76)*K66</f>
        <v>0</v>
      </c>
      <c r="AG74" s="759"/>
      <c r="AH74" s="756"/>
      <c r="AI74" s="321"/>
      <c r="AJ74" s="323"/>
      <c r="AK74" s="756"/>
      <c r="AL74" s="756">
        <f>IF(AL75&lt;&gt;0,AL75,AL76)*J66</f>
        <v>0</v>
      </c>
      <c r="AM74" s="756">
        <f>IF(AM75&lt;&gt;0,AM75,AM76)*K66</f>
        <v>0</v>
      </c>
    </row>
    <row r="75" spans="1:39">
      <c r="A75" s="757">
        <v>66</v>
      </c>
      <c r="B75" s="789" t="s">
        <v>652</v>
      </c>
      <c r="C75" s="813" t="s">
        <v>410</v>
      </c>
      <c r="D75" s="795"/>
      <c r="E75" s="786"/>
      <c r="F75" s="792"/>
      <c r="G75" s="303"/>
      <c r="H75" s="318"/>
      <c r="J75" s="803"/>
      <c r="K75" s="804"/>
      <c r="M75" s="758"/>
      <c r="N75" s="321"/>
      <c r="O75" s="844">
        <f>(Q74/100*qh/3.6+R74/100*qw)</f>
        <v>0</v>
      </c>
      <c r="P75" s="756"/>
      <c r="Q75" s="756"/>
      <c r="R75" s="756"/>
      <c r="S75" s="759"/>
      <c r="T75" s="756"/>
      <c r="U75" s="321"/>
      <c r="V75" s="329">
        <f>(X74/100*qh/3.6+Y74/100*qw)</f>
        <v>0</v>
      </c>
      <c r="W75" s="756"/>
      <c r="X75" s="756"/>
      <c r="Y75" s="756"/>
      <c r="Z75" s="759"/>
      <c r="AA75" s="758"/>
      <c r="AB75" s="321"/>
      <c r="AC75" s="329">
        <f>(AE74/100*qh/3.6+AF74/100*qw)</f>
        <v>0</v>
      </c>
      <c r="AD75" s="756"/>
      <c r="AE75" s="756"/>
      <c r="AF75" s="756"/>
      <c r="AG75" s="759"/>
      <c r="AH75" s="758"/>
      <c r="AI75" s="321"/>
      <c r="AJ75" s="329">
        <f>(AL74/100*qh/3.6+AM74/100*qw)</f>
        <v>0</v>
      </c>
      <c r="AK75" s="756"/>
      <c r="AL75" s="756"/>
      <c r="AM75" s="756"/>
    </row>
    <row r="76" spans="1:39">
      <c r="A76" s="757">
        <v>67</v>
      </c>
      <c r="B76" s="812" t="s">
        <v>41</v>
      </c>
      <c r="C76" s="813" t="s">
        <v>410</v>
      </c>
      <c r="D76" s="806"/>
      <c r="E76" s="806"/>
      <c r="F76" s="774"/>
      <c r="G76" s="319"/>
      <c r="H76" s="331"/>
      <c r="J76" s="807"/>
      <c r="K76" s="808"/>
      <c r="M76" s="756"/>
      <c r="N76" s="325"/>
      <c r="O76" s="330" t="e">
        <f>IF(O69=0,"",(Q74/100*qh/3.6+R74/100*qw)/(O69/100))</f>
        <v>#VALUE!</v>
      </c>
      <c r="P76" s="756"/>
      <c r="Q76" s="315">
        <f>Produzione!$K$18</f>
        <v>0</v>
      </c>
      <c r="R76" s="315">
        <f>Produzione!$L$18</f>
        <v>0</v>
      </c>
      <c r="S76" s="759"/>
      <c r="T76" s="756"/>
      <c r="U76" s="325"/>
      <c r="V76" s="330" t="e">
        <f>IF(V69=0,"",(X74/100*qh/3.6+Y74/100*qw)/(V69/100))</f>
        <v>#VALUE!</v>
      </c>
      <c r="W76" s="756"/>
      <c r="X76" s="315">
        <f>Produzione!$K$32</f>
        <v>0</v>
      </c>
      <c r="Y76" s="315">
        <f>Produzione!$L$32</f>
        <v>0</v>
      </c>
      <c r="Z76" s="759"/>
      <c r="AA76" s="756"/>
      <c r="AB76" s="325"/>
      <c r="AC76" s="330" t="e">
        <f>IF(AC69=0,"",(AE74/100*qh/3.6+AF74/100*qw)/(AC69/100))</f>
        <v>#VALUE!</v>
      </c>
      <c r="AD76" s="756"/>
      <c r="AE76" s="315">
        <f>Produzione!$K$46</f>
        <v>0</v>
      </c>
      <c r="AF76" s="315">
        <f>Produzione!$L$46</f>
        <v>0</v>
      </c>
      <c r="AG76" s="759"/>
      <c r="AH76" s="756"/>
      <c r="AI76" s="325"/>
      <c r="AJ76" s="330" t="e">
        <f>IF(AJ69=0,"",(AL74/100*qh/3.6+AM74/100*qw)/(AJ69/100))</f>
        <v>#VALUE!</v>
      </c>
      <c r="AK76" s="756"/>
      <c r="AL76" s="315">
        <f>Produzione!$K$60</f>
        <v>0</v>
      </c>
      <c r="AM76" s="315">
        <f>Produzione!$L$60</f>
        <v>0</v>
      </c>
    </row>
    <row r="77" spans="1:39">
      <c r="A77" s="757">
        <v>68</v>
      </c>
      <c r="B77" s="759"/>
      <c r="C77" s="833"/>
      <c r="D77" s="759"/>
      <c r="E77" s="759"/>
      <c r="F77" s="817"/>
      <c r="G77" s="759"/>
      <c r="H77" s="759"/>
      <c r="I77" s="759"/>
      <c r="J77" s="759"/>
      <c r="Q77" s="761" t="str">
        <f>IF(Q75&lt;&gt;0,IF(Q76&lt;&gt;0,"Doppelte Eingabe",""),IF(R75&lt;&gt;0,IF(R76&lt;&gt;0,"Doppelte Eingabe",""),""))</f>
        <v/>
      </c>
      <c r="S77" s="759"/>
      <c r="X77" s="761" t="str">
        <f>IF(X75&lt;&gt;0,IF(X76&lt;&gt;0,"Doppelte Eingabe",""),IF(Y75&lt;&gt;0,IF(Y76&lt;&gt;0,"Doppelte Eingabe",""),""))</f>
        <v/>
      </c>
      <c r="Z77" s="759"/>
      <c r="AE77" s="761" t="str">
        <f>IF(AE75&lt;&gt;0,IF(AE76&lt;&gt;0,"Doppelte Eingabe",""),IF(AF75&lt;&gt;0,IF(AF76&lt;&gt;0,"Doppelte Eingabe",""),""))</f>
        <v/>
      </c>
      <c r="AG77" s="759"/>
      <c r="AL77" s="761" t="str">
        <f>IF(AL75&lt;&gt;0,IF(AL76&lt;&gt;0,"Doppelte Eingabe",""),IF(AM75&lt;&gt;0,IF(AM76&lt;&gt;0,"Doppelte Eingabe",""),""))</f>
        <v/>
      </c>
    </row>
    <row r="78" spans="1:39">
      <c r="A78" s="757">
        <v>69</v>
      </c>
      <c r="B78" s="755"/>
      <c r="C78" s="828"/>
      <c r="D78" s="755"/>
      <c r="E78" s="755"/>
      <c r="F78" s="774"/>
      <c r="G78" s="755"/>
      <c r="H78" s="763"/>
      <c r="I78" s="806"/>
      <c r="J78" s="755" t="s">
        <v>1620</v>
      </c>
      <c r="K78" s="806"/>
      <c r="M78" s="759"/>
      <c r="N78" s="762"/>
      <c r="O78" s="860"/>
      <c r="P78" s="759"/>
      <c r="Q78" s="762" t="s">
        <v>1620</v>
      </c>
      <c r="R78" s="759"/>
      <c r="S78" s="759"/>
      <c r="T78" s="759"/>
      <c r="U78" s="762"/>
      <c r="V78" s="769"/>
      <c r="W78" s="759"/>
      <c r="X78" s="762" t="s">
        <v>1620</v>
      </c>
      <c r="Y78" s="759"/>
      <c r="Z78" s="759"/>
      <c r="AA78" s="756"/>
      <c r="AB78" s="760"/>
      <c r="AC78" s="764"/>
      <c r="AD78" s="756"/>
      <c r="AE78" s="760" t="s">
        <v>1620</v>
      </c>
      <c r="AF78" s="756"/>
      <c r="AG78" s="759"/>
      <c r="AH78" s="756"/>
      <c r="AI78" s="760"/>
      <c r="AJ78" s="764"/>
      <c r="AK78" s="756"/>
      <c r="AL78" s="760" t="s">
        <v>1620</v>
      </c>
      <c r="AM78" s="756"/>
    </row>
    <row r="79" spans="1:39">
      <c r="A79" s="757">
        <v>70</v>
      </c>
      <c r="B79" s="772" t="str">
        <f>INDEX(Standardwerte!$V$6:$V$16,Rechnung!$C79,1)</f>
        <v>Riscaldamento a gas a condensazione, solo risc.</v>
      </c>
      <c r="C79" s="829">
        <v>6</v>
      </c>
      <c r="D79" s="755"/>
      <c r="E79" s="773"/>
      <c r="F79" s="774"/>
      <c r="G79" s="755"/>
      <c r="H79" s="775"/>
      <c r="J79" s="776" t="s">
        <v>525</v>
      </c>
      <c r="K79" s="777" t="s">
        <v>1622</v>
      </c>
      <c r="M79" s="756"/>
      <c r="N79" s="760"/>
      <c r="O79" s="852"/>
      <c r="P79" s="756"/>
      <c r="Q79" s="760" t="s">
        <v>525</v>
      </c>
      <c r="R79" s="756" t="s">
        <v>1622</v>
      </c>
      <c r="S79" s="759"/>
      <c r="T79" s="756"/>
      <c r="U79" s="760"/>
      <c r="V79" s="764"/>
      <c r="W79" s="756"/>
      <c r="X79" s="760" t="s">
        <v>525</v>
      </c>
      <c r="Y79" s="756" t="s">
        <v>1622</v>
      </c>
      <c r="Z79" s="759"/>
      <c r="AA79" s="756"/>
      <c r="AB79" s="760"/>
      <c r="AC79" s="764"/>
      <c r="AD79" s="756"/>
      <c r="AE79" s="760" t="s">
        <v>525</v>
      </c>
      <c r="AF79" s="756" t="s">
        <v>1622</v>
      </c>
      <c r="AG79" s="759"/>
      <c r="AH79" s="756"/>
      <c r="AI79" s="760"/>
      <c r="AJ79" s="764"/>
      <c r="AK79" s="756"/>
      <c r="AL79" s="760" t="s">
        <v>525</v>
      </c>
      <c r="AM79" s="756" t="s">
        <v>1622</v>
      </c>
    </row>
    <row r="80" spans="1:39">
      <c r="A80" s="757">
        <v>71</v>
      </c>
      <c r="B80" s="778" t="s">
        <v>526</v>
      </c>
      <c r="C80" s="830"/>
      <c r="D80" s="779"/>
      <c r="E80" s="312"/>
      <c r="F80" s="313">
        <f>INDEX($M$10:$AM$162,$A$10+(_typ1-1)*14,1)</f>
        <v>0</v>
      </c>
      <c r="G80" s="780"/>
      <c r="H80" s="781"/>
      <c r="J80" s="782">
        <f>INDEX(Standardwerte!$Y$6:$Z$43,$C79,2)</f>
        <v>1</v>
      </c>
      <c r="K80" s="783">
        <f>INDEX(Standardwerte!$Y$6:$Z$43,$C79,1)</f>
        <v>0</v>
      </c>
      <c r="M80" s="315">
        <f>Produzione!$G$8</f>
        <v>0</v>
      </c>
      <c r="N80" s="764"/>
      <c r="O80" s="852"/>
      <c r="P80" s="756"/>
      <c r="Q80" s="756"/>
      <c r="R80" s="756"/>
      <c r="S80" s="759"/>
      <c r="T80" s="315">
        <f>Produzione!$G$22</f>
        <v>0</v>
      </c>
      <c r="U80" s="764"/>
      <c r="V80" s="764"/>
      <c r="W80" s="756"/>
      <c r="X80" s="756"/>
      <c r="Y80" s="756"/>
      <c r="Z80" s="759"/>
      <c r="AA80" s="315">
        <f>Produzione!$G$36</f>
        <v>0</v>
      </c>
      <c r="AB80" s="764"/>
      <c r="AC80" s="764"/>
      <c r="AD80" s="756"/>
      <c r="AE80" s="756"/>
      <c r="AF80" s="756"/>
      <c r="AG80" s="759"/>
      <c r="AH80" s="315">
        <f>Produzione!$G$50</f>
        <v>0</v>
      </c>
      <c r="AI80" s="764"/>
      <c r="AJ80" s="764"/>
      <c r="AK80" s="756"/>
      <c r="AL80" s="756"/>
      <c r="AM80" s="756"/>
    </row>
    <row r="81" spans="1:39">
      <c r="A81" s="757">
        <v>72</v>
      </c>
      <c r="B81" s="784" t="s">
        <v>1193</v>
      </c>
      <c r="C81" s="831" t="s">
        <v>584</v>
      </c>
      <c r="E81" s="786"/>
      <c r="F81" s="809">
        <f>INDEX(Standardwerte!$W$6:$W$43,$C79,1)</f>
        <v>95</v>
      </c>
      <c r="G81" s="787"/>
      <c r="H81" s="788"/>
      <c r="J81" s="782"/>
      <c r="K81" s="783"/>
      <c r="M81" s="315">
        <f>Produzione!$G$10</f>
        <v>0</v>
      </c>
      <c r="N81" s="764"/>
      <c r="O81" s="861">
        <f>F81</f>
        <v>95</v>
      </c>
      <c r="P81" s="756"/>
      <c r="Q81" s="756"/>
      <c r="R81" s="756"/>
      <c r="S81" s="759"/>
      <c r="T81" s="315">
        <f>Produzione!$G$24</f>
        <v>0</v>
      </c>
      <c r="U81" s="764"/>
      <c r="V81" s="28">
        <f>F81</f>
        <v>95</v>
      </c>
      <c r="W81" s="756"/>
      <c r="X81" s="756"/>
      <c r="Y81" s="756"/>
      <c r="Z81" s="759"/>
      <c r="AA81" s="315">
        <f>Produzione!$G$38</f>
        <v>0</v>
      </c>
      <c r="AB81" s="764"/>
      <c r="AC81" s="28">
        <f>F81</f>
        <v>95</v>
      </c>
      <c r="AD81" s="756"/>
      <c r="AE81" s="756"/>
      <c r="AF81" s="756"/>
      <c r="AG81" s="759"/>
      <c r="AH81" s="315">
        <f>Produzione!$G$52</f>
        <v>0</v>
      </c>
      <c r="AI81" s="764"/>
      <c r="AJ81" s="28">
        <f>F81</f>
        <v>95</v>
      </c>
      <c r="AK81" s="756"/>
      <c r="AL81" s="756"/>
      <c r="AM81" s="756"/>
    </row>
    <row r="82" spans="1:39">
      <c r="A82" s="757">
        <v>73</v>
      </c>
      <c r="B82" s="789" t="s">
        <v>1194</v>
      </c>
      <c r="C82" s="831" t="s">
        <v>584</v>
      </c>
      <c r="D82" s="786"/>
      <c r="E82" s="786"/>
      <c r="F82" s="1344"/>
      <c r="G82" s="792"/>
      <c r="H82" s="793"/>
      <c r="J82" s="782"/>
      <c r="K82" s="783"/>
      <c r="L82" s="770">
        <v>1</v>
      </c>
      <c r="M82" s="756"/>
      <c r="N82" s="766"/>
      <c r="O82" s="854"/>
      <c r="P82" s="756"/>
      <c r="Q82" s="756"/>
      <c r="R82" s="756"/>
      <c r="S82" s="759"/>
      <c r="T82" s="756"/>
      <c r="U82" s="766"/>
      <c r="V82" s="767"/>
      <c r="W82" s="756"/>
      <c r="X82" s="756"/>
      <c r="Y82" s="756"/>
      <c r="Z82" s="759"/>
      <c r="AA82" s="756"/>
      <c r="AB82" s="766"/>
      <c r="AC82" s="767"/>
      <c r="AD82" s="756"/>
      <c r="AE82" s="756"/>
      <c r="AF82" s="756"/>
      <c r="AG82" s="759"/>
      <c r="AH82" s="756"/>
      <c r="AI82" s="766"/>
      <c r="AJ82" s="767"/>
      <c r="AK82" s="756"/>
      <c r="AL82" s="756"/>
      <c r="AM82" s="756"/>
    </row>
    <row r="83" spans="1:39">
      <c r="A83" s="757">
        <v>74</v>
      </c>
      <c r="B83" s="789" t="s">
        <v>527</v>
      </c>
      <c r="C83" s="790" t="s">
        <v>584</v>
      </c>
      <c r="D83" s="786"/>
      <c r="E83" s="786"/>
      <c r="F83" s="791"/>
      <c r="G83" s="303"/>
      <c r="H83" s="316"/>
      <c r="J83" s="782"/>
      <c r="K83" s="783"/>
      <c r="M83" s="756"/>
      <c r="N83" s="321"/>
      <c r="O83" s="855" t="str">
        <f>IF(M81&lt;&gt;0,M81,IF(Produzione!$E$10&lt;&gt;"",Produzione!$E$10,Produzione!$G$9))</f>
        <v/>
      </c>
      <c r="P83" s="756"/>
      <c r="Q83" s="756"/>
      <c r="R83" s="756"/>
      <c r="S83" s="759"/>
      <c r="T83" s="756"/>
      <c r="U83" s="321"/>
      <c r="V83" s="322" t="str">
        <f>IF(T81&lt;&gt;0,T81,IF(Produzione!$E$24&lt;&gt;"",Produzione!$E$24,Produzione!$G$23))</f>
        <v/>
      </c>
      <c r="W83" s="756"/>
      <c r="X83" s="756"/>
      <c r="Y83" s="756"/>
      <c r="Z83" s="759"/>
      <c r="AA83" s="756"/>
      <c r="AB83" s="321"/>
      <c r="AC83" s="322" t="str">
        <f>IF(AA81&lt;&gt;0,AA81,IF(Produzione!$E$38&lt;&gt;"",Produzione!$E$38,Produzione!$G$37))</f>
        <v/>
      </c>
      <c r="AD83" s="756"/>
      <c r="AE83" s="756"/>
      <c r="AF83" s="756"/>
      <c r="AG83" s="759"/>
      <c r="AH83" s="756"/>
      <c r="AI83" s="321"/>
      <c r="AJ83" s="322" t="str">
        <f>IF(AH81&lt;&gt;0,AH81,IF(Produzione!$E$52&lt;&gt;"",Produzione!$E$52,Produzione!$G$51))</f>
        <v/>
      </c>
      <c r="AK83" s="756"/>
      <c r="AL83" s="756"/>
      <c r="AM83" s="756"/>
    </row>
    <row r="84" spans="1:39">
      <c r="A84" s="757">
        <v>75</v>
      </c>
      <c r="B84" s="789"/>
      <c r="C84" s="790"/>
      <c r="D84" s="787"/>
      <c r="E84" s="795"/>
      <c r="F84" s="1344"/>
      <c r="G84" s="796"/>
      <c r="H84" s="797"/>
      <c r="J84" s="782"/>
      <c r="K84" s="783"/>
      <c r="M84" s="315">
        <f>Produzione!$G$12</f>
        <v>0</v>
      </c>
      <c r="N84" s="758"/>
      <c r="O84" s="854"/>
      <c r="P84" s="756"/>
      <c r="Q84" s="756"/>
      <c r="R84" s="756"/>
      <c r="S84" s="759"/>
      <c r="T84" s="315">
        <f>Produzione!$G$26</f>
        <v>0</v>
      </c>
      <c r="U84" s="758"/>
      <c r="V84" s="758"/>
      <c r="W84" s="756"/>
      <c r="X84" s="756"/>
      <c r="Y84" s="756"/>
      <c r="Z84" s="759"/>
      <c r="AA84" s="315">
        <f>Produzione!$G$40</f>
        <v>0</v>
      </c>
      <c r="AB84" s="758"/>
      <c r="AC84" s="758"/>
      <c r="AD84" s="756"/>
      <c r="AE84" s="756"/>
      <c r="AF84" s="756"/>
      <c r="AG84" s="759"/>
      <c r="AH84" s="315">
        <f>Produzione!$G$54</f>
        <v>0</v>
      </c>
      <c r="AI84" s="758"/>
      <c r="AJ84" s="758"/>
      <c r="AK84" s="756"/>
      <c r="AL84" s="756"/>
      <c r="AM84" s="756"/>
    </row>
    <row r="85" spans="1:39">
      <c r="A85" s="757">
        <v>76</v>
      </c>
      <c r="B85" s="789"/>
      <c r="C85" s="790"/>
      <c r="D85" s="796"/>
      <c r="E85" s="795"/>
      <c r="F85" s="1344"/>
      <c r="G85" s="787"/>
      <c r="H85" s="798"/>
      <c r="J85" s="782"/>
      <c r="K85" s="783"/>
      <c r="M85" s="315">
        <f>Produzione!$G$13</f>
        <v>0</v>
      </c>
      <c r="N85" s="764"/>
      <c r="O85" s="852"/>
      <c r="P85" s="756"/>
      <c r="Q85" s="756"/>
      <c r="R85" s="756"/>
      <c r="S85" s="759"/>
      <c r="T85" s="315">
        <f>Produzione!$G$27</f>
        <v>0</v>
      </c>
      <c r="U85" s="764"/>
      <c r="V85" s="768"/>
      <c r="W85" s="756"/>
      <c r="X85" s="756"/>
      <c r="Y85" s="756"/>
      <c r="Z85" s="759"/>
      <c r="AA85" s="315">
        <f>Produzione!$G$41</f>
        <v>0</v>
      </c>
      <c r="AB85" s="764"/>
      <c r="AC85" s="768"/>
      <c r="AD85" s="756"/>
      <c r="AE85" s="756"/>
      <c r="AF85" s="756"/>
      <c r="AG85" s="759"/>
      <c r="AH85" s="315">
        <f>Produzione!$G$55</f>
        <v>0</v>
      </c>
      <c r="AI85" s="764"/>
      <c r="AJ85" s="768"/>
      <c r="AK85" s="756"/>
      <c r="AL85" s="756"/>
      <c r="AM85" s="756"/>
    </row>
    <row r="86" spans="1:39">
      <c r="A86" s="757">
        <v>77</v>
      </c>
      <c r="B86" s="799" t="str">
        <f>IF(J80=1,"Temperatura di mandata riscaldamento","")</f>
        <v>Temperatura di mandata riscaldamento</v>
      </c>
      <c r="C86" s="831" t="str">
        <f>IF(J80=1,"°C","")</f>
        <v>°C</v>
      </c>
      <c r="D86" s="786"/>
      <c r="E86" s="786"/>
      <c r="F86" s="1344"/>
      <c r="G86" s="787"/>
      <c r="H86" s="800"/>
      <c r="J86" s="782"/>
      <c r="K86" s="783"/>
      <c r="L86" s="770">
        <v>2</v>
      </c>
      <c r="M86" s="315">
        <f>Produzione!$G$14</f>
        <v>0</v>
      </c>
      <c r="N86" s="764"/>
      <c r="O86" s="852"/>
      <c r="P86" s="756"/>
      <c r="Q86" s="756"/>
      <c r="R86" s="756"/>
      <c r="S86" s="759"/>
      <c r="T86" s="315">
        <f>Produzione!$G$28</f>
        <v>0</v>
      </c>
      <c r="U86" s="764"/>
      <c r="V86" s="764"/>
      <c r="W86" s="756"/>
      <c r="X86" s="756"/>
      <c r="Y86" s="756"/>
      <c r="Z86" s="759"/>
      <c r="AA86" s="315">
        <f>Produzione!$G$42</f>
        <v>0</v>
      </c>
      <c r="AB86" s="764"/>
      <c r="AC86" s="764"/>
      <c r="AD86" s="756"/>
      <c r="AE86" s="756"/>
      <c r="AF86" s="756"/>
      <c r="AG86" s="759"/>
      <c r="AH86" s="315">
        <f>Produzione!$G$56</f>
        <v>0</v>
      </c>
      <c r="AI86" s="764"/>
      <c r="AJ86" s="764"/>
      <c r="AK86" s="756"/>
      <c r="AL86" s="756"/>
      <c r="AM86" s="756"/>
    </row>
    <row r="87" spans="1:39">
      <c r="A87" s="757">
        <v>78</v>
      </c>
      <c r="B87" s="799" t="str">
        <f>IF(AND(Warmwasser,K80=1),"Temperatura acqua calda sanitaria","")</f>
        <v/>
      </c>
      <c r="C87" s="831" t="str">
        <f>IF(AND(Warmwasser,K80=1),"°C","")</f>
        <v/>
      </c>
      <c r="D87" s="786"/>
      <c r="E87" s="786"/>
      <c r="F87" s="1344"/>
      <c r="G87" s="796"/>
      <c r="H87" s="788"/>
      <c r="J87" s="782"/>
      <c r="K87" s="783"/>
      <c r="M87" s="315">
        <f>Produzione!$G$15</f>
        <v>0</v>
      </c>
      <c r="N87" s="758"/>
      <c r="O87" s="853"/>
      <c r="P87" s="756"/>
      <c r="Q87" s="756"/>
      <c r="R87" s="756" t="str">
        <f>IF(AND($K80=0,R90&lt;&gt;0),"Riscald. ausgewählt",IF(AND($J80=0,Q76&gt;0),"Acqua calda ausgewählt",""))</f>
        <v/>
      </c>
      <c r="S87" s="759"/>
      <c r="T87" s="315">
        <f>Produzione!$G$29</f>
        <v>0</v>
      </c>
      <c r="U87" s="758"/>
      <c r="V87" s="765"/>
      <c r="W87" s="756"/>
      <c r="X87" s="756"/>
      <c r="Y87" s="756" t="str">
        <f>IF(AND($K80=0,Y90&lt;&gt;0),"Riscald. ausgewählt",IF(AND($J80=0,X76&gt;0),"Acqua calda ausgewählt",""))</f>
        <v/>
      </c>
      <c r="Z87" s="759"/>
      <c r="AA87" s="315">
        <f>Produzione!$G$43</f>
        <v>0</v>
      </c>
      <c r="AB87" s="758"/>
      <c r="AC87" s="765"/>
      <c r="AD87" s="756"/>
      <c r="AE87" s="756"/>
      <c r="AF87" s="756" t="str">
        <f>IF(AND($K80=0,AF90&lt;&gt;0),"Riscald. ausgewählt",IF(AND($J80=0,AE76&gt;0),"Acqua calda ausgewählt",""))</f>
        <v/>
      </c>
      <c r="AG87" s="759"/>
      <c r="AH87" s="315">
        <f>Produzione!$G$57</f>
        <v>0</v>
      </c>
      <c r="AI87" s="758"/>
      <c r="AJ87" s="765"/>
      <c r="AK87" s="756"/>
      <c r="AL87" s="756"/>
      <c r="AM87" s="756" t="str">
        <f>IF(AND($K80=0,AM90&lt;&gt;0),"Riscald. ausgewählt",IF(AND($J80=0,AL76&gt;0),"Acqua calda ausgewählt",""))</f>
        <v/>
      </c>
    </row>
    <row r="88" spans="1:39">
      <c r="A88" s="757">
        <v>79</v>
      </c>
      <c r="B88" s="799"/>
      <c r="C88" s="831"/>
      <c r="D88" s="810"/>
      <c r="E88" s="810"/>
      <c r="F88" s="811"/>
      <c r="G88" s="326"/>
      <c r="H88" s="327"/>
      <c r="J88" s="801"/>
      <c r="K88" s="802"/>
      <c r="M88" s="756"/>
      <c r="N88" s="325"/>
      <c r="O88" s="858"/>
      <c r="P88" s="756"/>
      <c r="Q88" s="756">
        <f>IF(Q89&lt;&gt;0,Q89,Q90)*J80</f>
        <v>0</v>
      </c>
      <c r="R88" s="756">
        <f>IF(R89&lt;&gt;0,R89,R90)*K80</f>
        <v>0</v>
      </c>
      <c r="S88" s="759"/>
      <c r="T88" s="756"/>
      <c r="U88" s="325"/>
      <c r="V88" s="325"/>
      <c r="W88" s="756"/>
      <c r="X88" s="756">
        <f>IF(X89&lt;&gt;0,X89,X90)*J80</f>
        <v>0</v>
      </c>
      <c r="Y88" s="756">
        <f>IF(Y89&lt;&gt;0,Y89,Y90)*K80</f>
        <v>0</v>
      </c>
      <c r="Z88" s="759"/>
      <c r="AA88" s="756"/>
      <c r="AB88" s="325"/>
      <c r="AC88" s="325"/>
      <c r="AD88" s="756"/>
      <c r="AE88" s="756">
        <f>IF(AE89&lt;&gt;0,AE89,AE90)*J80</f>
        <v>0</v>
      </c>
      <c r="AF88" s="756">
        <f>IF(AF89&lt;&gt;0,AF89,AF90)*K80</f>
        <v>0</v>
      </c>
      <c r="AG88" s="759"/>
      <c r="AH88" s="756"/>
      <c r="AI88" s="325"/>
      <c r="AJ88" s="325"/>
      <c r="AK88" s="756"/>
      <c r="AL88" s="756">
        <f>IF(AL89&lt;&gt;0,AL89,AL90)*J80</f>
        <v>0</v>
      </c>
      <c r="AM88" s="756">
        <f>IF(AM89&lt;&gt;0,AM89,AM90)*K80</f>
        <v>0</v>
      </c>
    </row>
    <row r="89" spans="1:39">
      <c r="A89" s="757">
        <v>80</v>
      </c>
      <c r="B89" s="757" t="s">
        <v>652</v>
      </c>
      <c r="C89" s="813" t="s">
        <v>410</v>
      </c>
      <c r="D89" s="795"/>
      <c r="E89" s="795"/>
      <c r="F89" s="791"/>
      <c r="G89" s="303"/>
      <c r="H89" s="317"/>
      <c r="J89" s="803"/>
      <c r="K89" s="804"/>
      <c r="M89" s="756"/>
      <c r="N89" s="321"/>
      <c r="O89" s="844">
        <f>(Q88/100*qh/3.6)</f>
        <v>0</v>
      </c>
      <c r="P89" s="756"/>
      <c r="Q89" s="756"/>
      <c r="R89" s="756"/>
      <c r="S89" s="759"/>
      <c r="T89" s="756"/>
      <c r="U89" s="321"/>
      <c r="V89" s="844">
        <f>(X88/100*qh/3.6)</f>
        <v>0</v>
      </c>
      <c r="W89" s="756"/>
      <c r="X89" s="756"/>
      <c r="Y89" s="756"/>
      <c r="Z89" s="759"/>
      <c r="AA89" s="756"/>
      <c r="AB89" s="321"/>
      <c r="AC89" s="844">
        <f>(AE88/100*qh/3.6)</f>
        <v>0</v>
      </c>
      <c r="AD89" s="756"/>
      <c r="AE89" s="756"/>
      <c r="AF89" s="756"/>
      <c r="AG89" s="759"/>
      <c r="AH89" s="756"/>
      <c r="AI89" s="321"/>
      <c r="AJ89" s="844">
        <f>(AL88/100*qh/3.6)</f>
        <v>0</v>
      </c>
      <c r="AK89" s="756"/>
      <c r="AL89" s="756"/>
      <c r="AM89" s="756"/>
    </row>
    <row r="90" spans="1:39">
      <c r="A90" s="757">
        <v>81</v>
      </c>
      <c r="B90" s="812" t="s">
        <v>41</v>
      </c>
      <c r="C90" s="813" t="s">
        <v>410</v>
      </c>
      <c r="D90" s="814"/>
      <c r="E90" s="815"/>
      <c r="F90" s="816"/>
      <c r="G90" s="306"/>
      <c r="H90" s="328"/>
      <c r="J90" s="756"/>
      <c r="K90" s="756"/>
      <c r="M90" s="758"/>
      <c r="N90" s="321"/>
      <c r="O90" s="330" t="e">
        <f>IF(O83=0,"",(Q$88/100*qh/3.6)/(O83/100))</f>
        <v>#VALUE!</v>
      </c>
      <c r="P90" s="756"/>
      <c r="Q90" s="315">
        <f>Produzione!$K$18</f>
        <v>0</v>
      </c>
      <c r="R90" s="315">
        <f>Produzione!$L$18</f>
        <v>0</v>
      </c>
      <c r="S90" s="759"/>
      <c r="T90" s="756"/>
      <c r="U90" s="321"/>
      <c r="V90" s="330" t="e">
        <f>IF(V83=0,"",(X$88/100*qh/3.6)/(V83/100))</f>
        <v>#VALUE!</v>
      </c>
      <c r="W90" s="756"/>
      <c r="X90" s="315">
        <f>Produzione!$K$32</f>
        <v>0</v>
      </c>
      <c r="Y90" s="315">
        <f>Produzione!$L$32</f>
        <v>0</v>
      </c>
      <c r="Z90" s="759"/>
      <c r="AA90" s="758"/>
      <c r="AB90" s="321"/>
      <c r="AC90" s="330" t="e">
        <f>IF(AC83=0,"",(AE$88/100*qh/3.6)/(AC83/100))</f>
        <v>#VALUE!</v>
      </c>
      <c r="AD90" s="756"/>
      <c r="AE90" s="315">
        <f>Produzione!$K$46</f>
        <v>0</v>
      </c>
      <c r="AF90" s="315">
        <f>Produzione!$L$46</f>
        <v>0</v>
      </c>
      <c r="AG90" s="759"/>
      <c r="AH90" s="758"/>
      <c r="AI90" s="321"/>
      <c r="AJ90" s="330" t="e">
        <f>IF(AJ83=0,"",(AL$88/100*qh/3.6)/(AJ83/100))</f>
        <v>#VALUE!</v>
      </c>
      <c r="AK90" s="756"/>
      <c r="AL90" s="315">
        <f>Produzione!$K$60</f>
        <v>0</v>
      </c>
      <c r="AM90" s="315">
        <f>Produzione!$L$60</f>
        <v>0</v>
      </c>
    </row>
    <row r="91" spans="1:39">
      <c r="A91" s="757">
        <v>82</v>
      </c>
      <c r="B91" s="759"/>
      <c r="C91" s="833"/>
      <c r="D91" s="759"/>
      <c r="E91" s="759"/>
      <c r="F91" s="817"/>
      <c r="G91" s="759"/>
      <c r="H91" s="759"/>
      <c r="I91" s="759"/>
      <c r="J91" s="759"/>
      <c r="Q91" s="761" t="str">
        <f>IF(Q89&lt;&gt;0,IF(Q90&lt;&gt;0,"Doppelte Eingabe",""),IF(R89&lt;&gt;0,IF(R90&lt;&gt;0,"Doppelte Eingabe",""),""))</f>
        <v/>
      </c>
      <c r="S91" s="759"/>
      <c r="X91" s="761" t="str">
        <f>IF(X89&lt;&gt;0,IF(X90&lt;&gt;0,"Doppelte Eingabe",""),IF(Y89&lt;&gt;0,IF(Y90&lt;&gt;0,"Doppelte Eingabe",""),""))</f>
        <v/>
      </c>
      <c r="Z91" s="759"/>
      <c r="AA91" s="759"/>
      <c r="AB91" s="759"/>
      <c r="AC91" s="759"/>
      <c r="AD91" s="759"/>
      <c r="AE91" s="761" t="str">
        <f>IF(AE89&lt;&gt;0,IF(AE90&lt;&gt;0,"Doppelte Eingabe",""),IF(AF89&lt;&gt;0,IF(AF90&lt;&gt;0,"Doppelte Eingabe",""),""))</f>
        <v/>
      </c>
      <c r="AF91" s="759"/>
      <c r="AG91" s="759"/>
      <c r="AL91" s="761" t="str">
        <f>IF(AL89&lt;&gt;0,IF(AL90&lt;&gt;0,"Doppelte Eingabe",""),IF(AM89&lt;&gt;0,IF(AM90&lt;&gt;0,"Doppelte Eingabe",""),""))</f>
        <v/>
      </c>
    </row>
    <row r="92" spans="1:39">
      <c r="A92" s="757">
        <v>83</v>
      </c>
      <c r="B92" s="755"/>
      <c r="C92" s="828"/>
      <c r="D92" s="755"/>
      <c r="E92" s="755"/>
      <c r="F92" s="774"/>
      <c r="G92" s="755"/>
      <c r="H92" s="763"/>
      <c r="I92" s="806"/>
      <c r="J92" s="755" t="s">
        <v>1620</v>
      </c>
      <c r="K92" s="806"/>
      <c r="M92" s="759"/>
      <c r="N92" s="762"/>
      <c r="O92" s="860"/>
      <c r="P92" s="759"/>
      <c r="Q92" s="762" t="s">
        <v>1620</v>
      </c>
      <c r="R92" s="759"/>
      <c r="S92" s="759"/>
      <c r="T92" s="759"/>
      <c r="U92" s="762"/>
      <c r="V92" s="769"/>
      <c r="W92" s="759"/>
      <c r="X92" s="762" t="s">
        <v>1620</v>
      </c>
      <c r="Y92" s="759"/>
      <c r="Z92" s="759"/>
      <c r="AA92" s="756"/>
      <c r="AB92" s="760"/>
      <c r="AC92" s="764"/>
      <c r="AD92" s="756"/>
      <c r="AE92" s="760" t="s">
        <v>1620</v>
      </c>
      <c r="AF92" s="756"/>
      <c r="AG92" s="759"/>
      <c r="AH92" s="756"/>
      <c r="AI92" s="760"/>
      <c r="AJ92" s="764"/>
      <c r="AK92" s="756"/>
      <c r="AL92" s="760" t="s">
        <v>1620</v>
      </c>
      <c r="AM92" s="756"/>
    </row>
    <row r="93" spans="1:39">
      <c r="A93" s="757">
        <v>84</v>
      </c>
      <c r="B93" s="772" t="str">
        <f>INDEX(Standardwerte!$V$6:$V$16,Rechnung!$C93,1)</f>
        <v>Riscaldamento a gas a condensazione, solo AC</v>
      </c>
      <c r="C93" s="829">
        <v>7</v>
      </c>
      <c r="D93" s="755"/>
      <c r="E93" s="773"/>
      <c r="F93" s="774"/>
      <c r="G93" s="755"/>
      <c r="H93" s="775"/>
      <c r="J93" s="776" t="s">
        <v>525</v>
      </c>
      <c r="K93" s="777" t="s">
        <v>1622</v>
      </c>
      <c r="M93" s="756"/>
      <c r="N93" s="760"/>
      <c r="O93" s="852"/>
      <c r="P93" s="756"/>
      <c r="Q93" s="760" t="s">
        <v>525</v>
      </c>
      <c r="R93" s="756" t="s">
        <v>1622</v>
      </c>
      <c r="S93" s="759"/>
      <c r="T93" s="756"/>
      <c r="U93" s="760"/>
      <c r="V93" s="764"/>
      <c r="W93" s="756"/>
      <c r="X93" s="760" t="s">
        <v>525</v>
      </c>
      <c r="Y93" s="756" t="s">
        <v>1622</v>
      </c>
      <c r="Z93" s="759"/>
      <c r="AA93" s="756"/>
      <c r="AB93" s="760"/>
      <c r="AC93" s="764"/>
      <c r="AD93" s="756"/>
      <c r="AE93" s="760" t="s">
        <v>525</v>
      </c>
      <c r="AF93" s="756" t="s">
        <v>1622</v>
      </c>
      <c r="AG93" s="759"/>
      <c r="AH93" s="756"/>
      <c r="AI93" s="760"/>
      <c r="AJ93" s="764"/>
      <c r="AK93" s="756"/>
      <c r="AL93" s="760" t="s">
        <v>525</v>
      </c>
      <c r="AM93" s="756" t="s">
        <v>1622</v>
      </c>
    </row>
    <row r="94" spans="1:39">
      <c r="A94" s="757">
        <v>85</v>
      </c>
      <c r="B94" s="778" t="s">
        <v>526</v>
      </c>
      <c r="C94" s="830"/>
      <c r="D94" s="779"/>
      <c r="E94" s="312"/>
      <c r="F94" s="313">
        <f>INDEX($M$10:$AM$162,$A$10+(_typ1-1)*14,1)</f>
        <v>0</v>
      </c>
      <c r="G94" s="780"/>
      <c r="H94" s="781"/>
      <c r="J94" s="782">
        <f>INDEX(Standardwerte!$Y$6:$Z$43,$C93,2)</f>
        <v>0</v>
      </c>
      <c r="K94" s="783">
        <f>INDEX(Standardwerte!$Y$6:$Z$43,$C93,1)</f>
        <v>1</v>
      </c>
      <c r="M94" s="315">
        <f>Produzione!$G$8</f>
        <v>0</v>
      </c>
      <c r="N94" s="764"/>
      <c r="O94" s="852"/>
      <c r="P94" s="756"/>
      <c r="Q94" s="756"/>
      <c r="R94" s="756"/>
      <c r="S94" s="759"/>
      <c r="T94" s="315">
        <f>Produzione!$G$22</f>
        <v>0</v>
      </c>
      <c r="U94" s="764"/>
      <c r="V94" s="764"/>
      <c r="W94" s="756"/>
      <c r="X94" s="756"/>
      <c r="Y94" s="756"/>
      <c r="Z94" s="759"/>
      <c r="AA94" s="315">
        <f>Produzione!$G$36</f>
        <v>0</v>
      </c>
      <c r="AB94" s="764"/>
      <c r="AC94" s="764"/>
      <c r="AD94" s="756"/>
      <c r="AE94" s="756"/>
      <c r="AF94" s="756"/>
      <c r="AG94" s="759"/>
      <c r="AH94" s="315">
        <f>Produzione!$G$50</f>
        <v>0</v>
      </c>
      <c r="AI94" s="764"/>
      <c r="AJ94" s="764"/>
      <c r="AK94" s="756"/>
      <c r="AL94" s="756"/>
      <c r="AM94" s="756"/>
    </row>
    <row r="95" spans="1:39">
      <c r="A95" s="757">
        <v>86</v>
      </c>
      <c r="B95" s="784" t="s">
        <v>1193</v>
      </c>
      <c r="C95" s="831" t="s">
        <v>584</v>
      </c>
      <c r="E95" s="786"/>
      <c r="F95" s="809">
        <f>INDEX(Standardwerte!$W$6:$W$43,$C93,1)</f>
        <v>92</v>
      </c>
      <c r="G95" s="787"/>
      <c r="H95" s="788"/>
      <c r="J95" s="782"/>
      <c r="K95" s="783"/>
      <c r="M95" s="315">
        <f>Produzione!$G$10</f>
        <v>0</v>
      </c>
      <c r="N95" s="764"/>
      <c r="O95" s="861">
        <f>F95</f>
        <v>92</v>
      </c>
      <c r="P95" s="756"/>
      <c r="Q95" s="756"/>
      <c r="R95" s="756"/>
      <c r="S95" s="759"/>
      <c r="T95" s="315">
        <f>Produzione!$G$24</f>
        <v>0</v>
      </c>
      <c r="U95" s="764"/>
      <c r="V95" s="28">
        <f>F95</f>
        <v>92</v>
      </c>
      <c r="W95" s="756"/>
      <c r="X95" s="756"/>
      <c r="Y95" s="756"/>
      <c r="Z95" s="759"/>
      <c r="AA95" s="315">
        <f>Produzione!$G$38</f>
        <v>0</v>
      </c>
      <c r="AB95" s="764"/>
      <c r="AC95" s="28">
        <f>F95</f>
        <v>92</v>
      </c>
      <c r="AD95" s="756"/>
      <c r="AE95" s="756"/>
      <c r="AF95" s="756"/>
      <c r="AG95" s="759"/>
      <c r="AH95" s="315">
        <f>Produzione!$G$52</f>
        <v>0</v>
      </c>
      <c r="AI95" s="764"/>
      <c r="AJ95" s="28">
        <f>F95</f>
        <v>92</v>
      </c>
      <c r="AK95" s="756"/>
      <c r="AL95" s="756"/>
      <c r="AM95" s="756"/>
    </row>
    <row r="96" spans="1:39">
      <c r="A96" s="757">
        <v>87</v>
      </c>
      <c r="B96" s="789" t="s">
        <v>1194</v>
      </c>
      <c r="C96" s="831" t="s">
        <v>584</v>
      </c>
      <c r="D96" s="786"/>
      <c r="E96" s="786"/>
      <c r="F96" s="1344"/>
      <c r="G96" s="792"/>
      <c r="H96" s="793"/>
      <c r="J96" s="782"/>
      <c r="K96" s="783"/>
      <c r="L96" s="770">
        <v>1</v>
      </c>
      <c r="M96" s="756"/>
      <c r="N96" s="766"/>
      <c r="O96" s="854"/>
      <c r="P96" s="756"/>
      <c r="Q96" s="756"/>
      <c r="R96" s="756"/>
      <c r="S96" s="759"/>
      <c r="T96" s="756"/>
      <c r="U96" s="766"/>
      <c r="V96" s="767"/>
      <c r="W96" s="756"/>
      <c r="X96" s="756"/>
      <c r="Y96" s="756"/>
      <c r="Z96" s="759"/>
      <c r="AA96" s="756"/>
      <c r="AB96" s="766"/>
      <c r="AC96" s="767"/>
      <c r="AD96" s="756"/>
      <c r="AE96" s="756"/>
      <c r="AF96" s="756"/>
      <c r="AG96" s="759"/>
      <c r="AH96" s="756"/>
      <c r="AI96" s="766"/>
      <c r="AJ96" s="767"/>
      <c r="AK96" s="756"/>
      <c r="AL96" s="756"/>
      <c r="AM96" s="756"/>
    </row>
    <row r="97" spans="1:39">
      <c r="A97" s="757">
        <v>88</v>
      </c>
      <c r="B97" s="789" t="s">
        <v>527</v>
      </c>
      <c r="C97" s="790" t="s">
        <v>584</v>
      </c>
      <c r="D97" s="786"/>
      <c r="E97" s="786"/>
      <c r="F97" s="791"/>
      <c r="G97" s="303"/>
      <c r="H97" s="316"/>
      <c r="J97" s="782"/>
      <c r="K97" s="783"/>
      <c r="M97" s="756"/>
      <c r="N97" s="321"/>
      <c r="O97" s="855" t="str">
        <f>IF(M95&lt;&gt;0,M95,IF(Produzione!$E$10&lt;&gt;"",Produzione!$E$10,Produzione!$G$9))</f>
        <v/>
      </c>
      <c r="P97" s="756"/>
      <c r="Q97" s="756"/>
      <c r="R97" s="756"/>
      <c r="S97" s="759"/>
      <c r="T97" s="756"/>
      <c r="U97" s="321"/>
      <c r="V97" s="322" t="str">
        <f>IF(T95&lt;&gt;0,T95,IF(Produzione!$E$24&lt;&gt;"",Produzione!$E$24,Produzione!$G$23))</f>
        <v/>
      </c>
      <c r="W97" s="756"/>
      <c r="X97" s="756"/>
      <c r="Y97" s="756"/>
      <c r="Z97" s="759"/>
      <c r="AA97" s="756"/>
      <c r="AB97" s="321"/>
      <c r="AC97" s="322" t="str">
        <f>IF(AA95&lt;&gt;0,AA95,IF(Produzione!$E$38&lt;&gt;"",Produzione!$E$38,Produzione!$G$37))</f>
        <v/>
      </c>
      <c r="AD97" s="756"/>
      <c r="AE97" s="756"/>
      <c r="AF97" s="756"/>
      <c r="AG97" s="759"/>
      <c r="AH97" s="756"/>
      <c r="AI97" s="321"/>
      <c r="AJ97" s="322" t="str">
        <f>IF(AH95&lt;&gt;0,AH95,IF(Produzione!$E$52&lt;&gt;"",Produzione!$E$52,Produzione!$G$51))</f>
        <v/>
      </c>
      <c r="AK97" s="756"/>
      <c r="AL97" s="756"/>
      <c r="AM97" s="756"/>
    </row>
    <row r="98" spans="1:39">
      <c r="A98" s="757">
        <v>89</v>
      </c>
      <c r="B98" s="789"/>
      <c r="C98" s="790"/>
      <c r="D98" s="787"/>
      <c r="E98" s="795"/>
      <c r="F98" s="1344"/>
      <c r="G98" s="796"/>
      <c r="H98" s="797"/>
      <c r="J98" s="782"/>
      <c r="K98" s="783"/>
      <c r="M98" s="315">
        <f>Produzione!$G$12</f>
        <v>0</v>
      </c>
      <c r="N98" s="758"/>
      <c r="O98" s="854"/>
      <c r="P98" s="756"/>
      <c r="Q98" s="756"/>
      <c r="R98" s="756"/>
      <c r="S98" s="759"/>
      <c r="T98" s="315">
        <f>Produzione!$G$26</f>
        <v>0</v>
      </c>
      <c r="U98" s="758"/>
      <c r="V98" s="758"/>
      <c r="W98" s="756"/>
      <c r="X98" s="756"/>
      <c r="Y98" s="756"/>
      <c r="Z98" s="759"/>
      <c r="AA98" s="315">
        <f>Produzione!$G$40</f>
        <v>0</v>
      </c>
      <c r="AB98" s="758"/>
      <c r="AC98" s="758"/>
      <c r="AD98" s="756"/>
      <c r="AE98" s="756"/>
      <c r="AF98" s="756"/>
      <c r="AG98" s="759"/>
      <c r="AH98" s="315">
        <f>Produzione!$G$54</f>
        <v>0</v>
      </c>
      <c r="AI98" s="758"/>
      <c r="AJ98" s="758"/>
      <c r="AK98" s="756"/>
      <c r="AL98" s="756"/>
      <c r="AM98" s="756"/>
    </row>
    <row r="99" spans="1:39">
      <c r="A99" s="757">
        <v>90</v>
      </c>
      <c r="B99" s="789"/>
      <c r="C99" s="790"/>
      <c r="D99" s="796"/>
      <c r="E99" s="795"/>
      <c r="F99" s="1344"/>
      <c r="G99" s="787"/>
      <c r="H99" s="798"/>
      <c r="J99" s="782"/>
      <c r="K99" s="783"/>
      <c r="M99" s="315">
        <f>Produzione!$G$13</f>
        <v>0</v>
      </c>
      <c r="N99" s="764"/>
      <c r="O99" s="852"/>
      <c r="P99" s="756"/>
      <c r="Q99" s="756"/>
      <c r="R99" s="756"/>
      <c r="S99" s="759"/>
      <c r="T99" s="315">
        <f>Produzione!$G$27</f>
        <v>0</v>
      </c>
      <c r="U99" s="764"/>
      <c r="V99" s="768"/>
      <c r="W99" s="756"/>
      <c r="X99" s="756"/>
      <c r="Y99" s="756"/>
      <c r="Z99" s="759"/>
      <c r="AA99" s="315">
        <f>Produzione!$G$41</f>
        <v>0</v>
      </c>
      <c r="AB99" s="764"/>
      <c r="AC99" s="768"/>
      <c r="AD99" s="756"/>
      <c r="AE99" s="756"/>
      <c r="AF99" s="756"/>
      <c r="AG99" s="759"/>
      <c r="AH99" s="315">
        <f>Produzione!$G$55</f>
        <v>0</v>
      </c>
      <c r="AI99" s="764"/>
      <c r="AJ99" s="768"/>
      <c r="AK99" s="756"/>
      <c r="AL99" s="756"/>
      <c r="AM99" s="756"/>
    </row>
    <row r="100" spans="1:39">
      <c r="A100" s="757">
        <v>91</v>
      </c>
      <c r="B100" s="799" t="str">
        <f>IF(J94=1,"Temperatura di mandata riscaldamento","")</f>
        <v/>
      </c>
      <c r="C100" s="831" t="str">
        <f>IF(J94=1,"°C","")</f>
        <v/>
      </c>
      <c r="D100" s="786"/>
      <c r="E100" s="786"/>
      <c r="F100" s="1344"/>
      <c r="G100" s="787"/>
      <c r="H100" s="800"/>
      <c r="J100" s="782"/>
      <c r="K100" s="783"/>
      <c r="M100" s="315">
        <f>Produzione!$G$14</f>
        <v>0</v>
      </c>
      <c r="N100" s="764"/>
      <c r="O100" s="852"/>
      <c r="P100" s="756"/>
      <c r="Q100" s="756"/>
      <c r="R100" s="756"/>
      <c r="S100" s="759"/>
      <c r="T100" s="315">
        <f>Produzione!$G$28</f>
        <v>0</v>
      </c>
      <c r="U100" s="764"/>
      <c r="V100" s="764"/>
      <c r="W100" s="756"/>
      <c r="X100" s="756"/>
      <c r="Y100" s="756"/>
      <c r="Z100" s="759"/>
      <c r="AA100" s="315">
        <f>Produzione!$G$42</f>
        <v>0</v>
      </c>
      <c r="AB100" s="764"/>
      <c r="AC100" s="764"/>
      <c r="AD100" s="756"/>
      <c r="AE100" s="756"/>
      <c r="AF100" s="756"/>
      <c r="AG100" s="759"/>
      <c r="AH100" s="315">
        <f>Produzione!$G$56</f>
        <v>0</v>
      </c>
      <c r="AI100" s="764"/>
      <c r="AJ100" s="764"/>
      <c r="AK100" s="756"/>
      <c r="AL100" s="756"/>
      <c r="AM100" s="756"/>
    </row>
    <row r="101" spans="1:39">
      <c r="A101" s="757">
        <v>92</v>
      </c>
      <c r="B101" s="799" t="str">
        <f>IF(AND(Warmwasser,K94=1),"Temperatura acqua calda sanitaria","")</f>
        <v/>
      </c>
      <c r="C101" s="831" t="str">
        <f>IF(AND(Warmwasser,K94=1),"°C","")</f>
        <v/>
      </c>
      <c r="D101" s="786"/>
      <c r="E101" s="786"/>
      <c r="F101" s="1344"/>
      <c r="G101" s="796"/>
      <c r="H101" s="788"/>
      <c r="J101" s="782"/>
      <c r="K101" s="783"/>
      <c r="L101" s="770">
        <v>2</v>
      </c>
      <c r="M101" s="315">
        <f>Produzione!$G$15</f>
        <v>0</v>
      </c>
      <c r="N101" s="758"/>
      <c r="O101" s="853"/>
      <c r="P101" s="756"/>
      <c r="Q101" s="756"/>
      <c r="R101" s="756" t="str">
        <f>IF(AND($K94=0,R104&lt;&gt;0),"scelto riscald.",IF(AND($J94=0,Q90&gt;0),"scelto acqua calda",""))</f>
        <v/>
      </c>
      <c r="S101" s="759"/>
      <c r="T101" s="315">
        <f>Produzione!$G$29</f>
        <v>0</v>
      </c>
      <c r="U101" s="758"/>
      <c r="V101" s="765"/>
      <c r="W101" s="756"/>
      <c r="X101" s="756"/>
      <c r="Y101" s="756" t="str">
        <f>IF(AND($K94=0,Y104&lt;&gt;0),"Riscald. ausgewählt",IF(AND($J94=0,X90&gt;0),"Acqua calda ausgewählt",""))</f>
        <v/>
      </c>
      <c r="Z101" s="759"/>
      <c r="AA101" s="315">
        <f>Produzione!$G$43</f>
        <v>0</v>
      </c>
      <c r="AB101" s="758"/>
      <c r="AC101" s="765"/>
      <c r="AD101" s="756"/>
      <c r="AE101" s="756"/>
      <c r="AF101" s="756" t="str">
        <f>IF(AND($K94=0,AF104&lt;&gt;0),"Riscald. ausgewählt",IF(AND($J94=0,AE90&gt;0),"Acqua calda ausgewählt",""))</f>
        <v/>
      </c>
      <c r="AG101" s="759"/>
      <c r="AH101" s="315">
        <f>Produzione!$G$57</f>
        <v>0</v>
      </c>
      <c r="AI101" s="758"/>
      <c r="AJ101" s="765"/>
      <c r="AK101" s="756"/>
      <c r="AL101" s="756"/>
      <c r="AM101" s="756" t="str">
        <f>IF(AND($K94=0,AM104&lt;&gt;0),"Riscald. ausgewählt",IF(AND($J94=0,AL90&gt;0),"Acqua calda ausgewählt",""))</f>
        <v/>
      </c>
    </row>
    <row r="102" spans="1:39">
      <c r="A102" s="757">
        <v>93</v>
      </c>
      <c r="B102" s="799"/>
      <c r="C102" s="831"/>
      <c r="D102" s="810"/>
      <c r="E102" s="810"/>
      <c r="F102" s="811"/>
      <c r="G102" s="326"/>
      <c r="H102" s="327"/>
      <c r="J102" s="801"/>
      <c r="K102" s="802"/>
      <c r="M102" s="756"/>
      <c r="N102" s="325"/>
      <c r="O102" s="858"/>
      <c r="P102" s="756"/>
      <c r="Q102" s="756">
        <f>IF(Q103&lt;&gt;0,Q103,Q104)*J94</f>
        <v>0</v>
      </c>
      <c r="R102" s="756">
        <f>IF(R103&lt;&gt;0,R103,R104)*K94</f>
        <v>0</v>
      </c>
      <c r="S102" s="759"/>
      <c r="T102" s="756"/>
      <c r="U102" s="325"/>
      <c r="V102" s="325"/>
      <c r="W102" s="756"/>
      <c r="X102" s="756">
        <f>IF(X103&lt;&gt;0,X103,X104)*J94</f>
        <v>0</v>
      </c>
      <c r="Y102" s="756">
        <f>IF(Y103&lt;&gt;0,Y103,Y104)*K94</f>
        <v>0</v>
      </c>
      <c r="Z102" s="759"/>
      <c r="AA102" s="756"/>
      <c r="AB102" s="325"/>
      <c r="AC102" s="325"/>
      <c r="AD102" s="756"/>
      <c r="AE102" s="756">
        <f>IF(AE103&lt;&gt;0,AE103,AE104)*J94</f>
        <v>0</v>
      </c>
      <c r="AF102" s="756">
        <f>IF(AF103&lt;&gt;0,AF103,AF104)*K94</f>
        <v>0</v>
      </c>
      <c r="AG102" s="759"/>
      <c r="AH102" s="756"/>
      <c r="AI102" s="325"/>
      <c r="AJ102" s="325"/>
      <c r="AK102" s="756"/>
      <c r="AL102" s="756">
        <f>IF(AL103&lt;&gt;0,AL103,AL104)*J94</f>
        <v>0</v>
      </c>
      <c r="AM102" s="756">
        <f>IF(AM103&lt;&gt;0,AM103,AM104)*K94</f>
        <v>0</v>
      </c>
    </row>
    <row r="103" spans="1:39">
      <c r="A103" s="757">
        <v>94</v>
      </c>
      <c r="B103" s="757" t="s">
        <v>652</v>
      </c>
      <c r="C103" s="813" t="s">
        <v>410</v>
      </c>
      <c r="D103" s="795"/>
      <c r="E103" s="795"/>
      <c r="F103" s="791"/>
      <c r="G103" s="303"/>
      <c r="H103" s="317"/>
      <c r="J103" s="803"/>
      <c r="K103" s="804"/>
      <c r="M103" s="756"/>
      <c r="N103" s="321"/>
      <c r="O103" s="844">
        <f>(R102/100*qw)</f>
        <v>0</v>
      </c>
      <c r="P103" s="756"/>
      <c r="Q103" s="756"/>
      <c r="R103" s="756"/>
      <c r="S103" s="759"/>
      <c r="T103" s="756"/>
      <c r="U103" s="321"/>
      <c r="V103" s="844">
        <f>(Y102/100*qw)</f>
        <v>0</v>
      </c>
      <c r="W103" s="756"/>
      <c r="X103" s="756"/>
      <c r="Y103" s="756"/>
      <c r="Z103" s="759"/>
      <c r="AA103" s="756"/>
      <c r="AB103" s="321"/>
      <c r="AC103" s="844">
        <f>(AF102/100*qw)</f>
        <v>0</v>
      </c>
      <c r="AD103" s="756"/>
      <c r="AE103" s="756"/>
      <c r="AF103" s="756"/>
      <c r="AG103" s="759"/>
      <c r="AH103" s="756"/>
      <c r="AI103" s="321"/>
      <c r="AJ103" s="844">
        <f>(AM102/100*qw)</f>
        <v>0</v>
      </c>
      <c r="AK103" s="756"/>
      <c r="AL103" s="756"/>
      <c r="AM103" s="756"/>
    </row>
    <row r="104" spans="1:39">
      <c r="A104" s="757">
        <v>95</v>
      </c>
      <c r="B104" s="812" t="s">
        <v>41</v>
      </c>
      <c r="C104" s="813" t="s">
        <v>410</v>
      </c>
      <c r="D104" s="814"/>
      <c r="E104" s="815"/>
      <c r="F104" s="816"/>
      <c r="G104" s="306"/>
      <c r="H104" s="328"/>
      <c r="J104" s="756"/>
      <c r="K104" s="756"/>
      <c r="M104" s="758"/>
      <c r="N104" s="321"/>
      <c r="O104" s="330" t="e">
        <f>IF(O97=0,"",(R$102/100*qw)/(O97/100))</f>
        <v>#VALUE!</v>
      </c>
      <c r="P104" s="756"/>
      <c r="Q104" s="315">
        <f>Produzione!$K$18</f>
        <v>0</v>
      </c>
      <c r="R104" s="315">
        <f>Produzione!$L$18</f>
        <v>0</v>
      </c>
      <c r="S104" s="759"/>
      <c r="T104" s="756"/>
      <c r="U104" s="321"/>
      <c r="V104" s="330" t="e">
        <f>IF(V97=0,"",(Y$102/100*qw)/(V97/100))</f>
        <v>#VALUE!</v>
      </c>
      <c r="W104" s="756"/>
      <c r="X104" s="315">
        <f>Produzione!$K$32</f>
        <v>0</v>
      </c>
      <c r="Y104" s="315">
        <f>Produzione!$L$32</f>
        <v>0</v>
      </c>
      <c r="Z104" s="759"/>
      <c r="AA104" s="758"/>
      <c r="AB104" s="321"/>
      <c r="AC104" s="330" t="e">
        <f>IF(AC97=0,"",(AF$102/100*qw)/(AC97/100))</f>
        <v>#VALUE!</v>
      </c>
      <c r="AD104" s="756"/>
      <c r="AE104" s="315">
        <f>Produzione!$K$46</f>
        <v>0</v>
      </c>
      <c r="AF104" s="315">
        <f>Produzione!$L$46</f>
        <v>0</v>
      </c>
      <c r="AG104" s="759"/>
      <c r="AH104" s="758"/>
      <c r="AI104" s="321"/>
      <c r="AJ104" s="330" t="e">
        <f>IF(AJ97=0,"",(AM$102/100*qw)/(AJ97/100))</f>
        <v>#VALUE!</v>
      </c>
      <c r="AK104" s="756"/>
      <c r="AL104" s="315">
        <f>Produzione!$K$60</f>
        <v>0</v>
      </c>
      <c r="AM104" s="315">
        <f>Produzione!$L$60</f>
        <v>0</v>
      </c>
    </row>
    <row r="105" spans="1:39">
      <c r="A105" s="757">
        <v>96</v>
      </c>
      <c r="B105" s="759"/>
      <c r="C105" s="833"/>
      <c r="D105" s="759"/>
      <c r="E105" s="759"/>
      <c r="F105" s="817"/>
      <c r="G105" s="759"/>
      <c r="H105" s="759"/>
      <c r="I105" s="759"/>
      <c r="J105" s="759"/>
      <c r="Q105" s="761" t="str">
        <f>IF(Q103&lt;&gt;0,IF(Q104&lt;&gt;0,"Doppelte Eingabe",""),IF(R103&lt;&gt;0,IF(R104&lt;&gt;0,"Doppelte Eingabe",""),""))</f>
        <v/>
      </c>
      <c r="S105" s="759"/>
      <c r="X105" s="761" t="str">
        <f>IF(X103&lt;&gt;0,IF(X104&lt;&gt;0,"Doppelte Eingabe",""),IF(Y103&lt;&gt;0,IF(Y104&lt;&gt;0,"Doppelte Eingabe",""),""))</f>
        <v/>
      </c>
      <c r="Z105" s="759"/>
      <c r="AA105" s="759"/>
      <c r="AB105" s="759"/>
      <c r="AC105" s="759"/>
      <c r="AD105" s="759"/>
      <c r="AE105" s="761" t="str">
        <f>IF(AE103&lt;&gt;0,IF(AE104&lt;&gt;0,"Doppelte Eingabe",""),IF(AF103&lt;&gt;0,IF(AF104&lt;&gt;0,"Doppelte Eingabe",""),""))</f>
        <v/>
      </c>
      <c r="AF105" s="759"/>
      <c r="AG105" s="759"/>
      <c r="AL105" s="761" t="str">
        <f>IF(AL103&lt;&gt;0,IF(AL104&lt;&gt;0,"Doppelte Eingabe",""),IF(AM103&lt;&gt;0,IF(AM104&lt;&gt;0,"Doppelte Eingabe",""),""))</f>
        <v/>
      </c>
    </row>
    <row r="106" spans="1:39">
      <c r="A106" s="757">
        <v>97</v>
      </c>
      <c r="B106" s="755"/>
      <c r="C106" s="834"/>
      <c r="D106" s="762"/>
      <c r="E106" s="762"/>
      <c r="G106" s="762"/>
      <c r="H106" s="818"/>
      <c r="J106" s="762" t="s">
        <v>1620</v>
      </c>
      <c r="M106" s="759"/>
      <c r="N106" s="762"/>
      <c r="O106" s="860"/>
      <c r="P106" s="759"/>
      <c r="Q106" s="762" t="s">
        <v>1620</v>
      </c>
      <c r="R106" s="759"/>
      <c r="S106" s="759"/>
      <c r="T106" s="759"/>
      <c r="U106" s="762"/>
      <c r="V106" s="769"/>
      <c r="W106" s="759"/>
      <c r="X106" s="762" t="s">
        <v>1620</v>
      </c>
      <c r="Y106" s="759"/>
      <c r="Z106" s="759"/>
      <c r="AA106" s="759"/>
      <c r="AB106" s="762"/>
      <c r="AC106" s="769"/>
      <c r="AD106" s="759"/>
      <c r="AE106" s="762" t="s">
        <v>1620</v>
      </c>
      <c r="AF106" s="759"/>
      <c r="AG106" s="759"/>
      <c r="AH106" s="759"/>
      <c r="AI106" s="762"/>
      <c r="AJ106" s="769"/>
      <c r="AK106" s="759"/>
      <c r="AL106" s="762" t="s">
        <v>1620</v>
      </c>
      <c r="AM106" s="759"/>
    </row>
    <row r="107" spans="1:39">
      <c r="A107" s="757">
        <v>98</v>
      </c>
      <c r="B107" s="772" t="str">
        <f>INDEX(Standardwerte!$V$6:$V$16,Rechnung!$C107,1)</f>
        <v>Scaldaacqua a gas</v>
      </c>
      <c r="C107" s="835">
        <v>8</v>
      </c>
      <c r="D107" s="819"/>
      <c r="E107" s="820"/>
      <c r="F107" s="821"/>
      <c r="G107" s="819"/>
      <c r="H107" s="822"/>
      <c r="J107" s="760" t="s">
        <v>525</v>
      </c>
      <c r="K107" s="756" t="s">
        <v>1622</v>
      </c>
      <c r="M107" s="756"/>
      <c r="N107" s="760"/>
      <c r="O107" s="852"/>
      <c r="P107" s="756"/>
      <c r="Q107" s="760" t="s">
        <v>525</v>
      </c>
      <c r="R107" s="756" t="s">
        <v>1622</v>
      </c>
      <c r="S107" s="759"/>
      <c r="T107" s="756"/>
      <c r="U107" s="760"/>
      <c r="V107" s="764"/>
      <c r="W107" s="756"/>
      <c r="X107" s="760" t="s">
        <v>525</v>
      </c>
      <c r="Y107" s="756" t="s">
        <v>1622</v>
      </c>
      <c r="Z107" s="759"/>
      <c r="AA107" s="756"/>
      <c r="AB107" s="760"/>
      <c r="AC107" s="764"/>
      <c r="AD107" s="756"/>
      <c r="AE107" s="760" t="s">
        <v>525</v>
      </c>
      <c r="AF107" s="756" t="s">
        <v>1622</v>
      </c>
      <c r="AG107" s="759"/>
      <c r="AH107" s="756"/>
      <c r="AI107" s="760"/>
      <c r="AJ107" s="764"/>
      <c r="AK107" s="756"/>
      <c r="AL107" s="760" t="s">
        <v>525</v>
      </c>
      <c r="AM107" s="756" t="s">
        <v>1622</v>
      </c>
    </row>
    <row r="108" spans="1:39">
      <c r="A108" s="757">
        <v>99</v>
      </c>
      <c r="B108" s="778" t="s">
        <v>526</v>
      </c>
      <c r="C108" s="830"/>
      <c r="D108" s="779"/>
      <c r="E108" s="312"/>
      <c r="F108" s="313">
        <f>INDEX($M$10:$AM$162,$A$10+(_typ1-1)*14,1)</f>
        <v>0</v>
      </c>
      <c r="G108" s="780"/>
      <c r="H108" s="781"/>
      <c r="J108" s="782">
        <f>INDEX(Standardwerte!$Y$6:$Z$43,$C107,2)</f>
        <v>0</v>
      </c>
      <c r="K108" s="783">
        <f>INDEX(Standardwerte!$Y$6:$Z$43,$C107,1)</f>
        <v>1</v>
      </c>
      <c r="M108" s="315">
        <f>Produzione!$G$8</f>
        <v>0</v>
      </c>
      <c r="N108" s="764"/>
      <c r="O108" s="852"/>
      <c r="P108" s="756"/>
      <c r="Q108" s="756"/>
      <c r="R108" s="756"/>
      <c r="S108" s="759"/>
      <c r="T108" s="315">
        <f>Produzione!$G$22</f>
        <v>0</v>
      </c>
      <c r="U108" s="764"/>
      <c r="V108" s="764"/>
      <c r="W108" s="756"/>
      <c r="X108" s="756"/>
      <c r="Y108" s="756"/>
      <c r="Z108" s="759"/>
      <c r="AA108" s="315">
        <f>Produzione!$G$36</f>
        <v>0</v>
      </c>
      <c r="AB108" s="764"/>
      <c r="AC108" s="764"/>
      <c r="AD108" s="756"/>
      <c r="AE108" s="756"/>
      <c r="AF108" s="756"/>
      <c r="AG108" s="759"/>
      <c r="AH108" s="315">
        <f>Produzione!$G$50</f>
        <v>0</v>
      </c>
      <c r="AI108" s="764"/>
      <c r="AJ108" s="764"/>
      <c r="AK108" s="756"/>
      <c r="AL108" s="756"/>
      <c r="AM108" s="756"/>
    </row>
    <row r="109" spans="1:39">
      <c r="A109" s="757">
        <v>100</v>
      </c>
      <c r="B109" s="784" t="s">
        <v>1193</v>
      </c>
      <c r="C109" s="831" t="s">
        <v>584</v>
      </c>
      <c r="E109" s="786"/>
      <c r="F109" s="809">
        <f>INDEX(Standardwerte!$W$6:$W$43,$C107,1)</f>
        <v>70</v>
      </c>
      <c r="G109" s="787"/>
      <c r="H109" s="788"/>
      <c r="J109" s="782"/>
      <c r="K109" s="783"/>
      <c r="M109" s="315">
        <f>Produzione!$G$10</f>
        <v>0</v>
      </c>
      <c r="N109" s="764"/>
      <c r="O109" s="861">
        <f>F109</f>
        <v>70</v>
      </c>
      <c r="P109" s="756"/>
      <c r="Q109" s="756"/>
      <c r="R109" s="756"/>
      <c r="S109" s="759"/>
      <c r="T109" s="315">
        <f>Produzione!$G$24</f>
        <v>0</v>
      </c>
      <c r="U109" s="764"/>
      <c r="V109" s="28">
        <f>F109</f>
        <v>70</v>
      </c>
      <c r="W109" s="756"/>
      <c r="X109" s="756"/>
      <c r="Y109" s="756"/>
      <c r="Z109" s="759"/>
      <c r="AA109" s="315">
        <f>Produzione!$G$38</f>
        <v>0</v>
      </c>
      <c r="AB109" s="764"/>
      <c r="AC109" s="28">
        <f>F109</f>
        <v>70</v>
      </c>
      <c r="AD109" s="756"/>
      <c r="AE109" s="756"/>
      <c r="AF109" s="756"/>
      <c r="AG109" s="759"/>
      <c r="AH109" s="315">
        <f>Produzione!$G$52</f>
        <v>0</v>
      </c>
      <c r="AI109" s="764"/>
      <c r="AJ109" s="28">
        <f>F109</f>
        <v>70</v>
      </c>
      <c r="AK109" s="756"/>
      <c r="AL109" s="756"/>
      <c r="AM109" s="756"/>
    </row>
    <row r="110" spans="1:39">
      <c r="A110" s="757">
        <v>101</v>
      </c>
      <c r="B110" s="1346" t="s">
        <v>1194</v>
      </c>
      <c r="C110" s="831" t="s">
        <v>584</v>
      </c>
      <c r="D110" s="823"/>
      <c r="E110" s="823"/>
      <c r="F110" s="1344"/>
      <c r="G110" s="792"/>
      <c r="H110" s="793"/>
      <c r="J110" s="782"/>
      <c r="K110" s="783"/>
      <c r="L110" s="770">
        <v>1</v>
      </c>
      <c r="M110" s="756"/>
      <c r="N110" s="766"/>
      <c r="O110" s="854"/>
      <c r="P110" s="756"/>
      <c r="Q110" s="756"/>
      <c r="R110" s="756"/>
      <c r="S110" s="759"/>
      <c r="T110" s="756"/>
      <c r="U110" s="766"/>
      <c r="V110" s="767"/>
      <c r="W110" s="756"/>
      <c r="X110" s="756"/>
      <c r="Y110" s="756"/>
      <c r="Z110" s="759"/>
      <c r="AA110" s="756"/>
      <c r="AB110" s="766"/>
      <c r="AC110" s="767"/>
      <c r="AD110" s="756"/>
      <c r="AE110" s="756"/>
      <c r="AF110" s="756"/>
      <c r="AG110" s="759"/>
      <c r="AH110" s="756"/>
      <c r="AI110" s="766"/>
      <c r="AJ110" s="767"/>
      <c r="AK110" s="756"/>
      <c r="AL110" s="756"/>
      <c r="AM110" s="756"/>
    </row>
    <row r="111" spans="1:39">
      <c r="A111" s="757">
        <v>102</v>
      </c>
      <c r="B111" s="789" t="s">
        <v>527</v>
      </c>
      <c r="C111" s="790" t="s">
        <v>584</v>
      </c>
      <c r="D111" s="786"/>
      <c r="E111" s="786"/>
      <c r="F111" s="791"/>
      <c r="G111" s="303"/>
      <c r="H111" s="316"/>
      <c r="J111" s="782"/>
      <c r="K111" s="783"/>
      <c r="M111" s="756"/>
      <c r="N111" s="321"/>
      <c r="O111" s="855" t="str">
        <f>IF(M109&lt;&gt;0,M109,IF(Produzione!$E$10&lt;&gt;"",Produzione!$E$10,Produzione!$G$9))</f>
        <v/>
      </c>
      <c r="P111" s="756"/>
      <c r="Q111" s="756"/>
      <c r="R111" s="756"/>
      <c r="S111" s="759"/>
      <c r="T111" s="756"/>
      <c r="U111" s="321"/>
      <c r="V111" s="322" t="str">
        <f>IF(T109&lt;&gt;0,T109,IF(Produzione!$E$24&lt;&gt;"",Produzione!$E$24,Produzione!$G$23))</f>
        <v/>
      </c>
      <c r="W111" s="756"/>
      <c r="X111" s="756"/>
      <c r="Y111" s="756"/>
      <c r="Z111" s="759"/>
      <c r="AA111" s="756"/>
      <c r="AB111" s="321"/>
      <c r="AC111" s="322" t="str">
        <f>IF(AA109&lt;&gt;0,AA109,IF(Produzione!$E$38&lt;&gt;"",Produzione!$E$38,Produzione!$G$37))</f>
        <v/>
      </c>
      <c r="AD111" s="756"/>
      <c r="AE111" s="756"/>
      <c r="AF111" s="756"/>
      <c r="AG111" s="759"/>
      <c r="AH111" s="756"/>
      <c r="AI111" s="321"/>
      <c r="AJ111" s="322" t="str">
        <f>IF(AH109&lt;&gt;0,AH109,IF(Produzione!$E$52&lt;&gt;"",Produzione!$E$52,Produzione!$G$51))</f>
        <v/>
      </c>
      <c r="AK111" s="756"/>
      <c r="AL111" s="756"/>
      <c r="AM111" s="756"/>
    </row>
    <row r="112" spans="1:39">
      <c r="A112" s="757">
        <v>103</v>
      </c>
      <c r="B112" s="789"/>
      <c r="C112" s="790"/>
      <c r="D112" s="787"/>
      <c r="E112" s="795"/>
      <c r="F112" s="1344"/>
      <c r="G112" s="796"/>
      <c r="H112" s="797"/>
      <c r="J112" s="782"/>
      <c r="K112" s="783"/>
      <c r="M112" s="315">
        <f>Produzione!$G$12</f>
        <v>0</v>
      </c>
      <c r="N112" s="758"/>
      <c r="O112" s="854"/>
      <c r="P112" s="756"/>
      <c r="Q112" s="756"/>
      <c r="R112" s="756"/>
      <c r="S112" s="759"/>
      <c r="T112" s="315">
        <f>Produzione!$G$26</f>
        <v>0</v>
      </c>
      <c r="U112" s="758"/>
      <c r="V112" s="758"/>
      <c r="W112" s="756"/>
      <c r="X112" s="756"/>
      <c r="Y112" s="756"/>
      <c r="Z112" s="759"/>
      <c r="AA112" s="315">
        <f>Produzione!$G$40</f>
        <v>0</v>
      </c>
      <c r="AB112" s="758"/>
      <c r="AC112" s="758"/>
      <c r="AD112" s="756"/>
      <c r="AE112" s="756"/>
      <c r="AF112" s="756"/>
      <c r="AG112" s="759"/>
      <c r="AH112" s="315">
        <f>Produzione!$G$54</f>
        <v>0</v>
      </c>
      <c r="AI112" s="758"/>
      <c r="AJ112" s="758"/>
      <c r="AK112" s="756"/>
      <c r="AL112" s="756"/>
      <c r="AM112" s="756"/>
    </row>
    <row r="113" spans="1:39">
      <c r="A113" s="757">
        <v>104</v>
      </c>
      <c r="B113" s="789"/>
      <c r="C113" s="790"/>
      <c r="D113" s="796"/>
      <c r="E113" s="795"/>
      <c r="F113" s="1344"/>
      <c r="G113" s="787"/>
      <c r="H113" s="798"/>
      <c r="J113" s="782"/>
      <c r="K113" s="783"/>
      <c r="M113" s="315">
        <f>Produzione!$G$13</f>
        <v>0</v>
      </c>
      <c r="N113" s="764"/>
      <c r="O113" s="852"/>
      <c r="P113" s="756"/>
      <c r="Q113" s="756"/>
      <c r="R113" s="756"/>
      <c r="S113" s="759"/>
      <c r="T113" s="315">
        <f>Produzione!$G$27</f>
        <v>0</v>
      </c>
      <c r="U113" s="764"/>
      <c r="V113" s="768"/>
      <c r="W113" s="756"/>
      <c r="X113" s="756"/>
      <c r="Y113" s="756"/>
      <c r="Z113" s="759"/>
      <c r="AA113" s="315">
        <f>Produzione!$G$41</f>
        <v>0</v>
      </c>
      <c r="AB113" s="764"/>
      <c r="AC113" s="768"/>
      <c r="AD113" s="756"/>
      <c r="AE113" s="756"/>
      <c r="AF113" s="756"/>
      <c r="AG113" s="759"/>
      <c r="AH113" s="315">
        <f>Produzione!$G$55</f>
        <v>0</v>
      </c>
      <c r="AI113" s="764"/>
      <c r="AJ113" s="768"/>
      <c r="AK113" s="756"/>
      <c r="AL113" s="756"/>
      <c r="AM113" s="756"/>
    </row>
    <row r="114" spans="1:39">
      <c r="A114" s="757">
        <v>105</v>
      </c>
      <c r="B114" s="799" t="str">
        <f>IF(J108=1,"Temperatura di mandata riscaldamento","")</f>
        <v/>
      </c>
      <c r="C114" s="831" t="str">
        <f>IF(J108=1,"°C","")</f>
        <v/>
      </c>
      <c r="D114" s="786"/>
      <c r="E114" s="786"/>
      <c r="F114" s="1344"/>
      <c r="G114" s="787"/>
      <c r="H114" s="800"/>
      <c r="J114" s="782"/>
      <c r="K114" s="783"/>
      <c r="M114" s="315">
        <f>Produzione!$G$14</f>
        <v>0</v>
      </c>
      <c r="N114" s="764"/>
      <c r="O114" s="852"/>
      <c r="P114" s="756"/>
      <c r="Q114" s="756"/>
      <c r="R114" s="756"/>
      <c r="S114" s="759"/>
      <c r="T114" s="315">
        <f>Produzione!$G$28</f>
        <v>0</v>
      </c>
      <c r="U114" s="764"/>
      <c r="V114" s="764"/>
      <c r="W114" s="756"/>
      <c r="X114" s="756"/>
      <c r="Y114" s="756"/>
      <c r="Z114" s="759"/>
      <c r="AA114" s="315">
        <f>Produzione!$G$42</f>
        <v>0</v>
      </c>
      <c r="AB114" s="764"/>
      <c r="AC114" s="764"/>
      <c r="AD114" s="756"/>
      <c r="AE114" s="756"/>
      <c r="AF114" s="756"/>
      <c r="AG114" s="759"/>
      <c r="AH114" s="315">
        <f>Produzione!$G$56</f>
        <v>0</v>
      </c>
      <c r="AI114" s="764"/>
      <c r="AJ114" s="764"/>
      <c r="AK114" s="756"/>
      <c r="AL114" s="756"/>
      <c r="AM114" s="756"/>
    </row>
    <row r="115" spans="1:39">
      <c r="A115" s="757">
        <v>106</v>
      </c>
      <c r="B115" s="799" t="str">
        <f>IF(AND(Warmwasser,K108=1),"Temperatura acqua calda sanitaria","")</f>
        <v/>
      </c>
      <c r="C115" s="831" t="str">
        <f>IF(AND(Warmwasser,K108=1),"°C","")</f>
        <v/>
      </c>
      <c r="D115" s="786"/>
      <c r="E115" s="786"/>
      <c r="F115" s="1344"/>
      <c r="G115" s="796"/>
      <c r="H115" s="788"/>
      <c r="J115" s="782"/>
      <c r="K115" s="783"/>
      <c r="L115" s="770">
        <v>2</v>
      </c>
      <c r="M115" s="315">
        <f>Produzione!$G$15</f>
        <v>0</v>
      </c>
      <c r="N115" s="758"/>
      <c r="O115" s="853"/>
      <c r="P115" s="756"/>
      <c r="Q115" s="756"/>
      <c r="R115" s="756" t="str">
        <f>IF(AND($K108=0,R118&lt;&gt;0),"scelto riscald.",IF(AND($J108=0,Q104&gt;0),"scelta acqua calda",""))</f>
        <v/>
      </c>
      <c r="S115" s="759"/>
      <c r="T115" s="315">
        <f>Produzione!$G$29</f>
        <v>0</v>
      </c>
      <c r="U115" s="758"/>
      <c r="V115" s="765"/>
      <c r="W115" s="756"/>
      <c r="X115" s="756"/>
      <c r="Y115" s="756" t="str">
        <f>IF(AND($K108=0,Y118&lt;&gt;0),"Riscald. ausgewählt",IF(AND($J108=0,X104&gt;0),"Acqua calda ausgewählt",""))</f>
        <v/>
      </c>
      <c r="Z115" s="759"/>
      <c r="AA115" s="315">
        <f>Produzione!$G$43</f>
        <v>0</v>
      </c>
      <c r="AB115" s="758"/>
      <c r="AC115" s="765"/>
      <c r="AD115" s="756"/>
      <c r="AE115" s="756"/>
      <c r="AF115" s="756" t="str">
        <f>IF(AND($K108=0,AF118&lt;&gt;0),"Riscald. ausgewählt",IF(AND($J108=0,AE104&gt;0),"Acqua calda ausgewählt",""))</f>
        <v/>
      </c>
      <c r="AG115" s="759"/>
      <c r="AH115" s="315">
        <f>Produzione!$G$57</f>
        <v>0</v>
      </c>
      <c r="AI115" s="758"/>
      <c r="AJ115" s="765"/>
      <c r="AK115" s="756"/>
      <c r="AL115" s="756"/>
      <c r="AM115" s="756" t="str">
        <f>IF(AND($K108=0,AM118&lt;&gt;0),"Riscald. ausgewählt",IF(AND($J108=0,AL104&gt;0),"Acqua calda ausgewählt",""))</f>
        <v/>
      </c>
    </row>
    <row r="116" spans="1:39">
      <c r="A116" s="757">
        <v>107</v>
      </c>
      <c r="B116" s="799"/>
      <c r="C116" s="831"/>
      <c r="D116" s="795"/>
      <c r="E116" s="795"/>
      <c r="F116" s="791"/>
      <c r="G116" s="303"/>
      <c r="H116" s="317"/>
      <c r="J116" s="801"/>
      <c r="K116" s="802"/>
      <c r="M116" s="756"/>
      <c r="N116" s="321"/>
      <c r="O116" s="856"/>
      <c r="P116" s="756"/>
      <c r="Q116" s="756">
        <f>IF(Q117&lt;&gt;0,Q117,Q118)*J108</f>
        <v>0</v>
      </c>
      <c r="R116" s="756">
        <f>IF(R117&lt;&gt;0,R117,R118)*K108</f>
        <v>0</v>
      </c>
      <c r="S116" s="759"/>
      <c r="T116" s="756"/>
      <c r="U116" s="321"/>
      <c r="V116" s="323"/>
      <c r="W116" s="756"/>
      <c r="X116" s="756">
        <f>IF(X117&lt;&gt;0,X117,X118)*J108</f>
        <v>0</v>
      </c>
      <c r="Y116" s="756">
        <f>IF(Y117&lt;&gt;0,Y117,Y118)*K108</f>
        <v>0</v>
      </c>
      <c r="Z116" s="759"/>
      <c r="AA116" s="756"/>
      <c r="AB116" s="321"/>
      <c r="AC116" s="323"/>
      <c r="AD116" s="756"/>
      <c r="AE116" s="756">
        <f>IF(AE117&lt;&gt;0,AE117,AE118)*J108</f>
        <v>0</v>
      </c>
      <c r="AF116" s="756">
        <f>IF(AF117&lt;&gt;0,AF117,AF118)*K108</f>
        <v>0</v>
      </c>
      <c r="AG116" s="759"/>
      <c r="AH116" s="756"/>
      <c r="AI116" s="321"/>
      <c r="AJ116" s="323"/>
      <c r="AK116" s="756"/>
      <c r="AL116" s="756">
        <f>IF(AL117&lt;&gt;0,AL117,AL118)*J108</f>
        <v>0</v>
      </c>
      <c r="AM116" s="756">
        <f>IF(AM117&lt;&gt;0,AM117,AM118)*K108</f>
        <v>0</v>
      </c>
    </row>
    <row r="117" spans="1:39">
      <c r="A117" s="757">
        <v>108</v>
      </c>
      <c r="B117" s="789" t="s">
        <v>652</v>
      </c>
      <c r="C117" s="813" t="s">
        <v>410</v>
      </c>
      <c r="D117" s="795"/>
      <c r="E117" s="786"/>
      <c r="F117" s="792"/>
      <c r="G117" s="303"/>
      <c r="H117" s="318"/>
      <c r="J117" s="803"/>
      <c r="K117" s="804"/>
      <c r="M117" s="758"/>
      <c r="N117" s="321"/>
      <c r="O117" s="844">
        <f>(Q116/100*qh/3.6+R116/100*qw)</f>
        <v>0</v>
      </c>
      <c r="P117" s="756"/>
      <c r="Q117" s="756"/>
      <c r="R117" s="756"/>
      <c r="S117" s="759"/>
      <c r="T117" s="756"/>
      <c r="U117" s="321"/>
      <c r="V117" s="329">
        <f>(X116/100*qh/3.6+Y116/100*qw)</f>
        <v>0</v>
      </c>
      <c r="W117" s="756"/>
      <c r="X117" s="756"/>
      <c r="Y117" s="756"/>
      <c r="Z117" s="759"/>
      <c r="AA117" s="758"/>
      <c r="AB117" s="321"/>
      <c r="AC117" s="329">
        <f>(AE116/100*qh/3.6+AF116/100*qw)</f>
        <v>0</v>
      </c>
      <c r="AD117" s="756"/>
      <c r="AE117" s="756"/>
      <c r="AF117" s="756"/>
      <c r="AG117" s="759"/>
      <c r="AH117" s="758"/>
      <c r="AI117" s="321"/>
      <c r="AJ117" s="329">
        <f>(AL116/100*qh/3.6+AM116/100*qw)</f>
        <v>0</v>
      </c>
      <c r="AK117" s="756"/>
      <c r="AL117" s="756"/>
      <c r="AM117" s="756"/>
    </row>
    <row r="118" spans="1:39">
      <c r="A118" s="757">
        <v>109</v>
      </c>
      <c r="B118" s="812" t="s">
        <v>41</v>
      </c>
      <c r="C118" s="813" t="s">
        <v>410</v>
      </c>
      <c r="D118" s="806"/>
      <c r="E118" s="806"/>
      <c r="F118" s="774"/>
      <c r="G118" s="319"/>
      <c r="H118" s="320"/>
      <c r="J118" s="807"/>
      <c r="K118" s="808"/>
      <c r="M118" s="756"/>
      <c r="N118" s="325"/>
      <c r="O118" s="330" t="str">
        <f>IF(OR(AND(Q116=0,R116=0),O111=0),"",(Q116/100*qh/3.6+R116/100*qw)/(O111/100))</f>
        <v/>
      </c>
      <c r="P118" s="756"/>
      <c r="Q118" s="315">
        <f>Produzione!$K$18</f>
        <v>0</v>
      </c>
      <c r="R118" s="315">
        <f>Produzione!$L$18</f>
        <v>0</v>
      </c>
      <c r="S118" s="759"/>
      <c r="T118" s="756"/>
      <c r="U118" s="325"/>
      <c r="V118" s="330" t="str">
        <f>IF(OR(AND(X116=0,Y116=0),V111=0),"",(X116/100*qh/3.6+Y116/100*qw)/(V111/100))</f>
        <v/>
      </c>
      <c r="W118" s="756"/>
      <c r="X118" s="315">
        <f>Produzione!$K$32</f>
        <v>0</v>
      </c>
      <c r="Y118" s="315">
        <f>Produzione!$L$32</f>
        <v>0</v>
      </c>
      <c r="Z118" s="759"/>
      <c r="AA118" s="756"/>
      <c r="AB118" s="325"/>
      <c r="AC118" s="330" t="str">
        <f>IF(OR(AND(AE116=0,AF116=0),AC111=0),"",(AE116/100*qh/3.6+AF116/100*qw)/(AC111/100))</f>
        <v/>
      </c>
      <c r="AD118" s="756"/>
      <c r="AE118" s="315">
        <f>Produzione!$K$46</f>
        <v>0</v>
      </c>
      <c r="AF118" s="315">
        <f>Produzione!$L$46</f>
        <v>0</v>
      </c>
      <c r="AG118" s="759"/>
      <c r="AH118" s="756"/>
      <c r="AI118" s="325"/>
      <c r="AJ118" s="330" t="str">
        <f>IF(OR(AND(AL116=0,AM116=0),AJ111=0),"",(AL116/100*qh/3.6+AM116/100*qw)/(AJ111/100))</f>
        <v/>
      </c>
      <c r="AK118" s="756"/>
      <c r="AL118" s="315">
        <f>Produzione!$K$60</f>
        <v>0</v>
      </c>
      <c r="AM118" s="315">
        <f>Produzione!$L$60</f>
        <v>0</v>
      </c>
    </row>
    <row r="119" spans="1:39">
      <c r="A119" s="757">
        <v>110</v>
      </c>
      <c r="B119" s="759"/>
      <c r="C119" s="833"/>
      <c r="D119" s="759"/>
      <c r="E119" s="759"/>
      <c r="F119" s="817"/>
      <c r="G119" s="759"/>
      <c r="H119" s="759"/>
      <c r="I119" s="759"/>
      <c r="J119" s="759"/>
      <c r="Q119" s="761" t="str">
        <f>IF(Q117&lt;&gt;0,IF(Q118&lt;&gt;0,"Doppelte Eingabe",""),IF(R117&lt;&gt;0,IF(R118&lt;&gt;0,"Doppelte Eingabe",""),""))</f>
        <v/>
      </c>
      <c r="S119" s="759"/>
      <c r="X119" s="761" t="str">
        <f>IF(X117&lt;&gt;0,IF(X118&lt;&gt;0,"Doppelte Eingabe",""),IF(Y117&lt;&gt;0,IF(Y118&lt;&gt;0,"Doppelte Eingabe",""),""))</f>
        <v/>
      </c>
      <c r="Z119" s="759"/>
      <c r="AE119" s="761" t="str">
        <f>IF(AE117&lt;&gt;0,IF(AE118&lt;&gt;0,"Doppelte Eingabe",""),IF(AF117&lt;&gt;0,IF(AF118&lt;&gt;0,"Doppelte Eingabe",""),""))</f>
        <v/>
      </c>
      <c r="AG119" s="759"/>
      <c r="AL119" s="761" t="str">
        <f>IF(AL117&lt;&gt;0,IF(AL118&lt;&gt;0,"Doppelte Eingabe",""),IF(AM117&lt;&gt;0,IF(AM118&lt;&gt;0,"Doppelte Eingabe",""),""))</f>
        <v/>
      </c>
    </row>
    <row r="120" spans="1:39">
      <c r="A120" s="757">
        <v>111</v>
      </c>
      <c r="B120" s="755"/>
      <c r="C120" s="834"/>
      <c r="D120" s="762"/>
      <c r="E120" s="762"/>
      <c r="G120" s="762"/>
      <c r="H120" s="818"/>
      <c r="J120" s="762" t="s">
        <v>1620</v>
      </c>
      <c r="M120" s="759"/>
      <c r="N120" s="762"/>
      <c r="O120" s="860"/>
      <c r="P120" s="759"/>
      <c r="Q120" s="762" t="s">
        <v>1620</v>
      </c>
      <c r="R120" s="759"/>
      <c r="S120" s="759"/>
      <c r="T120" s="759"/>
      <c r="U120" s="762"/>
      <c r="V120" s="769"/>
      <c r="W120" s="759"/>
      <c r="X120" s="762" t="s">
        <v>1620</v>
      </c>
      <c r="Y120" s="759"/>
      <c r="Z120" s="759"/>
      <c r="AA120" s="759"/>
      <c r="AB120" s="762"/>
      <c r="AC120" s="769"/>
      <c r="AD120" s="759"/>
      <c r="AE120" s="762" t="s">
        <v>1620</v>
      </c>
      <c r="AF120" s="759"/>
      <c r="AG120" s="759"/>
      <c r="AH120" s="759"/>
      <c r="AI120" s="762"/>
      <c r="AJ120" s="769"/>
      <c r="AK120" s="759"/>
      <c r="AL120" s="762" t="s">
        <v>1620</v>
      </c>
      <c r="AM120" s="759"/>
    </row>
    <row r="121" spans="1:39">
      <c r="A121" s="757">
        <v>112</v>
      </c>
      <c r="B121" s="772" t="str">
        <f>INDEX(Standardwerte!$V$6:$V$16,Rechnung!$C121,1)</f>
        <v>Riscaldamento a legna</v>
      </c>
      <c r="C121" s="835">
        <v>9</v>
      </c>
      <c r="D121" s="819"/>
      <c r="E121" s="820"/>
      <c r="F121" s="821"/>
      <c r="G121" s="819"/>
      <c r="H121" s="822"/>
      <c r="J121" s="760" t="s">
        <v>525</v>
      </c>
      <c r="K121" s="756" t="s">
        <v>1622</v>
      </c>
      <c r="M121" s="756"/>
      <c r="N121" s="760"/>
      <c r="O121" s="852"/>
      <c r="P121" s="756"/>
      <c r="Q121" s="760" t="s">
        <v>525</v>
      </c>
      <c r="R121" s="756" t="s">
        <v>1622</v>
      </c>
      <c r="S121" s="759"/>
      <c r="T121" s="756"/>
      <c r="U121" s="760"/>
      <c r="V121" s="764"/>
      <c r="W121" s="756"/>
      <c r="X121" s="760" t="s">
        <v>525</v>
      </c>
      <c r="Y121" s="756" t="s">
        <v>1622</v>
      </c>
      <c r="Z121" s="759"/>
      <c r="AA121" s="756"/>
      <c r="AB121" s="760"/>
      <c r="AC121" s="764"/>
      <c r="AD121" s="756"/>
      <c r="AE121" s="760" t="s">
        <v>525</v>
      </c>
      <c r="AF121" s="756" t="s">
        <v>1622</v>
      </c>
      <c r="AG121" s="759"/>
      <c r="AH121" s="756"/>
      <c r="AI121" s="760"/>
      <c r="AJ121" s="764"/>
      <c r="AK121" s="756"/>
      <c r="AL121" s="760" t="s">
        <v>525</v>
      </c>
      <c r="AM121" s="756" t="s">
        <v>1622</v>
      </c>
    </row>
    <row r="122" spans="1:39">
      <c r="A122" s="757">
        <v>113</v>
      </c>
      <c r="B122" s="778" t="s">
        <v>526</v>
      </c>
      <c r="C122" s="830"/>
      <c r="D122" s="779"/>
      <c r="E122" s="312"/>
      <c r="F122" s="313">
        <f>INDEX($M$10:$AM$162,$A$10+(_typ1-1)*14,1)</f>
        <v>0</v>
      </c>
      <c r="G122" s="780"/>
      <c r="H122" s="781"/>
      <c r="J122" s="782">
        <f>INDEX(Standardwerte!$Y$6:$Z$43,$C121,2)</f>
        <v>1</v>
      </c>
      <c r="K122" s="783">
        <f>INDEX(Standardwerte!$Y$6:$Z$43,$C121,1)</f>
        <v>1</v>
      </c>
      <c r="M122" s="315">
        <f>Produzione!$G$8</f>
        <v>0</v>
      </c>
      <c r="N122" s="764"/>
      <c r="O122" s="852"/>
      <c r="P122" s="756"/>
      <c r="Q122" s="756"/>
      <c r="R122" s="756"/>
      <c r="S122" s="759"/>
      <c r="T122" s="315">
        <f>Produzione!$G$22</f>
        <v>0</v>
      </c>
      <c r="U122" s="764"/>
      <c r="V122" s="764"/>
      <c r="W122" s="756"/>
      <c r="X122" s="756"/>
      <c r="Y122" s="756"/>
      <c r="Z122" s="759"/>
      <c r="AA122" s="315">
        <f>Produzione!$G$36</f>
        <v>0</v>
      </c>
      <c r="AB122" s="764"/>
      <c r="AC122" s="764"/>
      <c r="AD122" s="756"/>
      <c r="AE122" s="756"/>
      <c r="AF122" s="756"/>
      <c r="AG122" s="759"/>
      <c r="AH122" s="315">
        <f>Produzione!$G$50</f>
        <v>0</v>
      </c>
      <c r="AI122" s="764"/>
      <c r="AJ122" s="764"/>
      <c r="AK122" s="756"/>
      <c r="AL122" s="756"/>
      <c r="AM122" s="756"/>
    </row>
    <row r="123" spans="1:39">
      <c r="A123" s="757">
        <v>114</v>
      </c>
      <c r="B123" s="784" t="s">
        <v>1193</v>
      </c>
      <c r="C123" s="831" t="s">
        <v>584</v>
      </c>
      <c r="E123" s="786"/>
      <c r="F123" s="809">
        <f>INDEX(Standardwerte!$W$6:$W$43,$C121,1)</f>
        <v>75</v>
      </c>
      <c r="G123" s="787"/>
      <c r="H123" s="788"/>
      <c r="J123" s="782"/>
      <c r="K123" s="783"/>
      <c r="M123" s="315">
        <f>Produzione!$G$10</f>
        <v>0</v>
      </c>
      <c r="N123" s="764"/>
      <c r="O123" s="861">
        <f>F123</f>
        <v>75</v>
      </c>
      <c r="P123" s="756"/>
      <c r="Q123" s="756"/>
      <c r="R123" s="756"/>
      <c r="S123" s="759"/>
      <c r="T123" s="315">
        <f>Produzione!$G$24</f>
        <v>0</v>
      </c>
      <c r="U123" s="764"/>
      <c r="V123" s="28">
        <f>F123</f>
        <v>75</v>
      </c>
      <c r="W123" s="756"/>
      <c r="X123" s="756"/>
      <c r="Y123" s="756"/>
      <c r="Z123" s="759"/>
      <c r="AA123" s="315">
        <f>Produzione!$G$38</f>
        <v>0</v>
      </c>
      <c r="AB123" s="764"/>
      <c r="AC123" s="28">
        <f>F123</f>
        <v>75</v>
      </c>
      <c r="AD123" s="756"/>
      <c r="AE123" s="756"/>
      <c r="AF123" s="756"/>
      <c r="AG123" s="759"/>
      <c r="AH123" s="315">
        <f>Produzione!$G$52</f>
        <v>0</v>
      </c>
      <c r="AI123" s="764"/>
      <c r="AJ123" s="28">
        <f>F123</f>
        <v>75</v>
      </c>
      <c r="AK123" s="756"/>
      <c r="AL123" s="756"/>
      <c r="AM123" s="756"/>
    </row>
    <row r="124" spans="1:39">
      <c r="A124" s="757">
        <v>115</v>
      </c>
      <c r="B124" s="1346" t="s">
        <v>1194</v>
      </c>
      <c r="C124" s="831" t="s">
        <v>584</v>
      </c>
      <c r="D124" s="786"/>
      <c r="E124" s="786"/>
      <c r="F124" s="1344"/>
      <c r="G124" s="792"/>
      <c r="H124" s="793"/>
      <c r="J124" s="782"/>
      <c r="K124" s="783"/>
      <c r="L124" s="770">
        <v>1</v>
      </c>
      <c r="M124" s="756"/>
      <c r="N124" s="766"/>
      <c r="O124" s="854"/>
      <c r="P124" s="756"/>
      <c r="Q124" s="756"/>
      <c r="R124" s="756"/>
      <c r="S124" s="759"/>
      <c r="T124" s="756"/>
      <c r="U124" s="766"/>
      <c r="V124" s="767"/>
      <c r="W124" s="756"/>
      <c r="X124" s="756"/>
      <c r="Y124" s="756"/>
      <c r="Z124" s="759"/>
      <c r="AA124" s="756"/>
      <c r="AB124" s="766"/>
      <c r="AC124" s="767"/>
      <c r="AD124" s="756"/>
      <c r="AE124" s="756"/>
      <c r="AF124" s="756"/>
      <c r="AG124" s="759"/>
      <c r="AH124" s="756"/>
      <c r="AI124" s="766"/>
      <c r="AJ124" s="767"/>
      <c r="AK124" s="756"/>
      <c r="AL124" s="756"/>
      <c r="AM124" s="756"/>
    </row>
    <row r="125" spans="1:39">
      <c r="A125" s="757">
        <v>116</v>
      </c>
      <c r="B125" s="789" t="s">
        <v>527</v>
      </c>
      <c r="C125" s="790" t="s">
        <v>584</v>
      </c>
      <c r="D125" s="786"/>
      <c r="E125" s="786"/>
      <c r="F125" s="791"/>
      <c r="G125" s="303"/>
      <c r="H125" s="316"/>
      <c r="J125" s="782"/>
      <c r="K125" s="783"/>
      <c r="M125" s="756"/>
      <c r="N125" s="321"/>
      <c r="O125" s="855" t="str">
        <f>IF(M123&lt;&gt;0,M123,IF(Produzione!$E$10&lt;&gt;"",Produzione!$E$10,Produzione!$G$9))</f>
        <v/>
      </c>
      <c r="P125" s="756"/>
      <c r="Q125" s="756"/>
      <c r="R125" s="756"/>
      <c r="S125" s="759"/>
      <c r="T125" s="756"/>
      <c r="U125" s="321"/>
      <c r="V125" s="322" t="str">
        <f>IF(T123&lt;&gt;0,T123,IF(Produzione!$E$24&lt;&gt;"",Produzione!$E$24,Produzione!$G$23))</f>
        <v/>
      </c>
      <c r="W125" s="756"/>
      <c r="X125" s="756"/>
      <c r="Y125" s="756"/>
      <c r="Z125" s="759"/>
      <c r="AA125" s="756"/>
      <c r="AB125" s="321"/>
      <c r="AC125" s="322" t="str">
        <f>IF(AA123&lt;&gt;0,AA123,IF(Produzione!$E$38&lt;&gt;"",Produzione!$E$38,Produzione!$G$37))</f>
        <v/>
      </c>
      <c r="AD125" s="756"/>
      <c r="AE125" s="756"/>
      <c r="AF125" s="756"/>
      <c r="AG125" s="759"/>
      <c r="AH125" s="756"/>
      <c r="AI125" s="321"/>
      <c r="AJ125" s="322" t="str">
        <f>IF(AH123&lt;&gt;0,AH123,IF(Produzione!$E$52&lt;&gt;"",Produzione!$E$52,Produzione!$G$51))</f>
        <v/>
      </c>
      <c r="AK125" s="756"/>
      <c r="AL125" s="756"/>
      <c r="AM125" s="756"/>
    </row>
    <row r="126" spans="1:39">
      <c r="A126" s="757">
        <v>117</v>
      </c>
      <c r="B126" s="789" t="s">
        <v>529</v>
      </c>
      <c r="C126" s="790" t="s">
        <v>1340</v>
      </c>
      <c r="D126" s="787"/>
      <c r="E126" s="795"/>
      <c r="F126" s="1344"/>
      <c r="G126" s="796"/>
      <c r="H126" s="797"/>
      <c r="J126" s="782"/>
      <c r="K126" s="783"/>
      <c r="L126" s="770">
        <v>1</v>
      </c>
      <c r="M126" s="315">
        <f>Produzione!$G$12</f>
        <v>0</v>
      </c>
      <c r="N126" s="758"/>
      <c r="O126" s="854"/>
      <c r="P126" s="756"/>
      <c r="Q126" s="756"/>
      <c r="R126" s="756"/>
      <c r="S126" s="759"/>
      <c r="T126" s="315">
        <f>Produzione!$G$26</f>
        <v>0</v>
      </c>
      <c r="U126" s="758"/>
      <c r="V126" s="758"/>
      <c r="W126" s="756"/>
      <c r="X126" s="756"/>
      <c r="Y126" s="756"/>
      <c r="Z126" s="759"/>
      <c r="AA126" s="315">
        <f>Produzione!$G$40</f>
        <v>0</v>
      </c>
      <c r="AB126" s="758"/>
      <c r="AC126" s="758"/>
      <c r="AD126" s="756"/>
      <c r="AE126" s="756"/>
      <c r="AF126" s="756"/>
      <c r="AG126" s="759"/>
      <c r="AH126" s="315">
        <f>Produzione!$G$54</f>
        <v>0</v>
      </c>
      <c r="AI126" s="758"/>
      <c r="AJ126" s="758"/>
      <c r="AK126" s="756"/>
      <c r="AL126" s="756"/>
      <c r="AM126" s="756"/>
    </row>
    <row r="127" spans="1:39">
      <c r="A127" s="757">
        <v>118</v>
      </c>
      <c r="B127" s="789" t="s">
        <v>1195</v>
      </c>
      <c r="C127" s="790" t="s">
        <v>583</v>
      </c>
      <c r="D127" s="796"/>
      <c r="E127" s="795"/>
      <c r="F127" s="1344"/>
      <c r="G127" s="787"/>
      <c r="H127" s="798"/>
      <c r="J127" s="782"/>
      <c r="K127" s="783"/>
      <c r="L127" s="770">
        <v>1</v>
      </c>
      <c r="M127" s="315">
        <f>Produzione!$G$13</f>
        <v>0</v>
      </c>
      <c r="N127" s="764"/>
      <c r="O127" s="852"/>
      <c r="P127" s="756"/>
      <c r="Q127" s="756"/>
      <c r="R127" s="756"/>
      <c r="S127" s="759"/>
      <c r="T127" s="315">
        <f>Produzione!$G$27</f>
        <v>0</v>
      </c>
      <c r="U127" s="764"/>
      <c r="V127" s="768"/>
      <c r="W127" s="756"/>
      <c r="X127" s="756"/>
      <c r="Y127" s="756"/>
      <c r="Z127" s="759"/>
      <c r="AA127" s="315">
        <f>Produzione!$G$41</f>
        <v>0</v>
      </c>
      <c r="AB127" s="764"/>
      <c r="AC127" s="768"/>
      <c r="AD127" s="756"/>
      <c r="AE127" s="756"/>
      <c r="AF127" s="756"/>
      <c r="AG127" s="759"/>
      <c r="AH127" s="315">
        <f>Produzione!$G$55</f>
        <v>0</v>
      </c>
      <c r="AI127" s="764"/>
      <c r="AJ127" s="768"/>
      <c r="AK127" s="756"/>
      <c r="AL127" s="756"/>
      <c r="AM127" s="756"/>
    </row>
    <row r="128" spans="1:39">
      <c r="A128" s="757">
        <v>119</v>
      </c>
      <c r="B128" s="799" t="str">
        <f>IF(J122=1,"Temperatura di mandata riscaldamento","")</f>
        <v>Temperatura di mandata riscaldamento</v>
      </c>
      <c r="C128" s="831" t="str">
        <f>IF(J122=1,"°C","")</f>
        <v>°C</v>
      </c>
      <c r="D128" s="786"/>
      <c r="E128" s="786"/>
      <c r="F128" s="1344"/>
      <c r="G128" s="787"/>
      <c r="H128" s="800"/>
      <c r="J128" s="782"/>
      <c r="K128" s="783"/>
      <c r="L128" s="770">
        <v>2</v>
      </c>
      <c r="M128" s="315">
        <f>Produzione!$G$14</f>
        <v>0</v>
      </c>
      <c r="N128" s="764"/>
      <c r="O128" s="852"/>
      <c r="P128" s="756"/>
      <c r="Q128" s="756"/>
      <c r="R128" s="756"/>
      <c r="S128" s="759"/>
      <c r="T128" s="315">
        <f>Produzione!$G$28</f>
        <v>0</v>
      </c>
      <c r="U128" s="764"/>
      <c r="V128" s="764"/>
      <c r="W128" s="756"/>
      <c r="X128" s="756"/>
      <c r="Y128" s="756"/>
      <c r="Z128" s="759"/>
      <c r="AA128" s="315">
        <f>Produzione!$G$42</f>
        <v>0</v>
      </c>
      <c r="AB128" s="764"/>
      <c r="AC128" s="764"/>
      <c r="AD128" s="756"/>
      <c r="AE128" s="756"/>
      <c r="AF128" s="756"/>
      <c r="AG128" s="759"/>
      <c r="AH128" s="315">
        <f>Produzione!$G$56</f>
        <v>0</v>
      </c>
      <c r="AI128" s="764"/>
      <c r="AJ128" s="764"/>
      <c r="AK128" s="756"/>
      <c r="AL128" s="756"/>
      <c r="AM128" s="756"/>
    </row>
    <row r="129" spans="1:39">
      <c r="A129" s="757">
        <v>120</v>
      </c>
      <c r="B129" s="799" t="str">
        <f>IF(AND(Warmwasser,K122=1),"Temperatura acqua calda sanitaria","")</f>
        <v/>
      </c>
      <c r="C129" s="831" t="str">
        <f>IF(AND(Warmwasser,K122=1),"°C","")</f>
        <v/>
      </c>
      <c r="D129" s="786"/>
      <c r="E129" s="786"/>
      <c r="F129" s="1344"/>
      <c r="G129" s="796"/>
      <c r="H129" s="788"/>
      <c r="J129" s="782"/>
      <c r="K129" s="783"/>
      <c r="L129" s="770">
        <v>2</v>
      </c>
      <c r="M129" s="315">
        <f>Produzione!$G$15</f>
        <v>0</v>
      </c>
      <c r="N129" s="758"/>
      <c r="O129" s="853"/>
      <c r="P129" s="756"/>
      <c r="Q129" s="756"/>
      <c r="R129" s="756"/>
      <c r="S129" s="759"/>
      <c r="T129" s="315">
        <f>Produzione!$G$29</f>
        <v>0</v>
      </c>
      <c r="U129" s="758"/>
      <c r="V129" s="765"/>
      <c r="W129" s="756"/>
      <c r="X129" s="756"/>
      <c r="Y129" s="756"/>
      <c r="Z129" s="759"/>
      <c r="AA129" s="315">
        <f>Produzione!$G$43</f>
        <v>0</v>
      </c>
      <c r="AB129" s="758"/>
      <c r="AC129" s="765"/>
      <c r="AD129" s="756"/>
      <c r="AE129" s="756"/>
      <c r="AF129" s="756"/>
      <c r="AG129" s="759"/>
      <c r="AH129" s="315">
        <f>Produzione!$G$57</f>
        <v>0</v>
      </c>
      <c r="AI129" s="758"/>
      <c r="AJ129" s="765"/>
      <c r="AK129" s="756"/>
      <c r="AL129" s="756"/>
      <c r="AM129" s="756"/>
    </row>
    <row r="130" spans="1:39">
      <c r="A130" s="757">
        <v>121</v>
      </c>
      <c r="B130" s="799"/>
      <c r="C130" s="831"/>
      <c r="D130" s="795"/>
      <c r="E130" s="795"/>
      <c r="F130" s="791"/>
      <c r="G130" s="303"/>
      <c r="H130" s="317"/>
      <c r="J130" s="801"/>
      <c r="K130" s="802"/>
      <c r="M130" s="756"/>
      <c r="N130" s="321"/>
      <c r="O130" s="856"/>
      <c r="P130" s="756"/>
      <c r="Q130" s="756">
        <f>IF(AND(Q132&lt;&gt;0,Q131=0),Q132,IF(Q132&gt;0,MIN(Q132,Q131),Q131))</f>
        <v>0</v>
      </c>
      <c r="R130" s="756">
        <f>IF(AND(R132&gt;0,R131=0,M127&gt;0),0,IF(AND(R132&lt;&gt;0,R131=0),R132,IF(R132&lt;&gt;0,MIN(R132,R131),R131))*$K122)</f>
        <v>0</v>
      </c>
      <c r="S130" s="759"/>
      <c r="T130" s="756"/>
      <c r="U130" s="321"/>
      <c r="V130" s="323"/>
      <c r="W130" s="756"/>
      <c r="X130" s="756">
        <f>IF(AND(X132&lt;&gt;0,X131=0),X132,IF(X132&gt;0,MIN(X132,X131),X131))</f>
        <v>0</v>
      </c>
      <c r="Y130" s="756">
        <f>IF(AND(Y132&gt;0,Y131=0,T127&gt;0),0,IF(AND(Y132&lt;&gt;0,Y131=0),Y132,IF(Y132&lt;&gt;0,MIN(Y132,Y131),Y131))*$K122)</f>
        <v>0</v>
      </c>
      <c r="Z130" s="759"/>
      <c r="AA130" s="756"/>
      <c r="AB130" s="321"/>
      <c r="AC130" s="323"/>
      <c r="AD130" s="756"/>
      <c r="AE130" s="756">
        <f>IF(AND(AE132&lt;&gt;0,AE131=0),AE132,IF(AE132&gt;0,MIN(AE132,AE131),AE131))</f>
        <v>0</v>
      </c>
      <c r="AF130" s="756">
        <f>IF(AND(AF132&gt;0,AF131=0,AA127&gt;0),0,IF(AND(AF132&lt;&gt;0,AF131=0),AF132,IF(AF132&lt;&gt;0,MIN(AF132,AF131),AF131))*$K122)</f>
        <v>0</v>
      </c>
      <c r="AG130" s="759"/>
      <c r="AH130" s="756"/>
      <c r="AI130" s="321"/>
      <c r="AJ130" s="323"/>
      <c r="AK130" s="756"/>
      <c r="AL130" s="756">
        <f>IF(AND(AL132&lt;&gt;0,AL131=0),AL132,IF(AL132&gt;0,MIN(AL132,AL131),AL131))</f>
        <v>0</v>
      </c>
      <c r="AM130" s="756">
        <f>IF(AND(AM132&gt;0,AM131=0,AH127&gt;0),0,IF(AND(AM132&lt;&gt;0,AM131=0),AM132,IF(AM132&lt;&gt;0,MIN(AM132,AM131),AM131))*$K122)</f>
        <v>0</v>
      </c>
    </row>
    <row r="131" spans="1:39">
      <c r="A131" s="757">
        <v>122</v>
      </c>
      <c r="B131" s="789" t="s">
        <v>652</v>
      </c>
      <c r="C131" s="813" t="s">
        <v>410</v>
      </c>
      <c r="D131" s="795"/>
      <c r="E131" s="786"/>
      <c r="F131" s="792"/>
      <c r="G131" s="303"/>
      <c r="H131" s="318"/>
      <c r="J131" s="803"/>
      <c r="K131" s="804"/>
      <c r="M131" s="758"/>
      <c r="N131" s="321"/>
      <c r="O131" s="857">
        <f>(Q130/100*qh/3.6+R130/100*qw)</f>
        <v>0</v>
      </c>
      <c r="P131" s="756"/>
      <c r="Q131" s="756">
        <f>IF(M127&gt;0,(MIN(IF(M127&gt;0,100/(qh/3.6)*M127/EBF,0),100)),0)</f>
        <v>0</v>
      </c>
      <c r="R131" s="756">
        <f>IF(qw&gt;0,MIN(100,(IF(AND(M127&gt;0,Q131=100),((M127/EBF-(Q131/100*qh/3.6))*100/qw),0))),0)</f>
        <v>0</v>
      </c>
      <c r="S131" s="759"/>
      <c r="T131" s="756"/>
      <c r="U131" s="321"/>
      <c r="V131" s="324">
        <f>(X130/100*qh/3.6+Y130/100*qw)</f>
        <v>0</v>
      </c>
      <c r="W131" s="756"/>
      <c r="X131" s="756">
        <f>IF(T127&gt;0,(MIN(IF(T127&gt;0,100/(qh/3.6)*T127/EBF,0),100)),0)</f>
        <v>0</v>
      </c>
      <c r="Y131" s="756">
        <f>IF(qw&gt;0,MIN(100,(IF(AND(T127&gt;0,X131=100),((T127/EBF-(X131/100*qh/3.6))*100/qw),0))),0)</f>
        <v>0</v>
      </c>
      <c r="Z131" s="759"/>
      <c r="AA131" s="758"/>
      <c r="AB131" s="321"/>
      <c r="AC131" s="324">
        <f>(AE130/100*qh/3.6+AF130/100*qw)</f>
        <v>0</v>
      </c>
      <c r="AD131" s="756"/>
      <c r="AE131" s="756">
        <f>IF(AA127&gt;0,(MIN(IF(AA127&gt;0,100/(qh/3.6)*AA127/EBF,0),100)),0)</f>
        <v>0</v>
      </c>
      <c r="AF131" s="756">
        <f>IF(qw&gt;0,MIN(100,(IF(AND(AA127&gt;0,AE131=100),((AA127/EBF-(AE131/100*qh/3.6))*100/qw),0))),0)</f>
        <v>0</v>
      </c>
      <c r="AG131" s="759"/>
      <c r="AH131" s="758"/>
      <c r="AI131" s="321"/>
      <c r="AJ131" s="324">
        <f>(AL130/100*qh/3.6+AM130/100*qw)</f>
        <v>0</v>
      </c>
      <c r="AK131" s="756"/>
      <c r="AL131" s="756">
        <f>IF(AH127&gt;0,(MIN(IF(AH127&gt;0,100/(qh/3.6)*AH127/EBF,0),100)),0)</f>
        <v>0</v>
      </c>
      <c r="AM131" s="756">
        <f>IF(qw&gt;0,MIN(100,(IF(AND(AH127&gt;0,AL131=100),((AH127/EBF-(AL131/100*qh/3.6))*100/qw),0))),0)</f>
        <v>0</v>
      </c>
    </row>
    <row r="132" spans="1:39">
      <c r="A132" s="757">
        <v>123</v>
      </c>
      <c r="B132" s="812" t="s">
        <v>41</v>
      </c>
      <c r="C132" s="813" t="s">
        <v>410</v>
      </c>
      <c r="D132" s="806"/>
      <c r="E132" s="806"/>
      <c r="F132" s="774"/>
      <c r="G132" s="319"/>
      <c r="H132" s="320"/>
      <c r="J132" s="807"/>
      <c r="K132" s="808"/>
      <c r="M132" s="756"/>
      <c r="N132" s="325"/>
      <c r="O132" s="858" t="e">
        <f>IF(OR(O131="Speicher fehlt",O131=""),0,IF(M127=0,(O131/O125*100),MIN(O131/(O125/100),M127/EBF/O125*100)))</f>
        <v>#VALUE!</v>
      </c>
      <c r="P132" s="756"/>
      <c r="Q132" s="315">
        <f>Produzione!$K$18</f>
        <v>0</v>
      </c>
      <c r="R132" s="315">
        <f>Produzione!$L$18</f>
        <v>0</v>
      </c>
      <c r="S132" s="759"/>
      <c r="T132" s="756"/>
      <c r="U132" s="325"/>
      <c r="V132" s="325" t="e">
        <f>IF(OR(V131="Speicher fehlt",V131=""),0,IF(T127=0,(V131/V125*100),MIN(V131/(V125/100),T127/EBF/V125*100)))</f>
        <v>#VALUE!</v>
      </c>
      <c r="W132" s="756"/>
      <c r="X132" s="315">
        <f>Produzione!$K$32</f>
        <v>0</v>
      </c>
      <c r="Y132" s="315">
        <f>Produzione!$L$32</f>
        <v>0</v>
      </c>
      <c r="Z132" s="759"/>
      <c r="AA132" s="756"/>
      <c r="AB132" s="325"/>
      <c r="AC132" s="325" t="e">
        <f>IF(OR(AC131="Speicher fehlt",AC131=""),0,IF(AA127=0,(AC131/AC125*100),MIN(AC131/(AC125/100),AA127/EBF/AC125*100)))</f>
        <v>#VALUE!</v>
      </c>
      <c r="AD132" s="756"/>
      <c r="AE132" s="315">
        <f>Produzione!$K$46</f>
        <v>0</v>
      </c>
      <c r="AF132" s="315">
        <f>Produzione!$L$46</f>
        <v>0</v>
      </c>
      <c r="AG132" s="759"/>
      <c r="AH132" s="756"/>
      <c r="AI132" s="325"/>
      <c r="AJ132" s="325" t="e">
        <f>IF(OR(AJ131="Speicher fehlt",AJ131=""),0,IF(AH127=0,(AJ131/AJ125*100),MIN(AJ131/(AJ125/100),AH127/EBF/AJ125*100)))</f>
        <v>#VALUE!</v>
      </c>
      <c r="AK132" s="756"/>
      <c r="AL132" s="315">
        <f>Produzione!$K$60</f>
        <v>0</v>
      </c>
      <c r="AM132" s="315">
        <f>Produzione!$L$60</f>
        <v>0</v>
      </c>
    </row>
    <row r="133" spans="1:39">
      <c r="A133" s="757">
        <v>124</v>
      </c>
      <c r="B133" s="759"/>
      <c r="C133" s="833"/>
      <c r="D133" s="759"/>
      <c r="E133" s="759"/>
      <c r="F133" s="817"/>
      <c r="G133" s="759"/>
      <c r="H133" s="759"/>
      <c r="I133" s="759"/>
      <c r="J133" s="759"/>
      <c r="Q133" s="761" t="str">
        <f>IF(AND(Q131&lt;&gt;0,Q132&gt;Q131),"tasso troppo alto",IF(AND(R131&lt;&gt;0,R132&gt;R131),"tasso troppo alto",""))</f>
        <v/>
      </c>
      <c r="S133" s="759"/>
      <c r="X133" s="761" t="str">
        <f>IF(AND(X131&lt;&gt;0,X132&gt;X131),"tasso troppo alto",IF(AND(Y131&lt;&gt;0,Y132&gt;Y131),"tasso troppo alto",""))</f>
        <v/>
      </c>
      <c r="Z133" s="759"/>
      <c r="AE133" s="761" t="str">
        <f>IF(AND(AE131&lt;&gt;0,AE132&gt;AE131),"tasso troppo alto",IF(AND(AF131&lt;&gt;0,AF132&gt;AF131),"tasso troppo alto",""))</f>
        <v/>
      </c>
      <c r="AG133" s="759"/>
      <c r="AL133" s="761" t="str">
        <f>IF(AND(AL131&lt;&gt;0,AL132&gt;AL131),"tasso troppo alto",IF(AND(AM131&lt;&gt;0,AM132&gt;AM131),"tasso troppo alto",""))</f>
        <v/>
      </c>
    </row>
    <row r="134" spans="1:39">
      <c r="A134" s="757">
        <v>125</v>
      </c>
      <c r="B134" s="755"/>
      <c r="C134" s="834"/>
      <c r="D134" s="762"/>
      <c r="E134" s="762"/>
      <c r="G134" s="762"/>
      <c r="H134" s="818"/>
      <c r="J134" s="762" t="s">
        <v>1620</v>
      </c>
      <c r="M134" s="759"/>
      <c r="N134" s="762"/>
      <c r="O134" s="860"/>
      <c r="P134" s="759"/>
      <c r="Q134" s="762" t="s">
        <v>1620</v>
      </c>
      <c r="R134" s="759"/>
      <c r="S134" s="759"/>
      <c r="T134" s="759"/>
      <c r="U134" s="762"/>
      <c r="V134" s="769"/>
      <c r="W134" s="759"/>
      <c r="X134" s="762" t="s">
        <v>1620</v>
      </c>
      <c r="Y134" s="759"/>
      <c r="Z134" s="759"/>
      <c r="AA134" s="759"/>
      <c r="AB134" s="762"/>
      <c r="AC134" s="769"/>
      <c r="AD134" s="759"/>
      <c r="AE134" s="762" t="s">
        <v>1620</v>
      </c>
      <c r="AF134" s="759"/>
      <c r="AG134" s="759"/>
      <c r="AH134" s="759"/>
      <c r="AI134" s="762"/>
      <c r="AJ134" s="769"/>
      <c r="AK134" s="759"/>
      <c r="AL134" s="762" t="s">
        <v>1620</v>
      </c>
      <c r="AM134" s="759"/>
    </row>
    <row r="135" spans="1:39">
      <c r="A135" s="757">
        <v>126</v>
      </c>
      <c r="B135" s="772" t="str">
        <f>INDEX(Standardwerte!$V$6:$V$16,Rechnung!$C135,1)</f>
        <v>Riscaldamento a pellets</v>
      </c>
      <c r="C135" s="835">
        <v>10</v>
      </c>
      <c r="D135" s="819"/>
      <c r="E135" s="820"/>
      <c r="F135" s="821"/>
      <c r="G135" s="819"/>
      <c r="H135" s="822"/>
      <c r="J135" s="760" t="s">
        <v>525</v>
      </c>
      <c r="K135" s="756" t="s">
        <v>1622</v>
      </c>
      <c r="M135" s="756"/>
      <c r="N135" s="760"/>
      <c r="O135" s="852"/>
      <c r="P135" s="756"/>
      <c r="Q135" s="760" t="s">
        <v>525</v>
      </c>
      <c r="R135" s="756" t="s">
        <v>1622</v>
      </c>
      <c r="S135" s="759"/>
      <c r="T135" s="756"/>
      <c r="U135" s="760"/>
      <c r="V135" s="764"/>
      <c r="W135" s="756"/>
      <c r="X135" s="760" t="s">
        <v>525</v>
      </c>
      <c r="Y135" s="756" t="s">
        <v>1622</v>
      </c>
      <c r="Z135" s="759"/>
      <c r="AA135" s="756"/>
      <c r="AB135" s="760"/>
      <c r="AC135" s="764"/>
      <c r="AD135" s="756"/>
      <c r="AE135" s="760" t="s">
        <v>525</v>
      </c>
      <c r="AF135" s="756" t="s">
        <v>1622</v>
      </c>
      <c r="AG135" s="759"/>
      <c r="AH135" s="756"/>
      <c r="AI135" s="760"/>
      <c r="AJ135" s="764"/>
      <c r="AK135" s="756"/>
      <c r="AL135" s="760" t="s">
        <v>525</v>
      </c>
      <c r="AM135" s="756" t="s">
        <v>1622</v>
      </c>
    </row>
    <row r="136" spans="1:39">
      <c r="A136" s="757">
        <v>127</v>
      </c>
      <c r="B136" s="778" t="s">
        <v>526</v>
      </c>
      <c r="C136" s="830"/>
      <c r="D136" s="779"/>
      <c r="E136" s="312"/>
      <c r="F136" s="313">
        <f>INDEX($M$10:$AM$162,$A$10+(_typ1-1)*14,1)</f>
        <v>0</v>
      </c>
      <c r="G136" s="780"/>
      <c r="H136" s="781"/>
      <c r="J136" s="782">
        <f>INDEX(Standardwerte!$Y$6:$Z$43,$C135,2)</f>
        <v>1</v>
      </c>
      <c r="K136" s="783">
        <f>INDEX(Standardwerte!$Y$6:$Z$43,$C135,1)</f>
        <v>1</v>
      </c>
      <c r="M136" s="315">
        <f>Produzione!$G$8</f>
        <v>0</v>
      </c>
      <c r="N136" s="764"/>
      <c r="O136" s="852"/>
      <c r="P136" s="756"/>
      <c r="Q136" s="756"/>
      <c r="R136" s="756"/>
      <c r="S136" s="759"/>
      <c r="T136" s="315">
        <f>Produzione!$G$22</f>
        <v>0</v>
      </c>
      <c r="U136" s="764"/>
      <c r="V136" s="764"/>
      <c r="W136" s="756"/>
      <c r="X136" s="756"/>
      <c r="Y136" s="756"/>
      <c r="Z136" s="759"/>
      <c r="AA136" s="315">
        <f>Produzione!$G$36</f>
        <v>0</v>
      </c>
      <c r="AB136" s="764"/>
      <c r="AC136" s="764"/>
      <c r="AD136" s="756"/>
      <c r="AE136" s="756"/>
      <c r="AF136" s="756"/>
      <c r="AG136" s="759"/>
      <c r="AH136" s="315">
        <f>Produzione!$G$50</f>
        <v>0</v>
      </c>
      <c r="AI136" s="764"/>
      <c r="AJ136" s="764"/>
      <c r="AK136" s="756"/>
      <c r="AL136" s="756"/>
      <c r="AM136" s="756"/>
    </row>
    <row r="137" spans="1:39">
      <c r="A137" s="757">
        <v>128</v>
      </c>
      <c r="B137" s="784" t="s">
        <v>1193</v>
      </c>
      <c r="C137" s="831" t="s">
        <v>584</v>
      </c>
      <c r="E137" s="786"/>
      <c r="F137" s="809">
        <f>INDEX(Standardwerte!$W$6:$W$43,$C135,1)</f>
        <v>85</v>
      </c>
      <c r="G137" s="787"/>
      <c r="H137" s="788"/>
      <c r="J137" s="782"/>
      <c r="K137" s="783"/>
      <c r="M137" s="315">
        <f>Produzione!$G$10</f>
        <v>0</v>
      </c>
      <c r="N137" s="764"/>
      <c r="O137" s="861">
        <f>F137</f>
        <v>85</v>
      </c>
      <c r="P137" s="756"/>
      <c r="Q137" s="756"/>
      <c r="R137" s="756"/>
      <c r="S137" s="759"/>
      <c r="T137" s="315">
        <f>Produzione!$G$24</f>
        <v>0</v>
      </c>
      <c r="U137" s="764"/>
      <c r="V137" s="28">
        <f>F137</f>
        <v>85</v>
      </c>
      <c r="W137" s="756"/>
      <c r="X137" s="756"/>
      <c r="Y137" s="756"/>
      <c r="Z137" s="759"/>
      <c r="AA137" s="315">
        <f>Produzione!$G$38</f>
        <v>0</v>
      </c>
      <c r="AB137" s="764"/>
      <c r="AC137" s="28">
        <f>F137</f>
        <v>85</v>
      </c>
      <c r="AD137" s="756"/>
      <c r="AE137" s="756"/>
      <c r="AF137" s="756"/>
      <c r="AG137" s="759"/>
      <c r="AH137" s="315">
        <f>Produzione!$G$52</f>
        <v>0</v>
      </c>
      <c r="AI137" s="764"/>
      <c r="AJ137" s="28">
        <f>F137</f>
        <v>85</v>
      </c>
      <c r="AK137" s="756"/>
      <c r="AL137" s="756"/>
      <c r="AM137" s="756"/>
    </row>
    <row r="138" spans="1:39">
      <c r="A138" s="757">
        <v>129</v>
      </c>
      <c r="B138" s="1346" t="s">
        <v>1194</v>
      </c>
      <c r="C138" s="831" t="s">
        <v>584</v>
      </c>
      <c r="D138" s="786"/>
      <c r="E138" s="786"/>
      <c r="F138" s="1344"/>
      <c r="G138" s="792"/>
      <c r="H138" s="793"/>
      <c r="J138" s="782"/>
      <c r="K138" s="783"/>
      <c r="L138" s="770">
        <v>1</v>
      </c>
      <c r="M138" s="756"/>
      <c r="N138" s="766"/>
      <c r="O138" s="854"/>
      <c r="P138" s="756"/>
      <c r="Q138" s="756"/>
      <c r="R138" s="756"/>
      <c r="S138" s="759"/>
      <c r="T138" s="756"/>
      <c r="U138" s="766"/>
      <c r="V138" s="767"/>
      <c r="W138" s="756"/>
      <c r="X138" s="756"/>
      <c r="Y138" s="756"/>
      <c r="Z138" s="759"/>
      <c r="AA138" s="756"/>
      <c r="AB138" s="766"/>
      <c r="AC138" s="767"/>
      <c r="AD138" s="756"/>
      <c r="AE138" s="756"/>
      <c r="AF138" s="756"/>
      <c r="AG138" s="759"/>
      <c r="AH138" s="756"/>
      <c r="AI138" s="766"/>
      <c r="AJ138" s="767"/>
      <c r="AK138" s="756"/>
      <c r="AL138" s="756"/>
      <c r="AM138" s="756"/>
    </row>
    <row r="139" spans="1:39">
      <c r="A139" s="757">
        <v>130</v>
      </c>
      <c r="B139" s="789" t="s">
        <v>527</v>
      </c>
      <c r="C139" s="790" t="s">
        <v>584</v>
      </c>
      <c r="D139" s="786"/>
      <c r="E139" s="786"/>
      <c r="F139" s="791"/>
      <c r="G139" s="303"/>
      <c r="H139" s="316"/>
      <c r="J139" s="782"/>
      <c r="K139" s="783"/>
      <c r="M139" s="756"/>
      <c r="N139" s="321"/>
      <c r="O139" s="855" t="str">
        <f>IF(M137&lt;&gt;0,M137,IF(Produzione!$E$10&lt;&gt;"",Produzione!$E$10,Produzione!$G$9))</f>
        <v/>
      </c>
      <c r="P139" s="756"/>
      <c r="Q139" s="756"/>
      <c r="R139" s="756"/>
      <c r="S139" s="759"/>
      <c r="T139" s="756"/>
      <c r="U139" s="321"/>
      <c r="V139" s="322" t="str">
        <f>IF(T137&lt;&gt;0,T137,IF(Produzione!$E$24&lt;&gt;"",Produzione!$E$24,Produzione!$G$23))</f>
        <v/>
      </c>
      <c r="W139" s="756"/>
      <c r="X139" s="756"/>
      <c r="Y139" s="756"/>
      <c r="Z139" s="759"/>
      <c r="AA139" s="756"/>
      <c r="AB139" s="321"/>
      <c r="AC139" s="322" t="str">
        <f>IF(AA137&lt;&gt;0,AA137,IF(Produzione!$E$38&lt;&gt;"",Produzione!$E$38,Produzione!$G$37))</f>
        <v/>
      </c>
      <c r="AD139" s="756"/>
      <c r="AE139" s="756"/>
      <c r="AF139" s="756"/>
      <c r="AG139" s="759"/>
      <c r="AH139" s="756"/>
      <c r="AI139" s="321"/>
      <c r="AJ139" s="322" t="str">
        <f>IF(AH137&lt;&gt;0,AH137,IF(Produzione!$E$52&lt;&gt;"",Produzione!$E$52,Produzione!$G$51))</f>
        <v/>
      </c>
      <c r="AK139" s="756"/>
      <c r="AL139" s="756"/>
      <c r="AM139" s="756"/>
    </row>
    <row r="140" spans="1:39">
      <c r="A140" s="757">
        <v>131</v>
      </c>
      <c r="B140" s="789"/>
      <c r="C140" s="790"/>
      <c r="D140" s="787"/>
      <c r="E140" s="795"/>
      <c r="F140" s="1344"/>
      <c r="G140" s="796"/>
      <c r="H140" s="797"/>
      <c r="J140" s="782"/>
      <c r="K140" s="783"/>
      <c r="M140" s="315">
        <f>Produzione!$G$12</f>
        <v>0</v>
      </c>
      <c r="N140" s="758"/>
      <c r="O140" s="854"/>
      <c r="P140" s="756"/>
      <c r="Q140" s="756"/>
      <c r="R140" s="756"/>
      <c r="S140" s="759"/>
      <c r="T140" s="315">
        <f>Produzione!$G$26</f>
        <v>0</v>
      </c>
      <c r="U140" s="758"/>
      <c r="V140" s="758"/>
      <c r="W140" s="756"/>
      <c r="X140" s="756"/>
      <c r="Y140" s="756"/>
      <c r="Z140" s="759"/>
      <c r="AA140" s="315">
        <f>Produzione!$G$40</f>
        <v>0</v>
      </c>
      <c r="AB140" s="758"/>
      <c r="AC140" s="758"/>
      <c r="AD140" s="756"/>
      <c r="AE140" s="756"/>
      <c r="AF140" s="756"/>
      <c r="AG140" s="759"/>
      <c r="AH140" s="315">
        <f>Produzione!$G$54</f>
        <v>0</v>
      </c>
      <c r="AI140" s="758"/>
      <c r="AJ140" s="758"/>
      <c r="AK140" s="756"/>
      <c r="AL140" s="756"/>
      <c r="AM140" s="756"/>
    </row>
    <row r="141" spans="1:39">
      <c r="A141" s="757">
        <v>132</v>
      </c>
      <c r="B141" s="789"/>
      <c r="C141" s="790"/>
      <c r="D141" s="796"/>
      <c r="E141" s="795"/>
      <c r="F141" s="1344"/>
      <c r="G141" s="787"/>
      <c r="H141" s="798"/>
      <c r="J141" s="782"/>
      <c r="K141" s="783"/>
      <c r="M141" s="315">
        <f>Produzione!$G$13</f>
        <v>0</v>
      </c>
      <c r="N141" s="764"/>
      <c r="O141" s="852"/>
      <c r="P141" s="756"/>
      <c r="Q141" s="756"/>
      <c r="R141" s="756"/>
      <c r="S141" s="759"/>
      <c r="T141" s="315">
        <f>Produzione!$G$27</f>
        <v>0</v>
      </c>
      <c r="U141" s="764"/>
      <c r="V141" s="768"/>
      <c r="W141" s="756"/>
      <c r="X141" s="756"/>
      <c r="Y141" s="756"/>
      <c r="Z141" s="759"/>
      <c r="AA141" s="315">
        <f>Produzione!$G$41</f>
        <v>0</v>
      </c>
      <c r="AB141" s="764"/>
      <c r="AC141" s="768"/>
      <c r="AD141" s="756"/>
      <c r="AE141" s="756"/>
      <c r="AF141" s="756"/>
      <c r="AG141" s="759"/>
      <c r="AH141" s="315">
        <f>Produzione!$G$55</f>
        <v>0</v>
      </c>
      <c r="AI141" s="764"/>
      <c r="AJ141" s="768"/>
      <c r="AK141" s="756"/>
      <c r="AL141" s="756"/>
      <c r="AM141" s="756"/>
    </row>
    <row r="142" spans="1:39">
      <c r="A142" s="757">
        <v>133</v>
      </c>
      <c r="B142" s="799" t="str">
        <f>IF(J136=1,"Temperatura di mandata riscaldamento","")</f>
        <v>Temperatura di mandata riscaldamento</v>
      </c>
      <c r="C142" s="831" t="str">
        <f>IF(J136=1,"°C","")</f>
        <v>°C</v>
      </c>
      <c r="D142" s="786"/>
      <c r="E142" s="786"/>
      <c r="F142" s="1344"/>
      <c r="G142" s="787"/>
      <c r="H142" s="800"/>
      <c r="J142" s="782"/>
      <c r="K142" s="783"/>
      <c r="L142" s="770">
        <v>2</v>
      </c>
      <c r="M142" s="315">
        <f>Produzione!$G$14</f>
        <v>0</v>
      </c>
      <c r="N142" s="764"/>
      <c r="O142" s="852"/>
      <c r="P142" s="756"/>
      <c r="Q142" s="756"/>
      <c r="R142" s="756"/>
      <c r="S142" s="759"/>
      <c r="T142" s="315">
        <f>Produzione!$G$28</f>
        <v>0</v>
      </c>
      <c r="U142" s="764"/>
      <c r="V142" s="764"/>
      <c r="W142" s="756"/>
      <c r="X142" s="756"/>
      <c r="Y142" s="756"/>
      <c r="Z142" s="759"/>
      <c r="AA142" s="315">
        <f>Produzione!$G$42</f>
        <v>0</v>
      </c>
      <c r="AB142" s="764"/>
      <c r="AC142" s="764"/>
      <c r="AD142" s="756"/>
      <c r="AE142" s="756"/>
      <c r="AF142" s="756"/>
      <c r="AG142" s="759"/>
      <c r="AH142" s="315">
        <f>Produzione!$G$56</f>
        <v>0</v>
      </c>
      <c r="AI142" s="764"/>
      <c r="AJ142" s="764"/>
      <c r="AK142" s="756"/>
      <c r="AL142" s="756"/>
      <c r="AM142" s="756"/>
    </row>
    <row r="143" spans="1:39">
      <c r="A143" s="757">
        <v>134</v>
      </c>
      <c r="B143" s="799" t="str">
        <f>IF(AND(Warmwasser,K136=1),"Temperatura acqua calda sanitaria","")</f>
        <v/>
      </c>
      <c r="C143" s="831" t="str">
        <f>IF(AND(Warmwasser,K136=1),"°C","")</f>
        <v/>
      </c>
      <c r="D143" s="786"/>
      <c r="E143" s="786"/>
      <c r="F143" s="1344"/>
      <c r="G143" s="796"/>
      <c r="H143" s="788"/>
      <c r="J143" s="782"/>
      <c r="K143" s="783"/>
      <c r="L143" s="770">
        <v>2</v>
      </c>
      <c r="M143" s="315">
        <f>Produzione!$G$15</f>
        <v>0</v>
      </c>
      <c r="N143" s="758"/>
      <c r="O143" s="853"/>
      <c r="P143" s="756"/>
      <c r="Q143" s="756"/>
      <c r="R143" s="756" t="str">
        <f>IF(AND($K136=0,R146&lt;&gt;0),"Riscald. ausgewählt",IF(AND($J136=0,Q132&gt;0),"Acqua calda ausgewählt",""))</f>
        <v/>
      </c>
      <c r="S143" s="759"/>
      <c r="T143" s="315">
        <f>Produzione!$G$29</f>
        <v>0</v>
      </c>
      <c r="U143" s="758"/>
      <c r="V143" s="765"/>
      <c r="W143" s="756"/>
      <c r="X143" s="756"/>
      <c r="Y143" s="756" t="str">
        <f>IF(AND($K136=0,Y146&lt;&gt;0),"Riscald. ausgewählt",IF(AND($J136=0,X132&gt;0),"Acqua calda ausgewählt",""))</f>
        <v/>
      </c>
      <c r="Z143" s="759"/>
      <c r="AA143" s="315">
        <f>Produzione!$G$43</f>
        <v>0</v>
      </c>
      <c r="AB143" s="758"/>
      <c r="AC143" s="765"/>
      <c r="AD143" s="756"/>
      <c r="AE143" s="756"/>
      <c r="AF143" s="756" t="str">
        <f>IF(AND($K136=0,AF146&lt;&gt;0),"Riscald. ausgewählt",IF(AND($J136=0,AE132&gt;0),"Acqua calda ausgewählt",""))</f>
        <v/>
      </c>
      <c r="AG143" s="759"/>
      <c r="AH143" s="315">
        <f>Produzione!$G$57</f>
        <v>0</v>
      </c>
      <c r="AI143" s="758"/>
      <c r="AJ143" s="765"/>
      <c r="AK143" s="756"/>
      <c r="AL143" s="756"/>
      <c r="AM143" s="756" t="str">
        <f>IF(AND($K136=0,AM146&lt;&gt;0),"Riscald. ausgewählt",IF(AND($J136=0,AL132&gt;0),"Acqua calda ausgewählt",""))</f>
        <v/>
      </c>
    </row>
    <row r="144" spans="1:39">
      <c r="A144" s="757">
        <v>135</v>
      </c>
      <c r="B144" s="799"/>
      <c r="C144" s="831"/>
      <c r="D144" s="795"/>
      <c r="E144" s="795"/>
      <c r="F144" s="791"/>
      <c r="G144" s="303"/>
      <c r="H144" s="317"/>
      <c r="J144" s="801"/>
      <c r="K144" s="802"/>
      <c r="M144" s="756"/>
      <c r="N144" s="321"/>
      <c r="O144" s="856"/>
      <c r="P144" s="756"/>
      <c r="Q144" s="756">
        <f>IF(Q145&lt;&gt;0,Q145,Q146)*J136</f>
        <v>0</v>
      </c>
      <c r="R144" s="756">
        <f>IF(R145&lt;&gt;0,R145,R146)*K136</f>
        <v>0</v>
      </c>
      <c r="S144" s="759"/>
      <c r="T144" s="756"/>
      <c r="U144" s="321"/>
      <c r="V144" s="323"/>
      <c r="W144" s="756"/>
      <c r="X144" s="756">
        <f>IF(X145&lt;&gt;0,X145,X146)*J136</f>
        <v>0</v>
      </c>
      <c r="Y144" s="756">
        <f>IF(Y145&lt;&gt;0,Y145,Y146)*K136</f>
        <v>0</v>
      </c>
      <c r="Z144" s="759"/>
      <c r="AA144" s="756"/>
      <c r="AB144" s="321"/>
      <c r="AC144" s="323"/>
      <c r="AD144" s="756"/>
      <c r="AE144" s="756">
        <f>IF(AE145&lt;&gt;0,AE145,AE146)*J136</f>
        <v>0</v>
      </c>
      <c r="AF144" s="756">
        <f>IF(AF145&lt;&gt;0,AF145,AF146)*K136</f>
        <v>0</v>
      </c>
      <c r="AG144" s="759"/>
      <c r="AH144" s="756"/>
      <c r="AI144" s="321"/>
      <c r="AJ144" s="323"/>
      <c r="AK144" s="756"/>
      <c r="AL144" s="756">
        <f>IF(AL145&lt;&gt;0,AL145,AL146)*J136</f>
        <v>0</v>
      </c>
      <c r="AM144" s="756">
        <f>IF(AM145&lt;&gt;0,AM145,AM146)*K136</f>
        <v>0</v>
      </c>
    </row>
    <row r="145" spans="1:39">
      <c r="A145" s="757">
        <v>136</v>
      </c>
      <c r="B145" s="789" t="s">
        <v>652</v>
      </c>
      <c r="C145" s="813" t="s">
        <v>410</v>
      </c>
      <c r="D145" s="795"/>
      <c r="E145" s="786"/>
      <c r="F145" s="792"/>
      <c r="G145" s="303"/>
      <c r="H145" s="318"/>
      <c r="J145" s="803"/>
      <c r="K145" s="804"/>
      <c r="M145" s="758"/>
      <c r="N145" s="321"/>
      <c r="O145" s="857">
        <f>(Q144/100*qh/3.6+R144/100*qw)</f>
        <v>0</v>
      </c>
      <c r="P145" s="756"/>
      <c r="Q145" s="756"/>
      <c r="R145" s="756"/>
      <c r="S145" s="759"/>
      <c r="T145" s="756"/>
      <c r="U145" s="321"/>
      <c r="V145" s="324">
        <f>(X144/100*qh/3.6+Y144/100*qw)</f>
        <v>0</v>
      </c>
      <c r="W145" s="756"/>
      <c r="X145" s="756"/>
      <c r="Y145" s="756"/>
      <c r="Z145" s="759"/>
      <c r="AA145" s="758"/>
      <c r="AB145" s="321"/>
      <c r="AC145" s="324">
        <f>(AE144/100*qh/3.6+AF144/100*qw)</f>
        <v>0</v>
      </c>
      <c r="AD145" s="756"/>
      <c r="AE145" s="756"/>
      <c r="AF145" s="756"/>
      <c r="AG145" s="759"/>
      <c r="AH145" s="758"/>
      <c r="AI145" s="321"/>
      <c r="AJ145" s="324">
        <f>(AL144/100*qh/3.6+AM144/100*qw)</f>
        <v>0</v>
      </c>
      <c r="AK145" s="756"/>
      <c r="AL145" s="756"/>
      <c r="AM145" s="756"/>
    </row>
    <row r="146" spans="1:39">
      <c r="A146" s="757">
        <v>137</v>
      </c>
      <c r="B146" s="812" t="s">
        <v>41</v>
      </c>
      <c r="C146" s="813" t="s">
        <v>410</v>
      </c>
      <c r="D146" s="806"/>
      <c r="E146" s="806"/>
      <c r="F146" s="774"/>
      <c r="G146" s="319"/>
      <c r="H146" s="320"/>
      <c r="J146" s="807"/>
      <c r="K146" s="808"/>
      <c r="M146" s="756"/>
      <c r="N146" s="325"/>
      <c r="O146" s="858" t="str">
        <f>IF(OR(AND(Q144=0,R144=0),O139=0),"",(Q144/100*qh/3.6+R144/100*qw)/(O139/100))</f>
        <v/>
      </c>
      <c r="P146" s="756"/>
      <c r="Q146" s="315">
        <f>Produzione!$K$18</f>
        <v>0</v>
      </c>
      <c r="R146" s="315">
        <f>Produzione!$L$18</f>
        <v>0</v>
      </c>
      <c r="S146" s="759"/>
      <c r="T146" s="756"/>
      <c r="U146" s="325"/>
      <c r="V146" s="325" t="str">
        <f>IF(OR(AND(X144=0,Y144=0),V139=0),"",(X144/100*qh/3.6+Y144/100*qw)/(V139/100))</f>
        <v/>
      </c>
      <c r="W146" s="756"/>
      <c r="X146" s="315">
        <f>Produzione!$K$32</f>
        <v>0</v>
      </c>
      <c r="Y146" s="315">
        <f>Produzione!$L$32</f>
        <v>0</v>
      </c>
      <c r="Z146" s="759"/>
      <c r="AA146" s="756"/>
      <c r="AB146" s="325"/>
      <c r="AC146" s="325" t="str">
        <f>IF(OR(AND(AE144=0,AF144=0),AC139=0),"",(AE144/100*qh/3.6+AF144/100*qw)/(AC139/100))</f>
        <v/>
      </c>
      <c r="AD146" s="756"/>
      <c r="AE146" s="315">
        <f>Produzione!$K$46</f>
        <v>0</v>
      </c>
      <c r="AF146" s="315">
        <f>Produzione!$L$46</f>
        <v>0</v>
      </c>
      <c r="AG146" s="759"/>
      <c r="AH146" s="756"/>
      <c r="AI146" s="325"/>
      <c r="AJ146" s="325" t="str">
        <f>IF(OR(AND(AL144=0,AM144=0),AJ139=0),"",(AL144/100*qh/3.6+AM144/100*qw)/(AJ139/100))</f>
        <v/>
      </c>
      <c r="AK146" s="756"/>
      <c r="AL146" s="315">
        <f>Produzione!$K$60</f>
        <v>0</v>
      </c>
      <c r="AM146" s="315">
        <f>Produzione!$L$60</f>
        <v>0</v>
      </c>
    </row>
    <row r="147" spans="1:39">
      <c r="A147" s="757">
        <v>138</v>
      </c>
      <c r="B147" s="759" t="s">
        <v>1396</v>
      </c>
      <c r="C147" s="833"/>
      <c r="D147" s="759"/>
      <c r="E147" s="759"/>
      <c r="F147" s="817"/>
      <c r="G147" s="759"/>
      <c r="H147" s="759"/>
      <c r="I147" s="759"/>
      <c r="J147" s="759"/>
      <c r="Q147" s="761" t="str">
        <f>IF(Q145&lt;&gt;0,IF(Q146&lt;&gt;0,"Doppelte Eingabe",""),IF(R145&lt;&gt;0,IF(R146&lt;&gt;0,"Doppelte Eingabe",""),""))</f>
        <v/>
      </c>
      <c r="S147" s="759"/>
      <c r="X147" s="761" t="str">
        <f>IF(X145&lt;&gt;0,IF(X146&lt;&gt;0,"Doppelte Eingabe",""),IF(Y145&lt;&gt;0,IF(Y146&lt;&gt;0,"Doppelte Eingabe",""),""))</f>
        <v/>
      </c>
      <c r="Z147" s="759"/>
      <c r="AE147" s="761" t="str">
        <f>IF(AE145&lt;&gt;0,IF(AE146&lt;&gt;0,"Doppelte Eingabe",""),IF(AF145&lt;&gt;0,IF(AF146&lt;&gt;0,"Doppelte Eingabe",""),""))</f>
        <v/>
      </c>
      <c r="AG147" s="759"/>
      <c r="AL147" s="761" t="str">
        <f>IF(AL145&lt;&gt;0,IF(AL146&lt;&gt;0,"Doppelte Eingabe",""),IF(AM145&lt;&gt;0,IF(AM146&lt;&gt;0,"Doppelte Eingabe",""),""))</f>
        <v/>
      </c>
    </row>
    <row r="148" spans="1:39">
      <c r="A148" s="757">
        <v>139</v>
      </c>
      <c r="B148" s="755"/>
      <c r="C148" s="834"/>
      <c r="D148" s="762"/>
      <c r="E148" s="762"/>
      <c r="G148" s="762"/>
      <c r="H148" s="818"/>
      <c r="J148" s="762" t="s">
        <v>1620</v>
      </c>
      <c r="M148" s="759"/>
      <c r="N148" s="762"/>
      <c r="O148" s="860"/>
      <c r="P148" s="759"/>
      <c r="Q148" s="762" t="s">
        <v>1620</v>
      </c>
      <c r="R148" s="759"/>
      <c r="S148" s="759"/>
      <c r="T148" s="759"/>
      <c r="U148" s="762"/>
      <c r="V148" s="769"/>
      <c r="W148" s="759"/>
      <c r="X148" s="762" t="s">
        <v>1620</v>
      </c>
      <c r="Y148" s="759"/>
      <c r="Z148" s="759"/>
      <c r="AA148" s="759"/>
      <c r="AB148" s="762"/>
      <c r="AC148" s="769"/>
      <c r="AD148" s="759"/>
      <c r="AE148" s="762" t="s">
        <v>1620</v>
      </c>
      <c r="AF148" s="759"/>
      <c r="AG148" s="759"/>
      <c r="AH148" s="759"/>
      <c r="AI148" s="762"/>
      <c r="AJ148" s="769"/>
      <c r="AK148" s="759"/>
      <c r="AL148" s="762" t="s">
        <v>1620</v>
      </c>
      <c r="AM148" s="759"/>
    </row>
    <row r="149" spans="1:39">
      <c r="A149" s="757">
        <v>140</v>
      </c>
      <c r="B149" s="772" t="str">
        <f>INDEX(Standardwerte!$V$6:$V$16,Rechnung!$C149,1)</f>
        <v>Teleriscaldamento (min. 50% di energie rinnovabili)</v>
      </c>
      <c r="C149" s="835">
        <v>11</v>
      </c>
      <c r="D149" s="819"/>
      <c r="E149" s="820"/>
      <c r="F149" s="821"/>
      <c r="G149" s="819"/>
      <c r="H149" s="822"/>
      <c r="J149" s="760" t="s">
        <v>525</v>
      </c>
      <c r="K149" s="756" t="s">
        <v>1622</v>
      </c>
      <c r="M149" s="756"/>
      <c r="N149" s="760"/>
      <c r="O149" s="852"/>
      <c r="P149" s="756"/>
      <c r="Q149" s="760" t="s">
        <v>525</v>
      </c>
      <c r="R149" s="756" t="s">
        <v>1622</v>
      </c>
      <c r="S149" s="759"/>
      <c r="T149" s="756"/>
      <c r="U149" s="760"/>
      <c r="V149" s="764"/>
      <c r="W149" s="756"/>
      <c r="X149" s="760" t="s">
        <v>525</v>
      </c>
      <c r="Y149" s="756" t="s">
        <v>1622</v>
      </c>
      <c r="Z149" s="759"/>
      <c r="AA149" s="756"/>
      <c r="AB149" s="760"/>
      <c r="AC149" s="764"/>
      <c r="AD149" s="756"/>
      <c r="AE149" s="760" t="s">
        <v>525</v>
      </c>
      <c r="AF149" s="756" t="s">
        <v>1622</v>
      </c>
      <c r="AG149" s="759"/>
      <c r="AH149" s="756"/>
      <c r="AI149" s="760"/>
      <c r="AJ149" s="764"/>
      <c r="AK149" s="756"/>
      <c r="AL149" s="760" t="s">
        <v>525</v>
      </c>
      <c r="AM149" s="756" t="s">
        <v>1622</v>
      </c>
    </row>
    <row r="150" spans="1:39">
      <c r="A150" s="757">
        <v>141</v>
      </c>
      <c r="B150" s="778" t="s">
        <v>526</v>
      </c>
      <c r="C150" s="830"/>
      <c r="D150" s="779"/>
      <c r="E150" s="312"/>
      <c r="F150" s="313">
        <f>INDEX($M$10:$AM$162,$A$10+(_typ1-1)*14,1)</f>
        <v>0</v>
      </c>
      <c r="G150" s="780"/>
      <c r="H150" s="781"/>
      <c r="J150" s="782">
        <f>INDEX(Standardwerte!$Y$6:$Z$43,$C149,2)</f>
        <v>1</v>
      </c>
      <c r="K150" s="783">
        <f>INDEX(Standardwerte!$Y$6:$Z$43,$C149,1)</f>
        <v>1</v>
      </c>
      <c r="M150" s="315">
        <f>Produzione!$G$8</f>
        <v>0</v>
      </c>
      <c r="N150" s="764"/>
      <c r="O150" s="852"/>
      <c r="P150" s="756"/>
      <c r="Q150" s="756"/>
      <c r="R150" s="756"/>
      <c r="S150" s="759"/>
      <c r="T150" s="315">
        <f>Produzione!$G$22</f>
        <v>0</v>
      </c>
      <c r="U150" s="764"/>
      <c r="V150" s="764"/>
      <c r="W150" s="756"/>
      <c r="X150" s="756"/>
      <c r="Y150" s="756"/>
      <c r="Z150" s="759"/>
      <c r="AA150" s="315">
        <f>Produzione!$G$36</f>
        <v>0</v>
      </c>
      <c r="AB150" s="764"/>
      <c r="AC150" s="764"/>
      <c r="AD150" s="756"/>
      <c r="AE150" s="756"/>
      <c r="AF150" s="756"/>
      <c r="AG150" s="759"/>
      <c r="AH150" s="315">
        <f>Produzione!$G$50</f>
        <v>0</v>
      </c>
      <c r="AI150" s="764"/>
      <c r="AJ150" s="764"/>
      <c r="AK150" s="756"/>
      <c r="AL150" s="756"/>
      <c r="AM150" s="756"/>
    </row>
    <row r="151" spans="1:39">
      <c r="A151" s="757">
        <v>142</v>
      </c>
      <c r="B151" s="784" t="s">
        <v>1193</v>
      </c>
      <c r="C151" s="831" t="s">
        <v>584</v>
      </c>
      <c r="E151" s="786"/>
      <c r="F151" s="809">
        <f>INDEX(Standardwerte!$W$6:$W$43,$C149,1)</f>
        <v>100</v>
      </c>
      <c r="G151" s="787"/>
      <c r="H151" s="788"/>
      <c r="J151" s="782"/>
      <c r="K151" s="783"/>
      <c r="M151" s="315">
        <f>Produzione!$G$10</f>
        <v>0</v>
      </c>
      <c r="N151" s="764"/>
      <c r="O151" s="861">
        <f>F151</f>
        <v>100</v>
      </c>
      <c r="P151" s="756"/>
      <c r="Q151" s="756"/>
      <c r="R151" s="756"/>
      <c r="S151" s="759"/>
      <c r="T151" s="315">
        <f>Produzione!$G$24</f>
        <v>0</v>
      </c>
      <c r="U151" s="764"/>
      <c r="V151" s="28">
        <f>F151</f>
        <v>100</v>
      </c>
      <c r="W151" s="756"/>
      <c r="X151" s="756"/>
      <c r="Y151" s="756"/>
      <c r="Z151" s="759"/>
      <c r="AA151" s="315">
        <f>Produzione!$G$38</f>
        <v>0</v>
      </c>
      <c r="AB151" s="764"/>
      <c r="AC151" s="28">
        <f>F151</f>
        <v>100</v>
      </c>
      <c r="AD151" s="756"/>
      <c r="AE151" s="756"/>
      <c r="AF151" s="756"/>
      <c r="AG151" s="759"/>
      <c r="AH151" s="315">
        <f>Produzione!$G$52</f>
        <v>0</v>
      </c>
      <c r="AI151" s="764"/>
      <c r="AJ151" s="28">
        <f>F151</f>
        <v>100</v>
      </c>
      <c r="AK151" s="756"/>
      <c r="AL151" s="756"/>
      <c r="AM151" s="756"/>
    </row>
    <row r="152" spans="1:39">
      <c r="A152" s="757">
        <v>143</v>
      </c>
      <c r="B152" s="1346" t="s">
        <v>1194</v>
      </c>
      <c r="C152" s="831" t="s">
        <v>584</v>
      </c>
      <c r="D152" s="786"/>
      <c r="E152" s="786"/>
      <c r="F152" s="1344"/>
      <c r="G152" s="792"/>
      <c r="H152" s="793"/>
      <c r="J152" s="782"/>
      <c r="K152" s="783"/>
      <c r="L152" s="770">
        <v>1</v>
      </c>
      <c r="M152" s="756"/>
      <c r="N152" s="766"/>
      <c r="O152" s="854"/>
      <c r="P152" s="756"/>
      <c r="Q152" s="756"/>
      <c r="R152" s="756"/>
      <c r="S152" s="759"/>
      <c r="T152" s="756"/>
      <c r="U152" s="766"/>
      <c r="V152" s="767"/>
      <c r="W152" s="756"/>
      <c r="X152" s="756"/>
      <c r="Y152" s="756"/>
      <c r="Z152" s="759"/>
      <c r="AA152" s="756"/>
      <c r="AB152" s="766"/>
      <c r="AC152" s="767"/>
      <c r="AD152" s="756"/>
      <c r="AE152" s="756"/>
      <c r="AF152" s="756"/>
      <c r="AG152" s="759"/>
      <c r="AH152" s="756"/>
      <c r="AI152" s="766"/>
      <c r="AJ152" s="767"/>
      <c r="AK152" s="756"/>
      <c r="AL152" s="756"/>
      <c r="AM152" s="756"/>
    </row>
    <row r="153" spans="1:39">
      <c r="A153" s="757">
        <v>144</v>
      </c>
      <c r="B153" s="789" t="s">
        <v>527</v>
      </c>
      <c r="C153" s="790" t="s">
        <v>584</v>
      </c>
      <c r="D153" s="786"/>
      <c r="E153" s="786"/>
      <c r="F153" s="791"/>
      <c r="G153" s="303"/>
      <c r="H153" s="316"/>
      <c r="J153" s="782"/>
      <c r="K153" s="783"/>
      <c r="M153" s="756"/>
      <c r="N153" s="321"/>
      <c r="O153" s="855" t="str">
        <f>IF(M151&lt;&gt;0,M151,IF(Produzione!$E$10&lt;&gt;"",Produzione!$E$10,Produzione!$G$9))</f>
        <v/>
      </c>
      <c r="P153" s="756"/>
      <c r="Q153" s="756"/>
      <c r="R153" s="756"/>
      <c r="S153" s="759"/>
      <c r="T153" s="756"/>
      <c r="U153" s="321"/>
      <c r="V153" s="322" t="str">
        <f>IF(T151&lt;&gt;0,T151,IF(Produzione!$E$24&lt;&gt;"",Produzione!$E$24,Produzione!$G$23))</f>
        <v/>
      </c>
      <c r="W153" s="756"/>
      <c r="X153" s="756"/>
      <c r="Y153" s="756"/>
      <c r="Z153" s="759"/>
      <c r="AA153" s="756"/>
      <c r="AB153" s="321"/>
      <c r="AC153" s="322" t="str">
        <f>IF(AA151&lt;&gt;0,AA151,IF(Produzione!$E$38&lt;&gt;"",Produzione!$E$38,Produzione!$G$37))</f>
        <v/>
      </c>
      <c r="AD153" s="756"/>
      <c r="AE153" s="756"/>
      <c r="AF153" s="756"/>
      <c r="AG153" s="759"/>
      <c r="AH153" s="756"/>
      <c r="AI153" s="321"/>
      <c r="AJ153" s="322" t="str">
        <f>IF(AH151&lt;&gt;0,AH151,IF(Produzione!$E$52&lt;&gt;"",Produzione!$E$52,Produzione!$G$51))</f>
        <v/>
      </c>
      <c r="AK153" s="756"/>
      <c r="AL153" s="756"/>
      <c r="AM153" s="756"/>
    </row>
    <row r="154" spans="1:39">
      <c r="A154" s="757">
        <v>145</v>
      </c>
      <c r="B154" s="789"/>
      <c r="C154" s="790"/>
      <c r="D154" s="787"/>
      <c r="E154" s="795"/>
      <c r="F154" s="1344"/>
      <c r="G154" s="796"/>
      <c r="H154" s="797"/>
      <c r="J154" s="782"/>
      <c r="K154" s="783"/>
      <c r="M154" s="315">
        <f>Produzione!$G$12</f>
        <v>0</v>
      </c>
      <c r="N154" s="758"/>
      <c r="O154" s="854"/>
      <c r="P154" s="756"/>
      <c r="Q154" s="756"/>
      <c r="R154" s="756"/>
      <c r="S154" s="759"/>
      <c r="T154" s="315">
        <f>Produzione!$G$26</f>
        <v>0</v>
      </c>
      <c r="U154" s="758"/>
      <c r="V154" s="758"/>
      <c r="W154" s="756"/>
      <c r="X154" s="756"/>
      <c r="Y154" s="756"/>
      <c r="Z154" s="759"/>
      <c r="AA154" s="315">
        <f>Produzione!$G$40</f>
        <v>0</v>
      </c>
      <c r="AB154" s="758"/>
      <c r="AC154" s="758"/>
      <c r="AD154" s="756"/>
      <c r="AE154" s="756"/>
      <c r="AF154" s="756"/>
      <c r="AG154" s="759"/>
      <c r="AH154" s="315">
        <f>Produzione!$G$54</f>
        <v>0</v>
      </c>
      <c r="AI154" s="758"/>
      <c r="AJ154" s="758"/>
      <c r="AK154" s="756"/>
      <c r="AL154" s="756"/>
      <c r="AM154" s="756"/>
    </row>
    <row r="155" spans="1:39">
      <c r="A155" s="757">
        <v>146</v>
      </c>
      <c r="B155" s="789"/>
      <c r="C155" s="790"/>
      <c r="D155" s="796"/>
      <c r="E155" s="795"/>
      <c r="F155" s="1344"/>
      <c r="G155" s="787"/>
      <c r="H155" s="798"/>
      <c r="J155" s="782"/>
      <c r="K155" s="783"/>
      <c r="M155" s="315">
        <f>Produzione!$G$13</f>
        <v>0</v>
      </c>
      <c r="N155" s="764"/>
      <c r="O155" s="852"/>
      <c r="P155" s="756"/>
      <c r="Q155" s="756"/>
      <c r="R155" s="756"/>
      <c r="S155" s="759"/>
      <c r="T155" s="315">
        <f>Produzione!$G$27</f>
        <v>0</v>
      </c>
      <c r="U155" s="764"/>
      <c r="V155" s="768"/>
      <c r="W155" s="756"/>
      <c r="X155" s="756"/>
      <c r="Y155" s="756"/>
      <c r="Z155" s="759"/>
      <c r="AA155" s="315">
        <f>Produzione!$G$41</f>
        <v>0</v>
      </c>
      <c r="AB155" s="764"/>
      <c r="AC155" s="768"/>
      <c r="AD155" s="756"/>
      <c r="AE155" s="756"/>
      <c r="AF155" s="756"/>
      <c r="AG155" s="759"/>
      <c r="AH155" s="315">
        <f>Produzione!$G$55</f>
        <v>0</v>
      </c>
      <c r="AI155" s="764"/>
      <c r="AJ155" s="768"/>
      <c r="AK155" s="756"/>
      <c r="AL155" s="756"/>
      <c r="AM155" s="756"/>
    </row>
    <row r="156" spans="1:39">
      <c r="A156" s="757">
        <v>147</v>
      </c>
      <c r="B156" s="799" t="str">
        <f>IF(J150=1,"Temperatura di mandata riscaldamento","")</f>
        <v>Temperatura di mandata riscaldamento</v>
      </c>
      <c r="C156" s="831" t="str">
        <f>IF(J150=1,"°C","")</f>
        <v>°C</v>
      </c>
      <c r="D156" s="786"/>
      <c r="E156" s="786"/>
      <c r="F156" s="1344"/>
      <c r="G156" s="787"/>
      <c r="H156" s="800"/>
      <c r="J156" s="782"/>
      <c r="K156" s="783"/>
      <c r="L156" s="770">
        <v>2</v>
      </c>
      <c r="M156" s="315">
        <f>Produzione!$G$14</f>
        <v>0</v>
      </c>
      <c r="N156" s="764"/>
      <c r="O156" s="852"/>
      <c r="P156" s="756"/>
      <c r="Q156" s="756"/>
      <c r="R156" s="756"/>
      <c r="S156" s="759"/>
      <c r="T156" s="315">
        <f>Produzione!$G$28</f>
        <v>0</v>
      </c>
      <c r="U156" s="764"/>
      <c r="V156" s="764"/>
      <c r="W156" s="756"/>
      <c r="X156" s="756"/>
      <c r="Y156" s="756"/>
      <c r="Z156" s="759"/>
      <c r="AA156" s="315">
        <f>Produzione!$G$42</f>
        <v>0</v>
      </c>
      <c r="AB156" s="764"/>
      <c r="AC156" s="764"/>
      <c r="AD156" s="756"/>
      <c r="AE156" s="756"/>
      <c r="AF156" s="756"/>
      <c r="AG156" s="759"/>
      <c r="AH156" s="315">
        <f>Produzione!$G$56</f>
        <v>0</v>
      </c>
      <c r="AI156" s="764"/>
      <c r="AJ156" s="764"/>
      <c r="AK156" s="756"/>
      <c r="AL156" s="756"/>
      <c r="AM156" s="756"/>
    </row>
    <row r="157" spans="1:39">
      <c r="A157" s="757">
        <v>148</v>
      </c>
      <c r="B157" s="799" t="str">
        <f>IF(AND(Warmwasser,K150=1),"Temperatura acqua calda sanitaria","")</f>
        <v/>
      </c>
      <c r="C157" s="831" t="str">
        <f>IF(AND(Warmwasser,K150=1),"°C","")</f>
        <v/>
      </c>
      <c r="D157" s="786"/>
      <c r="E157" s="786"/>
      <c r="F157" s="1344"/>
      <c r="G157" s="796"/>
      <c r="H157" s="788"/>
      <c r="J157" s="782"/>
      <c r="K157" s="783"/>
      <c r="L157" s="770">
        <v>2</v>
      </c>
      <c r="M157" s="315">
        <f>Produzione!$G$15</f>
        <v>0</v>
      </c>
      <c r="N157" s="758"/>
      <c r="O157" s="853"/>
      <c r="P157" s="756"/>
      <c r="Q157" s="756"/>
      <c r="R157" s="756" t="str">
        <f>IF(AND($K150=0,R160&lt;&gt;0),"scelto riscald.",IF(AND($J150=0,Q146&gt;0),"scelta acqua calda",""))</f>
        <v/>
      </c>
      <c r="S157" s="759"/>
      <c r="T157" s="315">
        <f>Produzione!$G$29</f>
        <v>0</v>
      </c>
      <c r="U157" s="758"/>
      <c r="V157" s="765"/>
      <c r="W157" s="756"/>
      <c r="X157" s="756"/>
      <c r="Y157" s="756" t="str">
        <f>IF(AND($K150=0,Y160&lt;&gt;0),"Riscald. ausgewählt",IF(AND($J150=0,X146&gt;0),"Acqua calda ausgewählt",""))</f>
        <v/>
      </c>
      <c r="Z157" s="759"/>
      <c r="AA157" s="315">
        <f>Produzione!$G$43</f>
        <v>0</v>
      </c>
      <c r="AB157" s="758"/>
      <c r="AC157" s="765"/>
      <c r="AD157" s="756"/>
      <c r="AE157" s="756"/>
      <c r="AF157" s="756" t="str">
        <f>IF(AND($K150=0,AF160&lt;&gt;0),"Riscald. ausgewählt",IF(AND($J150=0,AE146&gt;0),"Acqua calda ausgewählt",""))</f>
        <v/>
      </c>
      <c r="AG157" s="759"/>
      <c r="AH157" s="315">
        <f>Produzione!$G$57</f>
        <v>0</v>
      </c>
      <c r="AI157" s="758"/>
      <c r="AJ157" s="765"/>
      <c r="AK157" s="756"/>
      <c r="AL157" s="756"/>
      <c r="AM157" s="756" t="str">
        <f>IF(AND($K150=0,AM160&lt;&gt;0),"Riscald. ausgewählt",IF(AND($J150=0,AL146&gt;0),"Acqua calda ausgewählt",""))</f>
        <v/>
      </c>
    </row>
    <row r="158" spans="1:39">
      <c r="A158" s="757">
        <v>149</v>
      </c>
      <c r="B158" s="799"/>
      <c r="C158" s="831"/>
      <c r="D158" s="795"/>
      <c r="E158" s="795"/>
      <c r="F158" s="791"/>
      <c r="G158" s="303"/>
      <c r="H158" s="317"/>
      <c r="J158" s="801"/>
      <c r="K158" s="802"/>
      <c r="M158" s="756"/>
      <c r="N158" s="321"/>
      <c r="O158" s="856"/>
      <c r="P158" s="756"/>
      <c r="Q158" s="756">
        <f>IF(Q159&lt;&gt;0,Q159,Q160)*J150</f>
        <v>0</v>
      </c>
      <c r="R158" s="756">
        <f>IF(R159&lt;&gt;0,R159,R160)*K150</f>
        <v>0</v>
      </c>
      <c r="S158" s="759"/>
      <c r="T158" s="756"/>
      <c r="U158" s="321"/>
      <c r="V158" s="323"/>
      <c r="W158" s="756"/>
      <c r="X158" s="756">
        <f>IF(X159&lt;&gt;0,X159,X160)*J150</f>
        <v>0</v>
      </c>
      <c r="Y158" s="756">
        <f>IF(Y159&lt;&gt;0,Y159,Y160)*K150</f>
        <v>0</v>
      </c>
      <c r="Z158" s="759"/>
      <c r="AA158" s="756"/>
      <c r="AB158" s="321"/>
      <c r="AC158" s="323"/>
      <c r="AD158" s="756"/>
      <c r="AE158" s="756">
        <f>IF(AE159&lt;&gt;0,AE159,AE160)*J150</f>
        <v>0</v>
      </c>
      <c r="AF158" s="756">
        <f>IF(AF159&lt;&gt;0,AF159,AF160)*K150</f>
        <v>0</v>
      </c>
      <c r="AG158" s="759"/>
      <c r="AH158" s="756"/>
      <c r="AI158" s="321"/>
      <c r="AJ158" s="323"/>
      <c r="AK158" s="756"/>
      <c r="AL158" s="756">
        <f>IF(AL159&lt;&gt;0,AL159,AL160)*J150</f>
        <v>0</v>
      </c>
      <c r="AM158" s="756">
        <f>IF(AM159&lt;&gt;0,AM159,AM160)*K150</f>
        <v>0</v>
      </c>
    </row>
    <row r="159" spans="1:39">
      <c r="A159" s="757">
        <v>150</v>
      </c>
      <c r="B159" s="789" t="s">
        <v>652</v>
      </c>
      <c r="C159" s="813" t="s">
        <v>410</v>
      </c>
      <c r="D159" s="795"/>
      <c r="E159" s="786"/>
      <c r="F159" s="792"/>
      <c r="G159" s="303"/>
      <c r="H159" s="318"/>
      <c r="J159" s="803"/>
      <c r="K159" s="804"/>
      <c r="M159" s="758"/>
      <c r="N159" s="321"/>
      <c r="O159" s="857">
        <f>(Q158/100*qh/3.6+R158/100*qw)</f>
        <v>0</v>
      </c>
      <c r="P159" s="756"/>
      <c r="Q159" s="756"/>
      <c r="R159" s="756"/>
      <c r="S159" s="759"/>
      <c r="T159" s="756"/>
      <c r="U159" s="321"/>
      <c r="V159" s="324">
        <f>(X158/100*qh/3.6+Y158/100*qw)</f>
        <v>0</v>
      </c>
      <c r="W159" s="756"/>
      <c r="X159" s="756"/>
      <c r="Y159" s="756"/>
      <c r="Z159" s="759"/>
      <c r="AA159" s="758"/>
      <c r="AB159" s="321"/>
      <c r="AC159" s="324">
        <f>(AE158/100*qh/3.6+AF158/100*qw)</f>
        <v>0</v>
      </c>
      <c r="AD159" s="756"/>
      <c r="AE159" s="756"/>
      <c r="AF159" s="756"/>
      <c r="AG159" s="759"/>
      <c r="AH159" s="758"/>
      <c r="AI159" s="321"/>
      <c r="AJ159" s="324">
        <f>(AL158/100*qh/3.6+AM158/100*qw)</f>
        <v>0</v>
      </c>
      <c r="AK159" s="756"/>
      <c r="AL159" s="756"/>
      <c r="AM159" s="756"/>
    </row>
    <row r="160" spans="1:39">
      <c r="A160" s="757">
        <v>151</v>
      </c>
      <c r="B160" s="812" t="s">
        <v>41</v>
      </c>
      <c r="C160" s="813" t="s">
        <v>410</v>
      </c>
      <c r="D160" s="806"/>
      <c r="E160" s="806"/>
      <c r="F160" s="774"/>
      <c r="G160" s="319"/>
      <c r="H160" s="320"/>
      <c r="J160" s="807"/>
      <c r="K160" s="808"/>
      <c r="M160" s="756"/>
      <c r="N160" s="325"/>
      <c r="O160" s="858" t="str">
        <f>IF(OR(AND(Q158=0,R158=0),O153=0),"",(Q158/100*qh/3.6+R158/100*qw)/(O153/100))</f>
        <v/>
      </c>
      <c r="P160" s="756"/>
      <c r="Q160" s="315">
        <f>Produzione!$K$18</f>
        <v>0</v>
      </c>
      <c r="R160" s="315">
        <f>Produzione!$L$18</f>
        <v>0</v>
      </c>
      <c r="S160" s="759"/>
      <c r="T160" s="756"/>
      <c r="U160" s="325"/>
      <c r="V160" s="325" t="str">
        <f>IF(OR(AND(X158=0,Y158=0),V153=0),"",(X158/100*qh/3.6+Y158/100*qw)/(V153/100))</f>
        <v/>
      </c>
      <c r="W160" s="756"/>
      <c r="X160" s="315">
        <f>Produzione!$K$32</f>
        <v>0</v>
      </c>
      <c r="Y160" s="315">
        <f>Produzione!$L$32</f>
        <v>0</v>
      </c>
      <c r="Z160" s="759"/>
      <c r="AA160" s="756"/>
      <c r="AB160" s="325"/>
      <c r="AC160" s="325" t="str">
        <f>IF(OR(AND(AE158=0,AF158=0),AC153=0),"",(AE158/100*qh/3.6+AF158/100*qw)/(AC153/100))</f>
        <v/>
      </c>
      <c r="AD160" s="756"/>
      <c r="AE160" s="315">
        <f>Produzione!$K$46</f>
        <v>0</v>
      </c>
      <c r="AF160" s="315">
        <f>Produzione!$L$46</f>
        <v>0</v>
      </c>
      <c r="AG160" s="759"/>
      <c r="AH160" s="756"/>
      <c r="AI160" s="325"/>
      <c r="AJ160" s="325" t="str">
        <f>IF(OR(AND(AL158=0,AM158=0),AJ153=0),"",(AL158/100*qh/3.6+AM158/100*qw)/(AJ153/100))</f>
        <v/>
      </c>
      <c r="AK160" s="756"/>
      <c r="AL160" s="315">
        <f>Produzione!$K$60</f>
        <v>0</v>
      </c>
      <c r="AM160" s="315">
        <f>Produzione!$L$60</f>
        <v>0</v>
      </c>
    </row>
    <row r="161" spans="1:39">
      <c r="A161" s="757">
        <v>152</v>
      </c>
      <c r="B161" s="759" t="s">
        <v>1396</v>
      </c>
      <c r="C161" s="833"/>
      <c r="D161" s="759"/>
      <c r="E161" s="759"/>
      <c r="F161" s="817"/>
      <c r="G161" s="759"/>
      <c r="H161" s="759"/>
      <c r="I161" s="759"/>
      <c r="J161" s="759"/>
      <c r="Q161" s="761" t="str">
        <f>IF(Q159&lt;&gt;0,IF(Q160&lt;&gt;0,"Doppelte Eingabe",""),IF(R159&lt;&gt;0,IF(R160&lt;&gt;0,"Doppelte Eingabe",""),""))</f>
        <v/>
      </c>
      <c r="S161" s="759"/>
      <c r="X161" s="761" t="str">
        <f>IF(X159&lt;&gt;0,IF(X160&lt;&gt;0,"Doppelte Eingabe",""),IF(Y159&lt;&gt;0,IF(Y160&lt;&gt;0,"Doppelte Eingabe",""),""))</f>
        <v/>
      </c>
      <c r="Z161" s="759"/>
      <c r="AE161" s="761" t="str">
        <f>IF(AE159&lt;&gt;0,IF(AE160&lt;&gt;0,"Doppelte Eingabe",""),IF(AF159&lt;&gt;0,IF(AF160&lt;&gt;0,"Doppelte Eingabe",""),""))</f>
        <v/>
      </c>
      <c r="AG161" s="759"/>
      <c r="AL161" s="761" t="str">
        <f>IF(AL159&lt;&gt;0,IF(AL160&lt;&gt;0,"Doppelte Eingabe",""),IF(AM159&lt;&gt;0,IF(AM160&lt;&gt;0,"Doppelte Eingabe",""),""))</f>
        <v/>
      </c>
    </row>
    <row r="162" spans="1:39">
      <c r="A162" s="757">
        <v>153</v>
      </c>
      <c r="B162" s="806"/>
      <c r="J162" s="757" t="s">
        <v>1620</v>
      </c>
    </row>
    <row r="163" spans="1:39">
      <c r="A163" s="757">
        <v>154</v>
      </c>
      <c r="B163" s="772" t="str">
        <f>INDEX(Standardwerte!$V$6:$V$43,Rechnung!$C163,1)</f>
        <v>Riscaldamento centrale elettrico ad accumulazione</v>
      </c>
      <c r="C163" s="835">
        <v>12</v>
      </c>
      <c r="D163" s="819"/>
      <c r="E163" s="820"/>
      <c r="F163" s="821"/>
      <c r="G163" s="819"/>
      <c r="H163" s="822"/>
      <c r="J163" s="760" t="s">
        <v>525</v>
      </c>
      <c r="K163" s="756" t="s">
        <v>1622</v>
      </c>
      <c r="M163" s="756"/>
      <c r="N163" s="760"/>
      <c r="O163" s="852"/>
      <c r="P163" s="756"/>
      <c r="Q163" s="760" t="s">
        <v>525</v>
      </c>
      <c r="R163" s="756" t="s">
        <v>1622</v>
      </c>
      <c r="S163" s="759"/>
      <c r="T163" s="756"/>
      <c r="U163" s="760"/>
      <c r="V163" s="764"/>
      <c r="W163" s="756"/>
      <c r="X163" s="760" t="s">
        <v>525</v>
      </c>
      <c r="Y163" s="756" t="s">
        <v>1622</v>
      </c>
      <c r="Z163" s="759"/>
      <c r="AA163" s="756"/>
      <c r="AB163" s="760"/>
      <c r="AC163" s="764"/>
      <c r="AD163" s="756"/>
      <c r="AE163" s="760" t="s">
        <v>525</v>
      </c>
      <c r="AF163" s="756" t="s">
        <v>1622</v>
      </c>
      <c r="AG163" s="759"/>
      <c r="AH163" s="756"/>
      <c r="AI163" s="760"/>
      <c r="AJ163" s="764"/>
      <c r="AK163" s="756"/>
      <c r="AL163" s="760" t="s">
        <v>525</v>
      </c>
      <c r="AM163" s="756" t="s">
        <v>1622</v>
      </c>
    </row>
    <row r="164" spans="1:39">
      <c r="A164" s="757">
        <v>155</v>
      </c>
      <c r="B164" s="778" t="s">
        <v>526</v>
      </c>
      <c r="C164" s="830"/>
      <c r="D164" s="779"/>
      <c r="E164" s="312"/>
      <c r="F164" s="313">
        <f>INDEX($M$10:$AM$217,$A$10+(_typ1-1)*14,1)</f>
        <v>0</v>
      </c>
      <c r="G164" s="780"/>
      <c r="H164" s="781"/>
      <c r="J164" s="782">
        <f>INDEX(Standardwerte!$Y$6:$Z$43,$C163,2)</f>
        <v>1</v>
      </c>
      <c r="K164" s="783">
        <f>INDEX(Standardwerte!$Y$6:$Z$43,$C163,1)</f>
        <v>0</v>
      </c>
      <c r="M164" s="315">
        <f>Produzione!$G$8</f>
        <v>0</v>
      </c>
      <c r="N164" s="764"/>
      <c r="O164" s="852"/>
      <c r="P164" s="756"/>
      <c r="Q164" s="756"/>
      <c r="R164" s="756"/>
      <c r="S164" s="759"/>
      <c r="T164" s="315">
        <f>Produzione!$G$22</f>
        <v>0</v>
      </c>
      <c r="U164" s="764"/>
      <c r="V164" s="764"/>
      <c r="W164" s="756"/>
      <c r="X164" s="756"/>
      <c r="Y164" s="756"/>
      <c r="Z164" s="759"/>
      <c r="AA164" s="315">
        <f>Produzione!$G$36</f>
        <v>0</v>
      </c>
      <c r="AB164" s="764"/>
      <c r="AC164" s="764"/>
      <c r="AD164" s="756"/>
      <c r="AE164" s="756"/>
      <c r="AF164" s="756"/>
      <c r="AG164" s="759"/>
      <c r="AH164" s="315">
        <f>Produzione!$G$50</f>
        <v>0</v>
      </c>
      <c r="AI164" s="764"/>
      <c r="AJ164" s="764"/>
      <c r="AK164" s="756"/>
      <c r="AL164" s="756"/>
      <c r="AM164" s="756"/>
    </row>
    <row r="165" spans="1:39">
      <c r="A165" s="757">
        <v>156</v>
      </c>
      <c r="B165" s="784" t="s">
        <v>1193</v>
      </c>
      <c r="C165" s="831" t="s">
        <v>584</v>
      </c>
      <c r="E165" s="786"/>
      <c r="F165" s="809">
        <f>INDEX(Standardwerte!$W$6:$W$43,$C163,1)</f>
        <v>93</v>
      </c>
      <c r="G165" s="787"/>
      <c r="H165" s="788"/>
      <c r="J165" s="782"/>
      <c r="K165" s="783"/>
      <c r="M165" s="315">
        <f>Produzione!$G$10</f>
        <v>0</v>
      </c>
      <c r="N165" s="764"/>
      <c r="O165" s="861">
        <f>F165</f>
        <v>93</v>
      </c>
      <c r="P165" s="756"/>
      <c r="Q165" s="756"/>
      <c r="R165" s="756"/>
      <c r="S165" s="759"/>
      <c r="T165" s="315">
        <f>Produzione!$G$24</f>
        <v>0</v>
      </c>
      <c r="U165" s="764"/>
      <c r="V165" s="28">
        <f>F165</f>
        <v>93</v>
      </c>
      <c r="W165" s="756"/>
      <c r="X165" s="756"/>
      <c r="Y165" s="756"/>
      <c r="Z165" s="759"/>
      <c r="AA165" s="315">
        <f>Produzione!$G$38</f>
        <v>0</v>
      </c>
      <c r="AB165" s="764"/>
      <c r="AC165" s="28">
        <f>F165</f>
        <v>93</v>
      </c>
      <c r="AD165" s="756"/>
      <c r="AE165" s="756"/>
      <c r="AF165" s="756"/>
      <c r="AG165" s="759"/>
      <c r="AH165" s="315">
        <f>Produzione!$G$52</f>
        <v>0</v>
      </c>
      <c r="AI165" s="764"/>
      <c r="AJ165" s="28">
        <f>F165</f>
        <v>93</v>
      </c>
      <c r="AK165" s="756"/>
      <c r="AL165" s="756"/>
      <c r="AM165" s="756"/>
    </row>
    <row r="166" spans="1:39">
      <c r="A166" s="757">
        <v>157</v>
      </c>
      <c r="B166" s="1346" t="s">
        <v>1194</v>
      </c>
      <c r="C166" s="831" t="s">
        <v>584</v>
      </c>
      <c r="D166" s="786"/>
      <c r="E166" s="786"/>
      <c r="F166" s="1344"/>
      <c r="G166" s="792"/>
      <c r="H166" s="793"/>
      <c r="J166" s="782"/>
      <c r="K166" s="783"/>
      <c r="L166" s="770">
        <v>1</v>
      </c>
      <c r="M166" s="756"/>
      <c r="N166" s="766"/>
      <c r="O166" s="854"/>
      <c r="P166" s="756"/>
      <c r="Q166" s="756"/>
      <c r="R166" s="756"/>
      <c r="S166" s="759"/>
      <c r="T166" s="756"/>
      <c r="U166" s="766"/>
      <c r="V166" s="767"/>
      <c r="W166" s="756"/>
      <c r="X166" s="756"/>
      <c r="Y166" s="756"/>
      <c r="Z166" s="759"/>
      <c r="AA166" s="756"/>
      <c r="AB166" s="766"/>
      <c r="AC166" s="767"/>
      <c r="AD166" s="756"/>
      <c r="AE166" s="756"/>
      <c r="AF166" s="756"/>
      <c r="AG166" s="759"/>
      <c r="AH166" s="756"/>
      <c r="AI166" s="766"/>
      <c r="AJ166" s="767"/>
      <c r="AK166" s="756"/>
      <c r="AL166" s="756"/>
      <c r="AM166" s="756"/>
    </row>
    <row r="167" spans="1:39">
      <c r="A167" s="757">
        <v>158</v>
      </c>
      <c r="B167" s="789" t="s">
        <v>527</v>
      </c>
      <c r="C167" s="790" t="s">
        <v>584</v>
      </c>
      <c r="D167" s="786"/>
      <c r="E167" s="786"/>
      <c r="F167" s="791"/>
      <c r="G167" s="303"/>
      <c r="H167" s="316"/>
      <c r="J167" s="782"/>
      <c r="K167" s="783"/>
      <c r="M167" s="756"/>
      <c r="N167" s="321"/>
      <c r="O167" s="855" t="str">
        <f>IF(M165&lt;&gt;0,M165,IF(Produzione!$E$10&lt;&gt;"",Produzione!$E$10,Produzione!$G$9))</f>
        <v/>
      </c>
      <c r="P167" s="756"/>
      <c r="Q167" s="756"/>
      <c r="R167" s="756"/>
      <c r="S167" s="759"/>
      <c r="T167" s="756"/>
      <c r="U167" s="321"/>
      <c r="V167" s="322" t="str">
        <f>IF(T165&lt;&gt;0,T165,IF(Produzione!$E$24&lt;&gt;"",Produzione!$E$24,Produzione!$G$23))</f>
        <v/>
      </c>
      <c r="W167" s="756"/>
      <c r="X167" s="756"/>
      <c r="Y167" s="756"/>
      <c r="Z167" s="759"/>
      <c r="AA167" s="756"/>
      <c r="AB167" s="321"/>
      <c r="AC167" s="322" t="str">
        <f>IF(AA165&lt;&gt;0,AA165,IF(Produzione!$E$38&lt;&gt;"",Produzione!$E$38,Produzione!$G$37))</f>
        <v/>
      </c>
      <c r="AD167" s="756"/>
      <c r="AE167" s="756"/>
      <c r="AF167" s="756"/>
      <c r="AG167" s="759"/>
      <c r="AH167" s="756"/>
      <c r="AI167" s="321"/>
      <c r="AJ167" s="322" t="str">
        <f>IF(AH165&lt;&gt;0,AH165,IF(Produzione!$E$52&lt;&gt;"",Produzione!$E$52,Produzione!$G$51))</f>
        <v/>
      </c>
      <c r="AK167" s="756"/>
      <c r="AL167" s="756"/>
      <c r="AM167" s="756"/>
    </row>
    <row r="168" spans="1:39">
      <c r="A168" s="757">
        <v>159</v>
      </c>
      <c r="B168" s="789"/>
      <c r="C168" s="790"/>
      <c r="D168" s="787"/>
      <c r="E168" s="795"/>
      <c r="F168" s="1344"/>
      <c r="G168" s="796"/>
      <c r="H168" s="797"/>
      <c r="J168" s="782"/>
      <c r="K168" s="783"/>
      <c r="M168" s="315">
        <f>Produzione!$G$12</f>
        <v>0</v>
      </c>
      <c r="N168" s="758"/>
      <c r="O168" s="854"/>
      <c r="P168" s="756"/>
      <c r="Q168" s="756"/>
      <c r="R168" s="756"/>
      <c r="S168" s="759"/>
      <c r="T168" s="315">
        <f>Produzione!$G$26</f>
        <v>0</v>
      </c>
      <c r="U168" s="758"/>
      <c r="V168" s="758"/>
      <c r="W168" s="756"/>
      <c r="X168" s="756"/>
      <c r="Y168" s="756"/>
      <c r="Z168" s="759"/>
      <c r="AA168" s="315">
        <f>Produzione!$G$40</f>
        <v>0</v>
      </c>
      <c r="AB168" s="758"/>
      <c r="AC168" s="758"/>
      <c r="AD168" s="756"/>
      <c r="AE168" s="756"/>
      <c r="AF168" s="756"/>
      <c r="AG168" s="759"/>
      <c r="AH168" s="315">
        <f>Produzione!$G$54</f>
        <v>0</v>
      </c>
      <c r="AI168" s="758"/>
      <c r="AJ168" s="758"/>
      <c r="AK168" s="756"/>
      <c r="AL168" s="756"/>
      <c r="AM168" s="756"/>
    </row>
    <row r="169" spans="1:39">
      <c r="A169" s="757">
        <v>160</v>
      </c>
      <c r="B169" s="789"/>
      <c r="C169" s="790"/>
      <c r="D169" s="796"/>
      <c r="E169" s="795"/>
      <c r="F169" s="1344"/>
      <c r="G169" s="787"/>
      <c r="H169" s="798"/>
      <c r="J169" s="782"/>
      <c r="K169" s="783"/>
      <c r="M169" s="315">
        <f>Produzione!$G$13</f>
        <v>0</v>
      </c>
      <c r="N169" s="764"/>
      <c r="O169" s="852"/>
      <c r="P169" s="756"/>
      <c r="Q169" s="756"/>
      <c r="R169" s="756"/>
      <c r="S169" s="759"/>
      <c r="T169" s="315">
        <f>Produzione!$G$27</f>
        <v>0</v>
      </c>
      <c r="U169" s="764"/>
      <c r="V169" s="768"/>
      <c r="W169" s="756"/>
      <c r="X169" s="756"/>
      <c r="Y169" s="756"/>
      <c r="Z169" s="759"/>
      <c r="AA169" s="315">
        <f>Produzione!$G$41</f>
        <v>0</v>
      </c>
      <c r="AB169" s="764"/>
      <c r="AC169" s="768"/>
      <c r="AD169" s="756"/>
      <c r="AE169" s="756"/>
      <c r="AF169" s="756"/>
      <c r="AG169" s="759"/>
      <c r="AH169" s="315">
        <f>Produzione!$G$55</f>
        <v>0</v>
      </c>
      <c r="AI169" s="764"/>
      <c r="AJ169" s="768"/>
      <c r="AK169" s="756"/>
      <c r="AL169" s="756"/>
      <c r="AM169" s="756"/>
    </row>
    <row r="170" spans="1:39">
      <c r="A170" s="757">
        <v>161</v>
      </c>
      <c r="B170" s="799" t="str">
        <f>IF(J164=1,"Temperatura di mandata riscaldamento","")</f>
        <v>Temperatura di mandata riscaldamento</v>
      </c>
      <c r="C170" s="831" t="str">
        <f>IF(J164=1,"°C","")</f>
        <v>°C</v>
      </c>
      <c r="D170" s="786"/>
      <c r="E170" s="786"/>
      <c r="F170" s="1344"/>
      <c r="G170" s="787"/>
      <c r="H170" s="800"/>
      <c r="J170" s="782"/>
      <c r="K170" s="783"/>
      <c r="L170" s="770">
        <v>2</v>
      </c>
      <c r="M170" s="315">
        <f>Produzione!$G$14</f>
        <v>0</v>
      </c>
      <c r="N170" s="764"/>
      <c r="O170" s="852"/>
      <c r="P170" s="756"/>
      <c r="Q170" s="756"/>
      <c r="R170" s="756"/>
      <c r="S170" s="759"/>
      <c r="T170" s="315">
        <f>Produzione!$G$28</f>
        <v>0</v>
      </c>
      <c r="U170" s="764"/>
      <c r="V170" s="764"/>
      <c r="W170" s="756"/>
      <c r="X170" s="756"/>
      <c r="Y170" s="756"/>
      <c r="Z170" s="759"/>
      <c r="AA170" s="315">
        <f>Produzione!$G$42</f>
        <v>0</v>
      </c>
      <c r="AB170" s="764"/>
      <c r="AC170" s="764"/>
      <c r="AD170" s="756"/>
      <c r="AE170" s="756"/>
      <c r="AF170" s="756"/>
      <c r="AG170" s="759"/>
      <c r="AH170" s="315">
        <f>Produzione!$G$56</f>
        <v>0</v>
      </c>
      <c r="AI170" s="764"/>
      <c r="AJ170" s="764"/>
      <c r="AK170" s="756"/>
      <c r="AL170" s="756"/>
      <c r="AM170" s="756"/>
    </row>
    <row r="171" spans="1:39">
      <c r="A171" s="757">
        <v>162</v>
      </c>
      <c r="B171" s="799" t="str">
        <f>IF(AND(Warmwasser,K164=1),"Temperatura acqua calda sanitaria","")</f>
        <v/>
      </c>
      <c r="C171" s="831" t="str">
        <f>IF(AND(Warmwasser,K164=1),"°C","")</f>
        <v/>
      </c>
      <c r="D171" s="786"/>
      <c r="E171" s="786"/>
      <c r="F171" s="1344"/>
      <c r="G171" s="796"/>
      <c r="H171" s="788"/>
      <c r="J171" s="782"/>
      <c r="K171" s="783"/>
      <c r="M171" s="315">
        <f>Produzione!$G$15</f>
        <v>0</v>
      </c>
      <c r="N171" s="758"/>
      <c r="O171" s="853"/>
      <c r="P171" s="756"/>
      <c r="Q171" s="756"/>
      <c r="R171" s="756" t="str">
        <f>IF(AND($K164=0,R174&lt;&gt;0),"Riscald. ausgewählt",IF(AND($J164=0,Q160&gt;0),"Acqua calda ausgewählt",""))</f>
        <v/>
      </c>
      <c r="S171" s="759"/>
      <c r="T171" s="315">
        <f>Produzione!$G$29</f>
        <v>0</v>
      </c>
      <c r="U171" s="758"/>
      <c r="V171" s="765"/>
      <c r="W171" s="756"/>
      <c r="X171" s="756"/>
      <c r="Y171" s="756" t="str">
        <f>IF(AND($K164=0,Y174&lt;&gt;0),"Riscald. ausgewählt",IF(AND($J164=0,X160&gt;0),"Acqua calda ausgewählt",""))</f>
        <v/>
      </c>
      <c r="Z171" s="759"/>
      <c r="AA171" s="315">
        <f>Produzione!$G$43</f>
        <v>0</v>
      </c>
      <c r="AB171" s="758"/>
      <c r="AC171" s="765"/>
      <c r="AD171" s="756"/>
      <c r="AE171" s="756"/>
      <c r="AF171" s="756" t="str">
        <f>IF(AND($K164=0,AF174&lt;&gt;0),"Riscald. ausgewählt",IF(AND($J164=0,AE160&gt;0),"Acqua calda ausgewählt",""))</f>
        <v/>
      </c>
      <c r="AG171" s="759"/>
      <c r="AH171" s="315">
        <f>Produzione!$G$57</f>
        <v>0</v>
      </c>
      <c r="AI171" s="758"/>
      <c r="AJ171" s="765"/>
      <c r="AK171" s="756"/>
      <c r="AL171" s="756"/>
      <c r="AM171" s="756" t="str">
        <f>IF(AND($K164=0,AM174&lt;&gt;0),"Riscald. ausgewählt",IF(AND($J164=0,AL160&gt;0),"Acqua calda ausgewählt",""))</f>
        <v/>
      </c>
    </row>
    <row r="172" spans="1:39">
      <c r="A172" s="757">
        <v>163</v>
      </c>
      <c r="B172" s="799" t="s">
        <v>1374</v>
      </c>
      <c r="C172" s="813" t="s">
        <v>410</v>
      </c>
      <c r="D172" s="795"/>
      <c r="E172" s="795"/>
      <c r="F172" s="791"/>
      <c r="G172" s="303"/>
      <c r="H172" s="317"/>
      <c r="J172" s="801"/>
      <c r="K172" s="802"/>
      <c r="M172" s="756"/>
      <c r="N172" s="321"/>
      <c r="O172" s="843">
        <f>IF(O167&lt;&gt;"",(Q172/100*qh/3.6+R172/100*qw)/(O167/100),)</f>
        <v>0</v>
      </c>
      <c r="P172" s="756"/>
      <c r="Q172" s="756">
        <f>IF(Q173&lt;&gt;0,Q173,Q174)*J164</f>
        <v>0</v>
      </c>
      <c r="R172" s="756">
        <f>IF(R173&lt;&gt;0,R173,R174)*K164</f>
        <v>0</v>
      </c>
      <c r="S172" s="759"/>
      <c r="T172" s="756"/>
      <c r="U172" s="321"/>
      <c r="V172" s="323">
        <f>IF(V167&lt;&gt;"",(X172/100*qh/3.6+Y172/100*qw)/(V167/100),)</f>
        <v>0</v>
      </c>
      <c r="W172" s="756"/>
      <c r="X172" s="756">
        <f>IF(X173&lt;&gt;0,X173,X174)*J164</f>
        <v>0</v>
      </c>
      <c r="Y172" s="756">
        <f>IF(Y173&lt;&gt;0,Y173,Y174)*K164</f>
        <v>0</v>
      </c>
      <c r="Z172" s="759"/>
      <c r="AA172" s="756"/>
      <c r="AB172" s="321"/>
      <c r="AC172" s="323">
        <f>IF(AC167&lt;&gt;"",(AE172/100*qh/3.6+AF172/100*qw)/(AC167/100),)</f>
        <v>0</v>
      </c>
      <c r="AD172" s="756"/>
      <c r="AE172" s="756">
        <f>IF(AE173&lt;&gt;0,AE173,AE174)*J164</f>
        <v>0</v>
      </c>
      <c r="AF172" s="756">
        <f>IF(AF173&lt;&gt;0,AF173,AF174)*K164</f>
        <v>0</v>
      </c>
      <c r="AG172" s="759"/>
      <c r="AH172" s="756"/>
      <c r="AI172" s="321"/>
      <c r="AJ172" s="323">
        <f>IF(AJ167&lt;&gt;"",(AL172/100*qh/3.6+AM172/100*qw)/(AJ167/100),)</f>
        <v>0</v>
      </c>
      <c r="AK172" s="756"/>
      <c r="AL172" s="756">
        <f>IF(AL173&lt;&gt;0,AL173,AL174)*J164</f>
        <v>0</v>
      </c>
      <c r="AM172" s="756">
        <f>IF(AM173&lt;&gt;0,AM173,AM174)*K164</f>
        <v>0</v>
      </c>
    </row>
    <row r="173" spans="1:39">
      <c r="A173" s="757">
        <v>164</v>
      </c>
      <c r="B173" s="789" t="s">
        <v>652</v>
      </c>
      <c r="C173" s="813" t="s">
        <v>410</v>
      </c>
      <c r="D173" s="795"/>
      <c r="E173" s="786"/>
      <c r="F173" s="792"/>
      <c r="G173" s="303"/>
      <c r="H173" s="318"/>
      <c r="J173" s="803"/>
      <c r="K173" s="804"/>
      <c r="M173" s="758"/>
      <c r="N173" s="321"/>
      <c r="O173" s="843">
        <f>(Q172/100*qh/3.6+R172/100*qw)</f>
        <v>0</v>
      </c>
      <c r="P173" s="756"/>
      <c r="Q173" s="756"/>
      <c r="R173" s="756"/>
      <c r="S173" s="759"/>
      <c r="T173" s="756"/>
      <c r="U173" s="321"/>
      <c r="V173" s="324">
        <f>(X172/100*qh/3.6+Y172/100*qw)</f>
        <v>0</v>
      </c>
      <c r="W173" s="756"/>
      <c r="X173" s="756"/>
      <c r="Y173" s="756"/>
      <c r="Z173" s="759"/>
      <c r="AA173" s="758"/>
      <c r="AB173" s="321"/>
      <c r="AC173" s="324">
        <f>(AE172/100*qh/3.6+AF172/100*qw)</f>
        <v>0</v>
      </c>
      <c r="AD173" s="756"/>
      <c r="AE173" s="756"/>
      <c r="AF173" s="756"/>
      <c r="AG173" s="759"/>
      <c r="AH173" s="758"/>
      <c r="AI173" s="321"/>
      <c r="AJ173" s="324">
        <f>(AL172/100*qh/3.6+AM172/100*qw)</f>
        <v>0</v>
      </c>
      <c r="AK173" s="756"/>
      <c r="AL173" s="756"/>
      <c r="AM173" s="756"/>
    </row>
    <row r="174" spans="1:39">
      <c r="A174" s="757">
        <v>165</v>
      </c>
      <c r="B174" s="805"/>
      <c r="C174" s="831"/>
      <c r="D174" s="806"/>
      <c r="E174" s="806"/>
      <c r="F174" s="774"/>
      <c r="G174" s="319"/>
      <c r="H174" s="320"/>
      <c r="J174" s="807"/>
      <c r="K174" s="808"/>
      <c r="M174" s="756"/>
      <c r="N174" s="325"/>
      <c r="O174" s="844"/>
      <c r="P174" s="756"/>
      <c r="Q174" s="315">
        <f>Produzione!$K$18</f>
        <v>0</v>
      </c>
      <c r="R174" s="315">
        <f>Produzione!$L$18</f>
        <v>0</v>
      </c>
      <c r="S174" s="759"/>
      <c r="T174" s="756"/>
      <c r="U174" s="325"/>
      <c r="V174" s="325"/>
      <c r="W174" s="756"/>
      <c r="X174" s="315">
        <f>Produzione!$K$32</f>
        <v>0</v>
      </c>
      <c r="Y174" s="315">
        <f>Produzione!$L$32</f>
        <v>0</v>
      </c>
      <c r="Z174" s="759"/>
      <c r="AA174" s="756"/>
      <c r="AB174" s="325"/>
      <c r="AC174" s="325"/>
      <c r="AD174" s="756"/>
      <c r="AE174" s="315">
        <f>Produzione!$K$46</f>
        <v>0</v>
      </c>
      <c r="AF174" s="315">
        <f>Produzione!$L$46</f>
        <v>0</v>
      </c>
      <c r="AG174" s="759"/>
      <c r="AH174" s="756"/>
      <c r="AI174" s="325"/>
      <c r="AJ174" s="325"/>
      <c r="AK174" s="756"/>
      <c r="AL174" s="315">
        <f>Produzione!$K$60</f>
        <v>0</v>
      </c>
      <c r="AM174" s="315">
        <f>Produzione!$L$60</f>
        <v>0</v>
      </c>
    </row>
    <row r="175" spans="1:39">
      <c r="A175" s="757">
        <v>166</v>
      </c>
      <c r="B175" s="759"/>
      <c r="C175" s="833"/>
      <c r="D175" s="759"/>
      <c r="E175" s="759"/>
      <c r="F175" s="817"/>
      <c r="G175" s="759"/>
      <c r="H175" s="759"/>
      <c r="I175" s="759"/>
      <c r="J175" s="759"/>
      <c r="M175" s="759"/>
      <c r="N175" s="759"/>
      <c r="O175" s="862"/>
      <c r="P175" s="759"/>
      <c r="Q175" s="761" t="str">
        <f>IF(Q173&lt;&gt;0,IF(Q174&lt;&gt;0,"Doppelte Eingabe",""),IF(R173&lt;&gt;0,IF(R174&lt;&gt;0,"Doppelte Eingabe",""),""))</f>
        <v/>
      </c>
      <c r="R175" s="759"/>
      <c r="S175" s="759"/>
      <c r="T175" s="759"/>
      <c r="U175" s="759"/>
      <c r="V175" s="759"/>
      <c r="W175" s="759"/>
      <c r="X175" s="761" t="str">
        <f>IF(X173&lt;&gt;0,IF(X174&lt;&gt;0,"Doppelte Eingabe",""),IF(Y173&lt;&gt;0,IF(Y174&lt;&gt;0,"Doppelte Eingabe",""),""))</f>
        <v/>
      </c>
      <c r="Y175" s="759"/>
      <c r="Z175" s="759"/>
      <c r="AE175" s="761" t="str">
        <f>IF(AE173&lt;&gt;0,IF(AE174&lt;&gt;0,"Doppelte Eingabe",""),IF(AF173&lt;&gt;0,IF(AF174&lt;&gt;0,"Doppelte Eingabe",""),""))</f>
        <v/>
      </c>
      <c r="AG175" s="759"/>
      <c r="AL175" s="761" t="str">
        <f>IF(AL173&lt;&gt;0,IF(AL174&lt;&gt;0,"Doppelte Eingabe",""),IF(AM173&lt;&gt;0,IF(AM174&lt;&gt;0,"Doppelte Eingabe",""),""))</f>
        <v/>
      </c>
    </row>
    <row r="176" spans="1:39">
      <c r="A176" s="757">
        <v>167</v>
      </c>
      <c r="B176" s="755"/>
      <c r="C176" s="834"/>
      <c r="D176" s="762"/>
      <c r="E176" s="762"/>
      <c r="G176" s="762"/>
      <c r="H176" s="818"/>
      <c r="J176" s="762" t="s">
        <v>1620</v>
      </c>
      <c r="N176" s="762"/>
      <c r="O176" s="860"/>
      <c r="P176" s="759"/>
      <c r="Q176" s="762" t="s">
        <v>1620</v>
      </c>
      <c r="R176" s="759"/>
      <c r="S176" s="759"/>
      <c r="T176" s="759"/>
      <c r="U176" s="762"/>
      <c r="V176" s="769"/>
      <c r="W176" s="759"/>
      <c r="X176" s="762" t="s">
        <v>1620</v>
      </c>
      <c r="Y176" s="759"/>
      <c r="Z176" s="759"/>
      <c r="AA176" s="759"/>
      <c r="AB176" s="762"/>
      <c r="AC176" s="769"/>
      <c r="AD176" s="759"/>
      <c r="AE176" s="762" t="s">
        <v>1620</v>
      </c>
      <c r="AF176" s="759"/>
      <c r="AG176" s="759"/>
      <c r="AH176" s="759"/>
      <c r="AI176" s="762"/>
      <c r="AJ176" s="769"/>
      <c r="AK176" s="759"/>
      <c r="AL176" s="762" t="s">
        <v>1620</v>
      </c>
      <c r="AM176" s="759"/>
    </row>
    <row r="177" spans="1:39">
      <c r="A177" s="757">
        <v>168</v>
      </c>
      <c r="B177" s="772" t="str">
        <f>INDEX(Standardwerte!$V$6:$V$43,Rechnung!$C177,1)</f>
        <v>Riscaldamento elettrico diretto</v>
      </c>
      <c r="C177" s="835">
        <v>13</v>
      </c>
      <c r="D177" s="819"/>
      <c r="E177" s="820"/>
      <c r="F177" s="821"/>
      <c r="G177" s="819"/>
      <c r="H177" s="822"/>
      <c r="J177" s="760" t="s">
        <v>525</v>
      </c>
      <c r="K177" s="756" t="s">
        <v>1622</v>
      </c>
      <c r="M177" s="756"/>
      <c r="N177" s="760"/>
      <c r="O177" s="852"/>
      <c r="P177" s="756"/>
      <c r="Q177" s="760" t="s">
        <v>525</v>
      </c>
      <c r="R177" s="756" t="s">
        <v>1622</v>
      </c>
      <c r="S177" s="759"/>
      <c r="T177" s="756"/>
      <c r="U177" s="760"/>
      <c r="V177" s="764"/>
      <c r="W177" s="756"/>
      <c r="X177" s="760" t="s">
        <v>525</v>
      </c>
      <c r="Y177" s="756" t="s">
        <v>1622</v>
      </c>
      <c r="Z177" s="759"/>
      <c r="AA177" s="756"/>
      <c r="AB177" s="760"/>
      <c r="AC177" s="764"/>
      <c r="AD177" s="756"/>
      <c r="AE177" s="760" t="s">
        <v>525</v>
      </c>
      <c r="AF177" s="756" t="s">
        <v>1622</v>
      </c>
      <c r="AG177" s="759"/>
      <c r="AH177" s="756"/>
      <c r="AI177" s="760"/>
      <c r="AJ177" s="764"/>
      <c r="AK177" s="756"/>
      <c r="AL177" s="760" t="s">
        <v>525</v>
      </c>
      <c r="AM177" s="756" t="s">
        <v>1622</v>
      </c>
    </row>
    <row r="178" spans="1:39">
      <c r="A178" s="757">
        <v>169</v>
      </c>
      <c r="B178" s="778" t="s">
        <v>526</v>
      </c>
      <c r="C178" s="830"/>
      <c r="D178" s="779"/>
      <c r="E178" s="312"/>
      <c r="F178" s="313">
        <f>INDEX($M$10:$AM$217,$A$10+(_typ1-1)*14,1)</f>
        <v>0</v>
      </c>
      <c r="G178" s="780"/>
      <c r="H178" s="781"/>
      <c r="J178" s="782">
        <f>INDEX(Standardwerte!$Y$6:$Z$43,$C177,2)</f>
        <v>1</v>
      </c>
      <c r="K178" s="783">
        <f>INDEX(Standardwerte!$Y$6:$Z$43,$C177,1)</f>
        <v>0</v>
      </c>
      <c r="M178" s="315">
        <f>Produzione!$G$8</f>
        <v>0</v>
      </c>
      <c r="N178" s="764"/>
      <c r="O178" s="852"/>
      <c r="P178" s="756"/>
      <c r="Q178" s="756"/>
      <c r="R178" s="756"/>
      <c r="S178" s="759"/>
      <c r="T178" s="315">
        <f>Produzione!$G$22</f>
        <v>0</v>
      </c>
      <c r="U178" s="764"/>
      <c r="V178" s="764"/>
      <c r="W178" s="756"/>
      <c r="X178" s="756"/>
      <c r="Y178" s="756"/>
      <c r="Z178" s="759"/>
      <c r="AA178" s="315">
        <f>Produzione!$G$36</f>
        <v>0</v>
      </c>
      <c r="AB178" s="764"/>
      <c r="AC178" s="764"/>
      <c r="AD178" s="756"/>
      <c r="AE178" s="756"/>
      <c r="AF178" s="756"/>
      <c r="AG178" s="759"/>
      <c r="AH178" s="315">
        <f>Produzione!$G$50</f>
        <v>0</v>
      </c>
      <c r="AI178" s="764"/>
      <c r="AJ178" s="764"/>
      <c r="AK178" s="756"/>
      <c r="AL178" s="756"/>
      <c r="AM178" s="756"/>
    </row>
    <row r="179" spans="1:39">
      <c r="A179" s="757">
        <v>170</v>
      </c>
      <c r="B179" s="784" t="s">
        <v>1193</v>
      </c>
      <c r="C179" s="831" t="s">
        <v>584</v>
      </c>
      <c r="E179" s="786"/>
      <c r="F179" s="809">
        <f>INDEX(Standardwerte!$W$6:$W$43,$C177,1)</f>
        <v>100</v>
      </c>
      <c r="G179" s="787"/>
      <c r="H179" s="788"/>
      <c r="J179" s="782"/>
      <c r="K179" s="783"/>
      <c r="M179" s="315">
        <f>Produzione!$G$10</f>
        <v>0</v>
      </c>
      <c r="N179" s="764"/>
      <c r="O179" s="861">
        <f>F179</f>
        <v>100</v>
      </c>
      <c r="P179" s="756"/>
      <c r="Q179" s="756"/>
      <c r="R179" s="756"/>
      <c r="S179" s="759"/>
      <c r="T179" s="315">
        <f>Produzione!$G$24</f>
        <v>0</v>
      </c>
      <c r="U179" s="764"/>
      <c r="V179" s="28">
        <f>F179</f>
        <v>100</v>
      </c>
      <c r="W179" s="756"/>
      <c r="X179" s="756"/>
      <c r="Y179" s="756"/>
      <c r="Z179" s="759"/>
      <c r="AA179" s="315">
        <f>Produzione!$G$38</f>
        <v>0</v>
      </c>
      <c r="AB179" s="764"/>
      <c r="AC179" s="28">
        <f>F179</f>
        <v>100</v>
      </c>
      <c r="AD179" s="756"/>
      <c r="AE179" s="756"/>
      <c r="AF179" s="756"/>
      <c r="AG179" s="759"/>
      <c r="AH179" s="315">
        <f>Produzione!$G$52</f>
        <v>0</v>
      </c>
      <c r="AI179" s="764"/>
      <c r="AJ179" s="28">
        <f>F179</f>
        <v>100</v>
      </c>
      <c r="AK179" s="756"/>
      <c r="AL179" s="756"/>
      <c r="AM179" s="756"/>
    </row>
    <row r="180" spans="1:39">
      <c r="A180" s="757">
        <v>171</v>
      </c>
      <c r="B180" s="1346" t="s">
        <v>1194</v>
      </c>
      <c r="C180" s="831" t="s">
        <v>584</v>
      </c>
      <c r="D180" s="786"/>
      <c r="E180" s="786"/>
      <c r="F180" s="1344"/>
      <c r="G180" s="792"/>
      <c r="H180" s="793"/>
      <c r="J180" s="782"/>
      <c r="K180" s="783"/>
      <c r="L180" s="770">
        <v>1</v>
      </c>
      <c r="M180" s="756"/>
      <c r="N180" s="766"/>
      <c r="O180" s="854"/>
      <c r="P180" s="756"/>
      <c r="Q180" s="756"/>
      <c r="R180" s="756"/>
      <c r="S180" s="759"/>
      <c r="T180" s="756"/>
      <c r="U180" s="766"/>
      <c r="V180" s="767"/>
      <c r="W180" s="756"/>
      <c r="X180" s="756"/>
      <c r="Y180" s="756"/>
      <c r="Z180" s="759"/>
      <c r="AA180" s="756"/>
      <c r="AB180" s="766"/>
      <c r="AC180" s="767"/>
      <c r="AD180" s="756"/>
      <c r="AE180" s="756"/>
      <c r="AF180" s="756"/>
      <c r="AG180" s="759"/>
      <c r="AH180" s="756"/>
      <c r="AI180" s="766"/>
      <c r="AJ180" s="767"/>
      <c r="AK180" s="756"/>
      <c r="AL180" s="756"/>
      <c r="AM180" s="756"/>
    </row>
    <row r="181" spans="1:39">
      <c r="A181" s="757">
        <v>172</v>
      </c>
      <c r="B181" s="789" t="s">
        <v>527</v>
      </c>
      <c r="C181" s="790" t="s">
        <v>584</v>
      </c>
      <c r="D181" s="786"/>
      <c r="E181" s="786"/>
      <c r="F181" s="791"/>
      <c r="G181" s="303"/>
      <c r="H181" s="316"/>
      <c r="J181" s="782"/>
      <c r="K181" s="783"/>
      <c r="M181" s="756"/>
      <c r="N181" s="321"/>
      <c r="O181" s="855" t="str">
        <f>IF(M179&lt;&gt;0,M179,IF(Produzione!$E$10&lt;&gt;"",Produzione!$E$10,Produzione!$G$9))</f>
        <v/>
      </c>
      <c r="P181" s="756"/>
      <c r="Q181" s="756"/>
      <c r="R181" s="756"/>
      <c r="S181" s="759"/>
      <c r="T181" s="756"/>
      <c r="U181" s="321"/>
      <c r="V181" s="322" t="str">
        <f>IF(T179&lt;&gt;0,T179,IF(Produzione!$E$24&lt;&gt;"",Produzione!$E$24,Produzione!$G$23))</f>
        <v/>
      </c>
      <c r="W181" s="756"/>
      <c r="X181" s="756"/>
      <c r="Y181" s="756"/>
      <c r="Z181" s="759"/>
      <c r="AA181" s="756"/>
      <c r="AB181" s="321"/>
      <c r="AC181" s="322" t="str">
        <f>IF(AA179&lt;&gt;0,AA179,IF(Produzione!$E$38&lt;&gt;"",Produzione!$E$38,Produzione!$G$37))</f>
        <v/>
      </c>
      <c r="AD181" s="756"/>
      <c r="AE181" s="756"/>
      <c r="AF181" s="756"/>
      <c r="AG181" s="759"/>
      <c r="AH181" s="756"/>
      <c r="AI181" s="321"/>
      <c r="AJ181" s="322" t="str">
        <f>IF(AH179&lt;&gt;0,AH179,IF(Produzione!$E$52&lt;&gt;"",Produzione!$E$52,Produzione!$G$51))</f>
        <v/>
      </c>
      <c r="AK181" s="756"/>
      <c r="AL181" s="756"/>
      <c r="AM181" s="756"/>
    </row>
    <row r="182" spans="1:39">
      <c r="A182" s="757">
        <v>173</v>
      </c>
      <c r="B182" s="789"/>
      <c r="C182" s="790"/>
      <c r="D182" s="787"/>
      <c r="E182" s="795"/>
      <c r="F182" s="1344"/>
      <c r="G182" s="796"/>
      <c r="H182" s="797"/>
      <c r="J182" s="782"/>
      <c r="K182" s="783"/>
      <c r="M182" s="315">
        <f>Produzione!$G$12</f>
        <v>0</v>
      </c>
      <c r="N182" s="758"/>
      <c r="O182" s="854"/>
      <c r="P182" s="756"/>
      <c r="Q182" s="756"/>
      <c r="R182" s="756"/>
      <c r="S182" s="759"/>
      <c r="T182" s="315">
        <f>Produzione!$G$26</f>
        <v>0</v>
      </c>
      <c r="U182" s="758"/>
      <c r="V182" s="758"/>
      <c r="W182" s="756"/>
      <c r="X182" s="756"/>
      <c r="Y182" s="756"/>
      <c r="Z182" s="759"/>
      <c r="AA182" s="315">
        <f>Produzione!$G$40</f>
        <v>0</v>
      </c>
      <c r="AB182" s="758"/>
      <c r="AC182" s="758"/>
      <c r="AD182" s="756"/>
      <c r="AE182" s="756"/>
      <c r="AF182" s="756"/>
      <c r="AG182" s="759"/>
      <c r="AH182" s="315">
        <f>Produzione!$G$54</f>
        <v>0</v>
      </c>
      <c r="AI182" s="758"/>
      <c r="AJ182" s="758"/>
      <c r="AK182" s="756"/>
      <c r="AL182" s="756"/>
      <c r="AM182" s="756"/>
    </row>
    <row r="183" spans="1:39">
      <c r="A183" s="757">
        <v>174</v>
      </c>
      <c r="B183" s="789"/>
      <c r="C183" s="790"/>
      <c r="D183" s="796"/>
      <c r="E183" s="795"/>
      <c r="F183" s="1344"/>
      <c r="G183" s="787"/>
      <c r="H183" s="798"/>
      <c r="J183" s="782"/>
      <c r="K183" s="783"/>
      <c r="M183" s="315">
        <f>Produzione!$G$13</f>
        <v>0</v>
      </c>
      <c r="N183" s="764"/>
      <c r="O183" s="852"/>
      <c r="P183" s="756"/>
      <c r="Q183" s="756"/>
      <c r="R183" s="756"/>
      <c r="S183" s="759"/>
      <c r="T183" s="315">
        <f>Produzione!$G$27</f>
        <v>0</v>
      </c>
      <c r="U183" s="764"/>
      <c r="V183" s="768"/>
      <c r="W183" s="756"/>
      <c r="X183" s="756"/>
      <c r="Y183" s="756"/>
      <c r="Z183" s="759"/>
      <c r="AA183" s="315">
        <f>Produzione!$G$41</f>
        <v>0</v>
      </c>
      <c r="AB183" s="764"/>
      <c r="AC183" s="768"/>
      <c r="AD183" s="756"/>
      <c r="AE183" s="756"/>
      <c r="AF183" s="756"/>
      <c r="AG183" s="759"/>
      <c r="AH183" s="315">
        <f>Produzione!$G$55</f>
        <v>0</v>
      </c>
      <c r="AI183" s="764"/>
      <c r="AJ183" s="768"/>
      <c r="AK183" s="756"/>
      <c r="AL183" s="756"/>
      <c r="AM183" s="756"/>
    </row>
    <row r="184" spans="1:39">
      <c r="A184" s="757">
        <v>175</v>
      </c>
      <c r="B184" s="799" t="str">
        <f>IF(J178=1,"Temperatura di mandata riscaldamento","")</f>
        <v>Temperatura di mandata riscaldamento</v>
      </c>
      <c r="C184" s="831" t="str">
        <f>IF(J178=1,"°C","")</f>
        <v>°C</v>
      </c>
      <c r="D184" s="786"/>
      <c r="E184" s="786"/>
      <c r="F184" s="1344"/>
      <c r="G184" s="787"/>
      <c r="H184" s="800"/>
      <c r="J184" s="782"/>
      <c r="K184" s="783"/>
      <c r="L184" s="770">
        <v>2</v>
      </c>
      <c r="M184" s="315">
        <f>Produzione!$G$14</f>
        <v>0</v>
      </c>
      <c r="N184" s="764"/>
      <c r="O184" s="852"/>
      <c r="P184" s="756"/>
      <c r="Q184" s="756"/>
      <c r="R184" s="756"/>
      <c r="S184" s="759"/>
      <c r="T184" s="315">
        <f>Produzione!$G$28</f>
        <v>0</v>
      </c>
      <c r="U184" s="764"/>
      <c r="V184" s="764"/>
      <c r="W184" s="756"/>
      <c r="X184" s="756"/>
      <c r="Y184" s="756"/>
      <c r="Z184" s="759"/>
      <c r="AA184" s="315">
        <f>Produzione!$G$42</f>
        <v>0</v>
      </c>
      <c r="AB184" s="764"/>
      <c r="AC184" s="764"/>
      <c r="AD184" s="756"/>
      <c r="AE184" s="756"/>
      <c r="AF184" s="756"/>
      <c r="AG184" s="759"/>
      <c r="AH184" s="315">
        <f>Produzione!$G$56</f>
        <v>0</v>
      </c>
      <c r="AI184" s="764"/>
      <c r="AJ184" s="764"/>
      <c r="AK184" s="756"/>
      <c r="AL184" s="756"/>
      <c r="AM184" s="756"/>
    </row>
    <row r="185" spans="1:39">
      <c r="A185" s="757">
        <v>176</v>
      </c>
      <c r="B185" s="799" t="str">
        <f>IF(AND(Warmwasser,K178=1),"Temperatura acqua calda sanitaria","")</f>
        <v/>
      </c>
      <c r="C185" s="831" t="str">
        <f>IF(AND(Warmwasser,K178=1),"°C","")</f>
        <v/>
      </c>
      <c r="D185" s="786"/>
      <c r="E185" s="786"/>
      <c r="F185" s="1344"/>
      <c r="G185" s="796"/>
      <c r="H185" s="788"/>
      <c r="J185" s="782"/>
      <c r="K185" s="783"/>
      <c r="M185" s="315">
        <f>Produzione!$G$15</f>
        <v>0</v>
      </c>
      <c r="N185" s="758"/>
      <c r="O185" s="853"/>
      <c r="P185" s="756"/>
      <c r="Q185" s="756"/>
      <c r="R185" s="756" t="str">
        <f>IF(AND($K178=0,R188&lt;&gt;0),"Riscald. ausgewählt",IF(AND($J178=0,Q174&gt;0),"Acqua calda ausgewählt",""))</f>
        <v/>
      </c>
      <c r="S185" s="759"/>
      <c r="T185" s="315">
        <f>Produzione!$G$29</f>
        <v>0</v>
      </c>
      <c r="U185" s="758"/>
      <c r="V185" s="765"/>
      <c r="W185" s="756"/>
      <c r="X185" s="756"/>
      <c r="Y185" s="756" t="str">
        <f>IF(AND($K178=0,Y188&lt;&gt;0),"Riscald. ausgewählt",IF(AND($J178=0,X174&gt;0),"Acqua calda ausgewählt",""))</f>
        <v/>
      </c>
      <c r="Z185" s="759"/>
      <c r="AA185" s="315">
        <f>Produzione!$G$43</f>
        <v>0</v>
      </c>
      <c r="AB185" s="758"/>
      <c r="AC185" s="765"/>
      <c r="AD185" s="756"/>
      <c r="AE185" s="756"/>
      <c r="AF185" s="756" t="str">
        <f>IF(AND($K178=0,AF188&lt;&gt;0),"Riscald. ausgewählt",IF(AND($J178=0,AE174&gt;0),"Acqua calda ausgewählt",""))</f>
        <v/>
      </c>
      <c r="AG185" s="759"/>
      <c r="AH185" s="315">
        <f>Produzione!$G$57</f>
        <v>0</v>
      </c>
      <c r="AI185" s="758"/>
      <c r="AJ185" s="765"/>
      <c r="AK185" s="756"/>
      <c r="AL185" s="756"/>
      <c r="AM185" s="756" t="str">
        <f>IF(AND($K178=0,AM188&lt;&gt;0),"Riscald. ausgewählt",IF(AND($J178=0,AL174&gt;0),"Acqua calda ausgewählt",""))</f>
        <v/>
      </c>
    </row>
    <row r="186" spans="1:39">
      <c r="A186" s="757">
        <v>177</v>
      </c>
      <c r="B186" s="799" t="s">
        <v>1374</v>
      </c>
      <c r="C186" s="813" t="s">
        <v>410</v>
      </c>
      <c r="D186" s="795"/>
      <c r="E186" s="795"/>
      <c r="F186" s="791"/>
      <c r="G186" s="303"/>
      <c r="H186" s="317"/>
      <c r="J186" s="801"/>
      <c r="K186" s="802"/>
      <c r="M186" s="756"/>
      <c r="N186" s="321"/>
      <c r="O186" s="843">
        <f>IF(O181&lt;&gt;"",(Q186/100*qh/3.6+R186/100*qw)/(O181/100),)</f>
        <v>0</v>
      </c>
      <c r="P186" s="756"/>
      <c r="Q186" s="756">
        <f>IF(Q187&lt;&gt;0,Q187,Q188)*J178</f>
        <v>0</v>
      </c>
      <c r="R186" s="756">
        <f>IF(R187&lt;&gt;0,R187,R188)*K178</f>
        <v>0</v>
      </c>
      <c r="S186" s="759"/>
      <c r="T186" s="756"/>
      <c r="U186" s="321"/>
      <c r="V186" s="323">
        <f>IF(V181&lt;&gt;"",(X186/100*qh/3.6+Y186/100*qw)/(V181/100),)</f>
        <v>0</v>
      </c>
      <c r="W186" s="756"/>
      <c r="X186" s="756">
        <f>IF(X187&lt;&gt;0,X187,X188)*J178</f>
        <v>0</v>
      </c>
      <c r="Y186" s="756">
        <f>IF(Y187&lt;&gt;0,Y187,Y188)*K178</f>
        <v>0</v>
      </c>
      <c r="Z186" s="759"/>
      <c r="AA186" s="756"/>
      <c r="AB186" s="321"/>
      <c r="AC186" s="323">
        <f>IF(AC181&lt;&gt;"",(AE186/100*qh/3.6+AF186/100*qw)/(AC181/100),)</f>
        <v>0</v>
      </c>
      <c r="AD186" s="756"/>
      <c r="AE186" s="756">
        <f>IF(AE187&lt;&gt;0,AE187,AE188)*J178</f>
        <v>0</v>
      </c>
      <c r="AF186" s="756">
        <f>IF(AF187&lt;&gt;0,AF187,AF188)*K178</f>
        <v>0</v>
      </c>
      <c r="AG186" s="759"/>
      <c r="AH186" s="756"/>
      <c r="AI186" s="321"/>
      <c r="AJ186" s="323">
        <f>IF(AJ181&lt;&gt;"",(AL186/100*qh/3.6+AM186/100*qw)/(AJ181/100),)</f>
        <v>0</v>
      </c>
      <c r="AK186" s="756"/>
      <c r="AL186" s="756">
        <f>IF(AL187&lt;&gt;0,AL187,AL188)*J178</f>
        <v>0</v>
      </c>
      <c r="AM186" s="756">
        <f>IF(AM187&lt;&gt;0,AM187,AM188)*K178</f>
        <v>0</v>
      </c>
    </row>
    <row r="187" spans="1:39">
      <c r="A187" s="757">
        <v>178</v>
      </c>
      <c r="B187" s="789" t="s">
        <v>652</v>
      </c>
      <c r="C187" s="813" t="s">
        <v>410</v>
      </c>
      <c r="D187" s="795"/>
      <c r="E187" s="786"/>
      <c r="F187" s="792"/>
      <c r="G187" s="303"/>
      <c r="H187" s="318"/>
      <c r="J187" s="803"/>
      <c r="K187" s="804"/>
      <c r="M187" s="758"/>
      <c r="N187" s="321"/>
      <c r="O187" s="843">
        <f>(Q186/100*qh/3.6+R186/100*qw)</f>
        <v>0</v>
      </c>
      <c r="P187" s="756"/>
      <c r="Q187" s="756"/>
      <c r="R187" s="756"/>
      <c r="S187" s="759"/>
      <c r="T187" s="756"/>
      <c r="U187" s="321"/>
      <c r="V187" s="324">
        <f>(X186/100*qh/3.6+Y186/100*qw)</f>
        <v>0</v>
      </c>
      <c r="W187" s="756"/>
      <c r="X187" s="756"/>
      <c r="Y187" s="756"/>
      <c r="Z187" s="759"/>
      <c r="AA187" s="758"/>
      <c r="AB187" s="321"/>
      <c r="AC187" s="324">
        <f>(AE186/100*qh/3.6+AF186/100*qw)</f>
        <v>0</v>
      </c>
      <c r="AD187" s="756"/>
      <c r="AE187" s="756"/>
      <c r="AF187" s="756"/>
      <c r="AG187" s="759"/>
      <c r="AH187" s="758"/>
      <c r="AI187" s="321"/>
      <c r="AJ187" s="324">
        <f>(AL186/100*qh/3.6+AM186/100*qw)</f>
        <v>0</v>
      </c>
      <c r="AK187" s="756"/>
      <c r="AL187" s="756"/>
      <c r="AM187" s="756"/>
    </row>
    <row r="188" spans="1:39">
      <c r="A188" s="757">
        <v>179</v>
      </c>
      <c r="B188" s="805"/>
      <c r="C188" s="836"/>
      <c r="D188" s="806"/>
      <c r="E188" s="806"/>
      <c r="F188" s="774"/>
      <c r="G188" s="319"/>
      <c r="H188" s="320"/>
      <c r="J188" s="807"/>
      <c r="K188" s="808"/>
      <c r="M188" s="756"/>
      <c r="N188" s="325"/>
      <c r="O188" s="844"/>
      <c r="P188" s="756"/>
      <c r="Q188" s="315">
        <f>Produzione!$K$18</f>
        <v>0</v>
      </c>
      <c r="R188" s="315">
        <f>Produzione!$L$18</f>
        <v>0</v>
      </c>
      <c r="S188" s="759"/>
      <c r="T188" s="756"/>
      <c r="U188" s="325"/>
      <c r="V188" s="325"/>
      <c r="W188" s="756"/>
      <c r="X188" s="315">
        <f>Produzione!$K$32</f>
        <v>0</v>
      </c>
      <c r="Y188" s="315">
        <f>Produzione!$L$32</f>
        <v>0</v>
      </c>
      <c r="Z188" s="759"/>
      <c r="AA188" s="756"/>
      <c r="AB188" s="325"/>
      <c r="AC188" s="325"/>
      <c r="AD188" s="756"/>
      <c r="AE188" s="315">
        <f>Produzione!$K$46</f>
        <v>0</v>
      </c>
      <c r="AF188" s="315">
        <f>Produzione!$L$46</f>
        <v>0</v>
      </c>
      <c r="AG188" s="759"/>
      <c r="AH188" s="756"/>
      <c r="AI188" s="325"/>
      <c r="AJ188" s="325"/>
      <c r="AK188" s="756"/>
      <c r="AL188" s="315">
        <f>Produzione!$K$60</f>
        <v>0</v>
      </c>
      <c r="AM188" s="315">
        <f>Produzione!$L$60</f>
        <v>0</v>
      </c>
    </row>
    <row r="189" spans="1:39">
      <c r="A189" s="757">
        <v>180</v>
      </c>
      <c r="B189" s="759"/>
      <c r="C189" s="833"/>
      <c r="D189" s="759"/>
      <c r="E189" s="759"/>
      <c r="F189" s="817"/>
      <c r="G189" s="759"/>
      <c r="H189" s="759"/>
      <c r="I189" s="759"/>
      <c r="J189" s="759"/>
      <c r="M189" s="759"/>
      <c r="N189" s="759"/>
      <c r="O189" s="862"/>
      <c r="P189" s="759"/>
      <c r="Q189" s="761" t="str">
        <f>IF(Q187&lt;&gt;0,IF(Q188&lt;&gt;0,"Doppelte Eingabe",""),IF(R187&lt;&gt;0,IF(R188&lt;&gt;0,"Doppelte Eingabe",""),""))</f>
        <v/>
      </c>
      <c r="R189" s="759"/>
      <c r="S189" s="759"/>
      <c r="T189" s="759"/>
      <c r="U189" s="759"/>
      <c r="V189" s="759"/>
      <c r="W189" s="759"/>
      <c r="X189" s="761" t="str">
        <f>IF(X187&lt;&gt;0,IF(X188&lt;&gt;0,"Doppelte Eingabe",""),IF(Y187&lt;&gt;0,IF(Y188&lt;&gt;0,"Doppelte Eingabe",""),""))</f>
        <v/>
      </c>
      <c r="Y189" s="759"/>
      <c r="Z189" s="759"/>
      <c r="AE189" s="761" t="str">
        <f>IF(AE187&lt;&gt;0,IF(AE188&lt;&gt;0,"Doppelte Eingabe",""),IF(AF187&lt;&gt;0,IF(AF188&lt;&gt;0,"Doppelte Eingabe",""),""))</f>
        <v/>
      </c>
      <c r="AG189" s="759"/>
      <c r="AL189" s="761" t="str">
        <f>IF(AL187&lt;&gt;0,IF(AL188&lt;&gt;0,"Doppelte Eingabe",""),IF(AM187&lt;&gt;0,IF(AM188&lt;&gt;0,"Doppelte Eingabe",""),""))</f>
        <v/>
      </c>
    </row>
    <row r="190" spans="1:39">
      <c r="A190" s="757">
        <v>181</v>
      </c>
      <c r="B190" s="755"/>
      <c r="C190" s="834"/>
      <c r="D190" s="762"/>
      <c r="E190" s="762"/>
      <c r="G190" s="762"/>
      <c r="H190" s="818"/>
      <c r="J190" s="762" t="s">
        <v>1620</v>
      </c>
      <c r="N190" s="762"/>
      <c r="O190" s="860"/>
      <c r="P190" s="759"/>
      <c r="Q190" s="762" t="s">
        <v>1620</v>
      </c>
      <c r="R190" s="759"/>
      <c r="S190" s="759"/>
      <c r="T190" s="759"/>
      <c r="U190" s="762"/>
      <c r="V190" s="769"/>
      <c r="W190" s="759"/>
      <c r="X190" s="762" t="s">
        <v>1620</v>
      </c>
      <c r="Y190" s="759"/>
      <c r="Z190" s="759"/>
      <c r="AA190" s="759"/>
      <c r="AB190" s="762"/>
      <c r="AC190" s="769"/>
      <c r="AD190" s="759"/>
      <c r="AE190" s="762" t="s">
        <v>1620</v>
      </c>
      <c r="AF190" s="759"/>
      <c r="AG190" s="759"/>
      <c r="AH190" s="759"/>
      <c r="AI190" s="762"/>
      <c r="AJ190" s="769"/>
      <c r="AK190" s="759"/>
      <c r="AL190" s="762" t="s">
        <v>1620</v>
      </c>
      <c r="AM190" s="759"/>
    </row>
    <row r="191" spans="1:39">
      <c r="A191" s="757">
        <v>182</v>
      </c>
      <c r="B191" s="772" t="str">
        <f>INDEX(Standardwerte!$V$6:$V$43,Rechnung!$C191,1)</f>
        <v>Scaldaacqua elettrico</v>
      </c>
      <c r="C191" s="835">
        <v>14</v>
      </c>
      <c r="D191" s="819"/>
      <c r="E191" s="820"/>
      <c r="F191" s="821"/>
      <c r="G191" s="819"/>
      <c r="H191" s="822"/>
      <c r="J191" s="760" t="s">
        <v>525</v>
      </c>
      <c r="K191" s="756" t="s">
        <v>1622</v>
      </c>
      <c r="M191" s="756"/>
      <c r="N191" s="760"/>
      <c r="O191" s="852"/>
      <c r="P191" s="756"/>
      <c r="Q191" s="760" t="s">
        <v>525</v>
      </c>
      <c r="R191" s="756" t="s">
        <v>1622</v>
      </c>
      <c r="S191" s="759"/>
      <c r="T191" s="756"/>
      <c r="U191" s="760"/>
      <c r="V191" s="764"/>
      <c r="W191" s="756"/>
      <c r="X191" s="760" t="s">
        <v>525</v>
      </c>
      <c r="Y191" s="756" t="s">
        <v>1622</v>
      </c>
      <c r="Z191" s="759"/>
      <c r="AA191" s="756"/>
      <c r="AB191" s="760"/>
      <c r="AC191" s="764"/>
      <c r="AD191" s="756"/>
      <c r="AE191" s="760" t="s">
        <v>525</v>
      </c>
      <c r="AF191" s="756" t="s">
        <v>1622</v>
      </c>
      <c r="AG191" s="759"/>
      <c r="AH191" s="756"/>
      <c r="AI191" s="760"/>
      <c r="AJ191" s="764"/>
      <c r="AK191" s="756"/>
      <c r="AL191" s="760" t="s">
        <v>525</v>
      </c>
      <c r="AM191" s="756" t="s">
        <v>1622</v>
      </c>
    </row>
    <row r="192" spans="1:39">
      <c r="A192" s="757">
        <v>183</v>
      </c>
      <c r="B192" s="778" t="s">
        <v>526</v>
      </c>
      <c r="C192" s="830"/>
      <c r="D192" s="779"/>
      <c r="E192" s="312"/>
      <c r="F192" s="313">
        <f>INDEX($M$10:$AM$162,$A$10+(_typ1-1)*14,1)</f>
        <v>0</v>
      </c>
      <c r="G192" s="780"/>
      <c r="H192" s="781"/>
      <c r="J192" s="782">
        <f>INDEX(Standardwerte!$Y$6:$Z$43,$C191,2)</f>
        <v>0</v>
      </c>
      <c r="K192" s="783">
        <f>INDEX(Standardwerte!$Y$6:$Z$43,$C191,1)</f>
        <v>1</v>
      </c>
      <c r="M192" s="315">
        <f>Produzione!$G$8</f>
        <v>0</v>
      </c>
      <c r="N192" s="764"/>
      <c r="O192" s="852"/>
      <c r="P192" s="756"/>
      <c r="Q192" s="756"/>
      <c r="R192" s="756"/>
      <c r="S192" s="759"/>
      <c r="T192" s="315">
        <f>Produzione!$G$22</f>
        <v>0</v>
      </c>
      <c r="U192" s="764"/>
      <c r="V192" s="764"/>
      <c r="W192" s="756"/>
      <c r="X192" s="756"/>
      <c r="Y192" s="756"/>
      <c r="Z192" s="759"/>
      <c r="AA192" s="315">
        <f>Produzione!$G$36</f>
        <v>0</v>
      </c>
      <c r="AB192" s="764"/>
      <c r="AC192" s="764"/>
      <c r="AD192" s="756"/>
      <c r="AE192" s="756"/>
      <c r="AF192" s="756"/>
      <c r="AG192" s="759"/>
      <c r="AH192" s="315">
        <f>Produzione!$G$50</f>
        <v>0</v>
      </c>
      <c r="AI192" s="764"/>
      <c r="AJ192" s="764"/>
      <c r="AK192" s="756"/>
      <c r="AL192" s="756"/>
      <c r="AM192" s="756"/>
    </row>
    <row r="193" spans="1:39">
      <c r="A193" s="757">
        <v>184</v>
      </c>
      <c r="B193" s="784" t="s">
        <v>1193</v>
      </c>
      <c r="C193" s="831" t="s">
        <v>584</v>
      </c>
      <c r="E193" s="786"/>
      <c r="F193" s="809">
        <f>INDEX(Standardwerte!$W$6:$W$43,$C191,1)</f>
        <v>90</v>
      </c>
      <c r="G193" s="787"/>
      <c r="H193" s="788"/>
      <c r="J193" s="782"/>
      <c r="K193" s="783"/>
      <c r="M193" s="315">
        <f>Produzione!$G$10</f>
        <v>0</v>
      </c>
      <c r="N193" s="764"/>
      <c r="O193" s="861">
        <f>F193</f>
        <v>90</v>
      </c>
      <c r="P193" s="756"/>
      <c r="Q193" s="756"/>
      <c r="R193" s="756"/>
      <c r="S193" s="759"/>
      <c r="T193" s="315">
        <f>Produzione!$G$24</f>
        <v>0</v>
      </c>
      <c r="U193" s="764"/>
      <c r="V193" s="28">
        <f>F193</f>
        <v>90</v>
      </c>
      <c r="W193" s="756"/>
      <c r="X193" s="756"/>
      <c r="Y193" s="756"/>
      <c r="Z193" s="759"/>
      <c r="AA193" s="315">
        <f>Produzione!$G$38</f>
        <v>0</v>
      </c>
      <c r="AB193" s="764"/>
      <c r="AC193" s="28">
        <f>F193</f>
        <v>90</v>
      </c>
      <c r="AD193" s="756"/>
      <c r="AE193" s="756"/>
      <c r="AF193" s="756"/>
      <c r="AG193" s="759"/>
      <c r="AH193" s="315">
        <f>Produzione!$G$52</f>
        <v>0</v>
      </c>
      <c r="AI193" s="764"/>
      <c r="AJ193" s="28">
        <f>F193</f>
        <v>90</v>
      </c>
      <c r="AK193" s="756"/>
      <c r="AL193" s="756"/>
      <c r="AM193" s="756"/>
    </row>
    <row r="194" spans="1:39">
      <c r="A194" s="757">
        <v>185</v>
      </c>
      <c r="B194" s="1346" t="s">
        <v>1194</v>
      </c>
      <c r="C194" s="831" t="s">
        <v>584</v>
      </c>
      <c r="D194" s="786"/>
      <c r="E194" s="786"/>
      <c r="F194" s="1344"/>
      <c r="G194" s="792"/>
      <c r="H194" s="793"/>
      <c r="J194" s="782"/>
      <c r="K194" s="783"/>
      <c r="L194" s="770">
        <v>1</v>
      </c>
      <c r="M194" s="756"/>
      <c r="N194" s="766"/>
      <c r="O194" s="854"/>
      <c r="P194" s="756"/>
      <c r="Q194" s="756"/>
      <c r="R194" s="756"/>
      <c r="S194" s="759"/>
      <c r="T194" s="756"/>
      <c r="U194" s="766"/>
      <c r="V194" s="767"/>
      <c r="W194" s="756"/>
      <c r="X194" s="756"/>
      <c r="Y194" s="756"/>
      <c r="Z194" s="759"/>
      <c r="AA194" s="756"/>
      <c r="AB194" s="766"/>
      <c r="AC194" s="767"/>
      <c r="AD194" s="756"/>
      <c r="AE194" s="756"/>
      <c r="AF194" s="756"/>
      <c r="AG194" s="759"/>
      <c r="AH194" s="756"/>
      <c r="AI194" s="766"/>
      <c r="AJ194" s="767"/>
      <c r="AK194" s="756"/>
      <c r="AL194" s="756"/>
      <c r="AM194" s="756"/>
    </row>
    <row r="195" spans="1:39">
      <c r="A195" s="757">
        <v>186</v>
      </c>
      <c r="B195" s="789" t="s">
        <v>527</v>
      </c>
      <c r="C195" s="790" t="s">
        <v>584</v>
      </c>
      <c r="D195" s="786"/>
      <c r="E195" s="786"/>
      <c r="F195" s="791"/>
      <c r="G195" s="303"/>
      <c r="H195" s="316"/>
      <c r="J195" s="782"/>
      <c r="K195" s="783"/>
      <c r="M195" s="756"/>
      <c r="N195" s="321"/>
      <c r="O195" s="855" t="str">
        <f>IF(M193&lt;&gt;0,M193,IF(Produzione!$E$10&lt;&gt;"",Produzione!$E$10,Produzione!$G$9))</f>
        <v/>
      </c>
      <c r="P195" s="756"/>
      <c r="Q195" s="756"/>
      <c r="R195" s="756"/>
      <c r="S195" s="759"/>
      <c r="T195" s="756"/>
      <c r="U195" s="321"/>
      <c r="V195" s="322" t="str">
        <f>IF(T193&lt;&gt;0,T193,IF(Produzione!$E$24&lt;&gt;"",Produzione!$E$24,Produzione!$G$23))</f>
        <v/>
      </c>
      <c r="W195" s="756"/>
      <c r="X195" s="756"/>
      <c r="Y195" s="756"/>
      <c r="Z195" s="759"/>
      <c r="AA195" s="756"/>
      <c r="AB195" s="321"/>
      <c r="AC195" s="322" t="str">
        <f>IF(AA193&lt;&gt;0,AA193,IF(Produzione!$E$38&lt;&gt;"",Produzione!$E$38,Produzione!$G$37))</f>
        <v/>
      </c>
      <c r="AD195" s="756"/>
      <c r="AE195" s="756"/>
      <c r="AF195" s="756"/>
      <c r="AG195" s="759"/>
      <c r="AH195" s="756"/>
      <c r="AI195" s="321"/>
      <c r="AJ195" s="322" t="str">
        <f>IF(AH193&lt;&gt;0,AH193,IF(Produzione!$E$52&lt;&gt;"",Produzione!$E$52,Produzione!$G$51))</f>
        <v/>
      </c>
      <c r="AK195" s="756"/>
      <c r="AL195" s="756"/>
      <c r="AM195" s="756"/>
    </row>
    <row r="196" spans="1:39">
      <c r="A196" s="757">
        <v>187</v>
      </c>
      <c r="B196" s="789"/>
      <c r="C196" s="790"/>
      <c r="D196" s="787"/>
      <c r="E196" s="795"/>
      <c r="F196" s="1344"/>
      <c r="G196" s="796"/>
      <c r="H196" s="797"/>
      <c r="J196" s="782"/>
      <c r="K196" s="783"/>
      <c r="M196" s="315">
        <f>Produzione!$G$12</f>
        <v>0</v>
      </c>
      <c r="N196" s="758"/>
      <c r="O196" s="854"/>
      <c r="P196" s="756"/>
      <c r="Q196" s="756"/>
      <c r="R196" s="756"/>
      <c r="S196" s="759"/>
      <c r="T196" s="315">
        <f>Produzione!$G$26</f>
        <v>0</v>
      </c>
      <c r="U196" s="758"/>
      <c r="V196" s="758"/>
      <c r="W196" s="756"/>
      <c r="X196" s="756"/>
      <c r="Y196" s="756"/>
      <c r="Z196" s="759"/>
      <c r="AA196" s="315">
        <f>Produzione!$G$40</f>
        <v>0</v>
      </c>
      <c r="AB196" s="758"/>
      <c r="AC196" s="758"/>
      <c r="AD196" s="756"/>
      <c r="AE196" s="756"/>
      <c r="AF196" s="756"/>
      <c r="AG196" s="759"/>
      <c r="AH196" s="315">
        <f>Produzione!$G$54</f>
        <v>0</v>
      </c>
      <c r="AI196" s="758"/>
      <c r="AJ196" s="758"/>
      <c r="AK196" s="756"/>
      <c r="AL196" s="756"/>
      <c r="AM196" s="756"/>
    </row>
    <row r="197" spans="1:39">
      <c r="A197" s="757">
        <v>188</v>
      </c>
      <c r="B197" s="789"/>
      <c r="C197" s="790"/>
      <c r="D197" s="796"/>
      <c r="E197" s="795"/>
      <c r="F197" s="1344"/>
      <c r="G197" s="787"/>
      <c r="H197" s="798"/>
      <c r="J197" s="782"/>
      <c r="K197" s="783"/>
      <c r="M197" s="315">
        <f>Produzione!$G$13</f>
        <v>0</v>
      </c>
      <c r="N197" s="764"/>
      <c r="O197" s="852"/>
      <c r="P197" s="756"/>
      <c r="Q197" s="756"/>
      <c r="R197" s="756"/>
      <c r="S197" s="759"/>
      <c r="T197" s="315">
        <f>Produzione!$G$27</f>
        <v>0</v>
      </c>
      <c r="U197" s="764"/>
      <c r="V197" s="768"/>
      <c r="W197" s="756"/>
      <c r="X197" s="756"/>
      <c r="Y197" s="756"/>
      <c r="Z197" s="759"/>
      <c r="AA197" s="315">
        <f>Produzione!$G$41</f>
        <v>0</v>
      </c>
      <c r="AB197" s="764"/>
      <c r="AC197" s="768"/>
      <c r="AD197" s="756"/>
      <c r="AE197" s="756"/>
      <c r="AF197" s="756"/>
      <c r="AG197" s="759"/>
      <c r="AH197" s="315">
        <f>Produzione!$G$55</f>
        <v>0</v>
      </c>
      <c r="AI197" s="764"/>
      <c r="AJ197" s="768"/>
      <c r="AK197" s="756"/>
      <c r="AL197" s="756"/>
      <c r="AM197" s="756"/>
    </row>
    <row r="198" spans="1:39">
      <c r="A198" s="757">
        <v>189</v>
      </c>
      <c r="B198" s="799" t="str">
        <f>IF(J192=1,"Temperatura di mandata riscaldamento","")</f>
        <v/>
      </c>
      <c r="C198" s="831" t="str">
        <f>IF(J192=1,"°C","")</f>
        <v/>
      </c>
      <c r="D198" s="786"/>
      <c r="E198" s="786"/>
      <c r="F198" s="1344"/>
      <c r="G198" s="787"/>
      <c r="H198" s="800"/>
      <c r="J198" s="782"/>
      <c r="K198" s="783"/>
      <c r="M198" s="315">
        <f>Produzione!$G$14</f>
        <v>0</v>
      </c>
      <c r="N198" s="764"/>
      <c r="O198" s="852"/>
      <c r="P198" s="756"/>
      <c r="Q198" s="756"/>
      <c r="R198" s="756"/>
      <c r="S198" s="759"/>
      <c r="T198" s="315">
        <f>Produzione!$G$28</f>
        <v>0</v>
      </c>
      <c r="U198" s="764"/>
      <c r="V198" s="764"/>
      <c r="W198" s="756"/>
      <c r="X198" s="756"/>
      <c r="Y198" s="756"/>
      <c r="Z198" s="759"/>
      <c r="AA198" s="315">
        <f>Produzione!$G$42</f>
        <v>0</v>
      </c>
      <c r="AB198" s="764"/>
      <c r="AC198" s="764"/>
      <c r="AD198" s="756"/>
      <c r="AE198" s="756"/>
      <c r="AF198" s="756"/>
      <c r="AG198" s="759"/>
      <c r="AH198" s="315">
        <f>Produzione!$G$56</f>
        <v>0</v>
      </c>
      <c r="AI198" s="764"/>
      <c r="AJ198" s="764"/>
      <c r="AK198" s="756"/>
      <c r="AL198" s="756"/>
      <c r="AM198" s="756"/>
    </row>
    <row r="199" spans="1:39">
      <c r="A199" s="757">
        <v>190</v>
      </c>
      <c r="B199" s="799" t="str">
        <f>IF(AND(Warmwasser,K192=1),"Temperatura acqua calda sanitaria","")</f>
        <v/>
      </c>
      <c r="C199" s="831" t="str">
        <f>IF(AND(Warmwasser,K192=1),"°C","")</f>
        <v/>
      </c>
      <c r="D199" s="786"/>
      <c r="E199" s="786"/>
      <c r="F199" s="1344"/>
      <c r="G199" s="796"/>
      <c r="H199" s="788"/>
      <c r="J199" s="782"/>
      <c r="K199" s="783"/>
      <c r="L199" s="770">
        <v>2</v>
      </c>
      <c r="M199" s="315">
        <f>Produzione!$G$15</f>
        <v>0</v>
      </c>
      <c r="N199" s="758"/>
      <c r="O199" s="853"/>
      <c r="P199" s="756"/>
      <c r="Q199" s="756"/>
      <c r="R199" s="756" t="str">
        <f>IF(AND($K192=0,R202&lt;&gt;0),"scelto riscald.",IF(AND($J192=0,Q188&gt;0),"scelta acqua calda",""))</f>
        <v/>
      </c>
      <c r="S199" s="759"/>
      <c r="T199" s="315">
        <f>Produzione!$G$29</f>
        <v>0</v>
      </c>
      <c r="U199" s="758"/>
      <c r="V199" s="765"/>
      <c r="W199" s="756"/>
      <c r="X199" s="756"/>
      <c r="Y199" s="756" t="str">
        <f>IF(AND($K192=0,Y202&lt;&gt;0),"Riscald. ausgewählt",IF(AND($J192=0,X188&gt;0),"Acqua calda ausgewählt",""))</f>
        <v/>
      </c>
      <c r="Z199" s="759"/>
      <c r="AA199" s="315">
        <f>Produzione!$G$43</f>
        <v>0</v>
      </c>
      <c r="AB199" s="758"/>
      <c r="AC199" s="765"/>
      <c r="AD199" s="756"/>
      <c r="AE199" s="756"/>
      <c r="AF199" s="756" t="str">
        <f>IF(AND($K192=0,AF202&lt;&gt;0),"Riscald. ausgewählt",IF(AND($J192=0,AE188&gt;0),"Acqua calda ausgewählt",""))</f>
        <v/>
      </c>
      <c r="AG199" s="759"/>
      <c r="AH199" s="315">
        <f>Produzione!$G$57</f>
        <v>0</v>
      </c>
      <c r="AI199" s="758"/>
      <c r="AJ199" s="765"/>
      <c r="AK199" s="756"/>
      <c r="AL199" s="756"/>
      <c r="AM199" s="756" t="str">
        <f>IF(AND($K192=0,AM202&lt;&gt;0),"Riscald. ausgewählt",IF(AND($J192=0,AL188&gt;0),"Acqua calda ausgewählt",""))</f>
        <v/>
      </c>
    </row>
    <row r="200" spans="1:39">
      <c r="A200" s="757">
        <v>191</v>
      </c>
      <c r="B200" s="799" t="s">
        <v>1374</v>
      </c>
      <c r="C200" s="813" t="s">
        <v>410</v>
      </c>
      <c r="D200" s="795"/>
      <c r="E200" s="795"/>
      <c r="F200" s="791"/>
      <c r="G200" s="303"/>
      <c r="H200" s="317"/>
      <c r="J200" s="801"/>
      <c r="K200" s="802"/>
      <c r="M200" s="756"/>
      <c r="N200" s="321"/>
      <c r="O200" s="856">
        <f>IF(O195&lt;&gt;"",(Q200/100*qh/3.6+R200/100*qw)/(O195/100),)</f>
        <v>0</v>
      </c>
      <c r="P200" s="756"/>
      <c r="Q200" s="756">
        <f>IF(Q201&lt;&gt;0,Q201,Q202)*J192</f>
        <v>0</v>
      </c>
      <c r="R200" s="756">
        <f>IF(R201&lt;&gt;0,R201,R202)*K192</f>
        <v>0</v>
      </c>
      <c r="S200" s="759"/>
      <c r="T200" s="756"/>
      <c r="U200" s="321"/>
      <c r="V200" s="323">
        <f>IF(V195&lt;&gt;"",(X200/100*qh/3.6+Y200/100*qw)/(V195/100),)</f>
        <v>0</v>
      </c>
      <c r="W200" s="756"/>
      <c r="X200" s="756">
        <f>IF(X201&lt;&gt;0,X201,X202)*J192</f>
        <v>0</v>
      </c>
      <c r="Y200" s="756">
        <f>IF(Y201&lt;&gt;0,Y201,Y202)*K192</f>
        <v>0</v>
      </c>
      <c r="Z200" s="759"/>
      <c r="AA200" s="756"/>
      <c r="AB200" s="321"/>
      <c r="AC200" s="323">
        <f>IF(AC195&lt;&gt;"",(AE200/100*qh/3.6+AF200/100*qw)/(AC195/100),)</f>
        <v>0</v>
      </c>
      <c r="AD200" s="756"/>
      <c r="AE200" s="756">
        <f>IF(AE201&lt;&gt;0,AE201,AE202)*J192</f>
        <v>0</v>
      </c>
      <c r="AF200" s="756">
        <f>IF(AF201&lt;&gt;0,AF201,AF202)*K192</f>
        <v>0</v>
      </c>
      <c r="AG200" s="759"/>
      <c r="AH200" s="756"/>
      <c r="AI200" s="321"/>
      <c r="AJ200" s="323">
        <f>IF(AJ195&lt;&gt;"",(AL200/100*qh/3.6+AM200/100*qw)/(AJ195/100),)</f>
        <v>0</v>
      </c>
      <c r="AK200" s="756"/>
      <c r="AL200" s="756">
        <f>IF(AL201&lt;&gt;0,AL201,AL202)*J192</f>
        <v>0</v>
      </c>
      <c r="AM200" s="756">
        <f>IF(AM201&lt;&gt;0,AM201,AM202)*K192</f>
        <v>0</v>
      </c>
    </row>
    <row r="201" spans="1:39">
      <c r="A201" s="757">
        <v>192</v>
      </c>
      <c r="B201" s="789" t="s">
        <v>652</v>
      </c>
      <c r="C201" s="813" t="s">
        <v>410</v>
      </c>
      <c r="D201" s="795"/>
      <c r="E201" s="786"/>
      <c r="F201" s="792"/>
      <c r="G201" s="303"/>
      <c r="H201" s="318"/>
      <c r="J201" s="803"/>
      <c r="K201" s="804"/>
      <c r="M201" s="758"/>
      <c r="N201" s="321"/>
      <c r="O201" s="857">
        <f>(Q200/100*qh/3.6+R200/100*qw)</f>
        <v>0</v>
      </c>
      <c r="P201" s="756"/>
      <c r="Q201" s="756"/>
      <c r="R201" s="756"/>
      <c r="S201" s="759"/>
      <c r="T201" s="756"/>
      <c r="U201" s="321"/>
      <c r="V201" s="324">
        <f>(X200/100*qh/3.6+Y200/100*qw)</f>
        <v>0</v>
      </c>
      <c r="W201" s="756"/>
      <c r="X201" s="756"/>
      <c r="Y201" s="756"/>
      <c r="Z201" s="759"/>
      <c r="AA201" s="758"/>
      <c r="AB201" s="321"/>
      <c r="AC201" s="324">
        <f>(AE200/100*qh/3.6+AF200/100*qw)</f>
        <v>0</v>
      </c>
      <c r="AD201" s="756"/>
      <c r="AE201" s="756"/>
      <c r="AF201" s="756"/>
      <c r="AG201" s="759"/>
      <c r="AH201" s="758"/>
      <c r="AI201" s="321"/>
      <c r="AJ201" s="324">
        <f>(AL200/100*qh/3.6+AM200/100*qw)</f>
        <v>0</v>
      </c>
      <c r="AK201" s="756"/>
      <c r="AL201" s="756"/>
      <c r="AM201" s="756"/>
    </row>
    <row r="202" spans="1:39">
      <c r="A202" s="757">
        <v>193</v>
      </c>
      <c r="B202" s="805"/>
      <c r="C202" s="836"/>
      <c r="D202" s="806"/>
      <c r="E202" s="806"/>
      <c r="F202" s="774"/>
      <c r="G202" s="319"/>
      <c r="H202" s="320"/>
      <c r="J202" s="807"/>
      <c r="K202" s="808"/>
      <c r="M202" s="756"/>
      <c r="N202" s="325"/>
      <c r="O202" s="858"/>
      <c r="P202" s="756"/>
      <c r="Q202" s="315">
        <f>Produzione!$K$18</f>
        <v>0</v>
      </c>
      <c r="R202" s="315">
        <f>Produzione!$L$18</f>
        <v>0</v>
      </c>
      <c r="S202" s="759"/>
      <c r="T202" s="756"/>
      <c r="U202" s="325"/>
      <c r="V202" s="325"/>
      <c r="W202" s="756"/>
      <c r="X202" s="315">
        <f>Produzione!$K$32</f>
        <v>0</v>
      </c>
      <c r="Y202" s="315">
        <f>Produzione!$L$32</f>
        <v>0</v>
      </c>
      <c r="Z202" s="759"/>
      <c r="AA202" s="756"/>
      <c r="AB202" s="325"/>
      <c r="AC202" s="325"/>
      <c r="AD202" s="756"/>
      <c r="AE202" s="315">
        <f>Produzione!$K$46</f>
        <v>0</v>
      </c>
      <c r="AF202" s="315">
        <f>Produzione!$L$46</f>
        <v>0</v>
      </c>
      <c r="AG202" s="759"/>
      <c r="AH202" s="756"/>
      <c r="AI202" s="325"/>
      <c r="AJ202" s="325"/>
      <c r="AK202" s="756"/>
      <c r="AL202" s="315">
        <f>Produzione!$K$60</f>
        <v>0</v>
      </c>
      <c r="AM202" s="315">
        <f>Produzione!$L$60</f>
        <v>0</v>
      </c>
    </row>
    <row r="203" spans="1:39">
      <c r="A203" s="757">
        <v>194</v>
      </c>
      <c r="B203" s="759"/>
      <c r="C203" s="833"/>
      <c r="D203" s="759"/>
      <c r="E203" s="759"/>
      <c r="F203" s="817"/>
      <c r="G203" s="759"/>
      <c r="H203" s="759"/>
      <c r="I203" s="759"/>
      <c r="J203" s="759"/>
      <c r="M203" s="759"/>
      <c r="N203" s="759"/>
      <c r="O203" s="862"/>
      <c r="P203" s="759"/>
      <c r="Q203" s="761" t="str">
        <f>IF(Q201&lt;&gt;0,IF(Q202&lt;&gt;0,"Doppelte Eingabe",""),IF(R201&lt;&gt;0,IF(R202&lt;&gt;0,"Doppelte Eingabe",""),""))</f>
        <v/>
      </c>
      <c r="R203" s="759"/>
      <c r="S203" s="759"/>
      <c r="T203" s="759"/>
      <c r="U203" s="759"/>
      <c r="V203" s="759"/>
      <c r="W203" s="759"/>
      <c r="X203" s="761" t="str">
        <f>IF(X201&lt;&gt;0,IF(X202&lt;&gt;0,"Doppelte Eingabe",""),IF(Y201&lt;&gt;0,IF(Y202&lt;&gt;0,"Doppelte Eingabe",""),""))</f>
        <v/>
      </c>
      <c r="Y203" s="759"/>
      <c r="Z203" s="759"/>
      <c r="AE203" s="761" t="str">
        <f>IF(AE201&lt;&gt;0,IF(AE202&lt;&gt;0,"Doppelte Eingabe",""),IF(AF201&lt;&gt;0,IF(AF202&lt;&gt;0,"Doppelte Eingabe",""),""))</f>
        <v/>
      </c>
      <c r="AG203" s="759"/>
      <c r="AL203" s="761" t="str">
        <f>IF(AL201&lt;&gt;0,IF(AL202&lt;&gt;0,"Doppelte Eingabe",""),IF(AM201&lt;&gt;0,IF(AM202&lt;&gt;0,"Doppelte Eingabe",""),""))</f>
        <v/>
      </c>
    </row>
    <row r="204" spans="1:39">
      <c r="A204" s="757">
        <v>195</v>
      </c>
      <c r="B204" s="755"/>
      <c r="C204" s="834"/>
      <c r="D204" s="762"/>
      <c r="E204" s="762"/>
      <c r="G204" s="762"/>
      <c r="H204" s="818"/>
      <c r="J204" s="762" t="s">
        <v>1620</v>
      </c>
      <c r="N204" s="762"/>
      <c r="O204" s="860"/>
      <c r="P204" s="759"/>
      <c r="Q204" s="762" t="s">
        <v>1620</v>
      </c>
      <c r="R204" s="759"/>
      <c r="S204" s="759"/>
      <c r="T204" s="759"/>
      <c r="U204" s="762"/>
      <c r="V204" s="769"/>
      <c r="W204" s="759"/>
      <c r="X204" s="762" t="s">
        <v>1620</v>
      </c>
      <c r="Z204" s="759"/>
      <c r="AA204" s="759"/>
      <c r="AB204" s="762"/>
      <c r="AC204" s="769"/>
      <c r="AD204" s="759"/>
      <c r="AE204" s="762" t="s">
        <v>1620</v>
      </c>
      <c r="AF204" s="759"/>
      <c r="AG204" s="759"/>
      <c r="AH204" s="759"/>
      <c r="AI204" s="762"/>
      <c r="AJ204" s="769"/>
      <c r="AK204" s="759"/>
      <c r="AL204" s="762" t="s">
        <v>1620</v>
      </c>
      <c r="AM204" s="759"/>
    </row>
    <row r="205" spans="1:39">
      <c r="A205" s="757">
        <v>196</v>
      </c>
      <c r="B205" s="772" t="str">
        <f>INDEX(Standardwerte!$V$6:$V$43,Rechnung!$C205,1)</f>
        <v>UFC (fossile) - parte termica + elettrica</v>
      </c>
      <c r="C205" s="835">
        <v>15</v>
      </c>
      <c r="D205" s="819"/>
      <c r="E205" s="820"/>
      <c r="F205" s="821"/>
      <c r="G205" s="819"/>
      <c r="H205" s="822"/>
      <c r="J205" s="760" t="s">
        <v>525</v>
      </c>
      <c r="K205" s="756" t="s">
        <v>1622</v>
      </c>
      <c r="M205" s="756"/>
      <c r="N205" s="760"/>
      <c r="O205" s="852"/>
      <c r="P205" s="756"/>
      <c r="Q205" s="760" t="s">
        <v>525</v>
      </c>
      <c r="R205" s="756" t="s">
        <v>1622</v>
      </c>
      <c r="S205" s="759"/>
      <c r="T205" s="756"/>
      <c r="U205" s="760"/>
      <c r="V205" s="764"/>
      <c r="W205" s="756"/>
      <c r="X205" s="760" t="s">
        <v>525</v>
      </c>
      <c r="Y205" s="756" t="s">
        <v>1622</v>
      </c>
      <c r="Z205" s="759"/>
      <c r="AA205" s="756"/>
      <c r="AB205" s="760"/>
      <c r="AC205" s="764"/>
      <c r="AD205" s="756"/>
      <c r="AE205" s="760" t="s">
        <v>525</v>
      </c>
      <c r="AF205" s="756" t="s">
        <v>1622</v>
      </c>
      <c r="AG205" s="759"/>
      <c r="AH205" s="756"/>
      <c r="AI205" s="760"/>
      <c r="AJ205" s="764"/>
      <c r="AK205" s="756"/>
      <c r="AL205" s="760" t="s">
        <v>525</v>
      </c>
      <c r="AM205" s="756" t="s">
        <v>1622</v>
      </c>
    </row>
    <row r="206" spans="1:39">
      <c r="A206" s="757">
        <v>197</v>
      </c>
      <c r="B206" s="778" t="s">
        <v>526</v>
      </c>
      <c r="C206" s="830"/>
      <c r="D206" s="779"/>
      <c r="E206" s="312"/>
      <c r="F206" s="313">
        <f>INDEX($M$10:$AM$162,$A$10+(_typ1-1)*14,1)</f>
        <v>0</v>
      </c>
      <c r="G206" s="780"/>
      <c r="H206" s="781"/>
      <c r="J206" s="782">
        <f>INDEX(Standardwerte!$Y$6:$Z$43,$C205,2)</f>
        <v>1</v>
      </c>
      <c r="K206" s="783">
        <f>INDEX(Standardwerte!$Y$6:$Z$43,$C205,1)</f>
        <v>1</v>
      </c>
      <c r="M206" s="315">
        <f>Produzione!$G$8</f>
        <v>0</v>
      </c>
      <c r="N206" s="764"/>
      <c r="O206" s="852"/>
      <c r="P206" s="756"/>
      <c r="Q206" s="756"/>
      <c r="R206" s="756"/>
      <c r="S206" s="759"/>
      <c r="T206" s="315">
        <f>Produzione!$G$22</f>
        <v>0</v>
      </c>
      <c r="U206" s="764"/>
      <c r="V206" s="764"/>
      <c r="W206" s="756"/>
      <c r="X206" s="756"/>
      <c r="Y206" s="756"/>
      <c r="Z206" s="759"/>
      <c r="AA206" s="315">
        <f>Produzione!$G$36</f>
        <v>0</v>
      </c>
      <c r="AB206" s="764"/>
      <c r="AC206" s="764"/>
      <c r="AD206" s="756"/>
      <c r="AE206" s="756"/>
      <c r="AF206" s="756"/>
      <c r="AG206" s="759"/>
      <c r="AH206" s="315">
        <f>Produzione!$G$50</f>
        <v>0</v>
      </c>
      <c r="AI206" s="764"/>
      <c r="AJ206" s="764"/>
      <c r="AK206" s="756"/>
      <c r="AL206" s="756"/>
      <c r="AM206" s="756"/>
    </row>
    <row r="207" spans="1:39">
      <c r="A207" s="757">
        <v>198</v>
      </c>
      <c r="B207" s="784"/>
      <c r="C207" s="831"/>
      <c r="E207" s="786"/>
      <c r="F207" s="809">
        <f>INDEX(Standardwerte!$W$6:$W$43,$C205,1)</f>
        <v>0</v>
      </c>
      <c r="G207" s="787"/>
      <c r="H207" s="788"/>
      <c r="J207" s="782"/>
      <c r="K207" s="783"/>
      <c r="M207" s="315">
        <f>Produzione!$G$10</f>
        <v>0</v>
      </c>
      <c r="N207" s="764"/>
      <c r="O207" s="861"/>
      <c r="P207" s="756"/>
      <c r="Q207" s="756"/>
      <c r="R207" s="756"/>
      <c r="S207" s="759"/>
      <c r="T207" s="315">
        <f>Produzione!$G$24</f>
        <v>0</v>
      </c>
      <c r="U207" s="764"/>
      <c r="V207" s="861"/>
      <c r="W207" s="756"/>
      <c r="X207" s="756"/>
      <c r="Y207" s="756"/>
      <c r="Z207" s="759"/>
      <c r="AA207" s="315">
        <f>Produzione!$G$38</f>
        <v>0</v>
      </c>
      <c r="AB207" s="764"/>
      <c r="AC207" s="861"/>
      <c r="AD207" s="756"/>
      <c r="AE207" s="756"/>
      <c r="AF207" s="756"/>
      <c r="AG207" s="759"/>
      <c r="AH207" s="315">
        <f>Produzione!$G$52</f>
        <v>0</v>
      </c>
      <c r="AI207" s="764"/>
      <c r="AJ207" s="861"/>
      <c r="AK207" s="756"/>
      <c r="AL207" s="756"/>
      <c r="AM207" s="756"/>
    </row>
    <row r="208" spans="1:39">
      <c r="A208" s="757">
        <v>199</v>
      </c>
      <c r="B208" s="784" t="s">
        <v>1359</v>
      </c>
      <c r="C208" s="831" t="s">
        <v>584</v>
      </c>
      <c r="D208" s="786"/>
      <c r="E208" s="795" t="s">
        <v>1694</v>
      </c>
      <c r="F208" s="1344"/>
      <c r="G208" s="792"/>
      <c r="H208" s="793"/>
      <c r="J208" s="782"/>
      <c r="K208" s="783"/>
      <c r="L208" s="770">
        <v>2</v>
      </c>
      <c r="M208" s="756"/>
      <c r="N208" s="766"/>
      <c r="O208" s="854"/>
      <c r="P208" s="756"/>
      <c r="Q208" s="756"/>
      <c r="R208" s="756"/>
      <c r="S208" s="759"/>
      <c r="T208" s="756"/>
      <c r="U208" s="766"/>
      <c r="V208" s="767"/>
      <c r="W208" s="756"/>
      <c r="X208" s="756"/>
      <c r="Y208" s="756"/>
      <c r="Z208" s="759"/>
      <c r="AA208" s="756"/>
      <c r="AB208" s="766"/>
      <c r="AC208" s="767"/>
      <c r="AD208" s="756"/>
      <c r="AE208" s="756"/>
      <c r="AF208" s="756"/>
      <c r="AG208" s="759"/>
      <c r="AH208" s="756"/>
      <c r="AI208" s="766"/>
      <c r="AJ208" s="767"/>
      <c r="AK208" s="756"/>
      <c r="AL208" s="756"/>
      <c r="AM208" s="756"/>
    </row>
    <row r="209" spans="1:39">
      <c r="A209" s="757">
        <v>200</v>
      </c>
      <c r="B209" s="789" t="s">
        <v>1360</v>
      </c>
      <c r="C209" s="790" t="s">
        <v>584</v>
      </c>
      <c r="D209" s="786"/>
      <c r="E209" s="786"/>
      <c r="F209" s="791"/>
      <c r="G209" s="303"/>
      <c r="H209" s="316"/>
      <c r="J209" s="782"/>
      <c r="K209" s="783"/>
      <c r="M209" s="756"/>
      <c r="N209" s="321"/>
      <c r="O209" s="855" t="str">
        <f>IF(M207&lt;&gt;0,MIN(M207,90-M210),IF(Produzione!$E$10&lt;&gt;"",Produzione!$E$10,Produzione!$G$9))</f>
        <v/>
      </c>
      <c r="P209" s="756"/>
      <c r="Q209" s="756"/>
      <c r="R209" s="756"/>
      <c r="S209" s="759"/>
      <c r="T209" s="756"/>
      <c r="U209" s="321"/>
      <c r="V209" s="855" t="str">
        <f>IF(T207&lt;&gt;0,MIN(T207,90-T210),IF(Produzione!$E$24&lt;&gt;"",Produzione!$E$24,Produzione!$G$23))</f>
        <v/>
      </c>
      <c r="W209" s="756"/>
      <c r="X209" s="756"/>
      <c r="Y209" s="756"/>
      <c r="Z209" s="759"/>
      <c r="AA209" s="756"/>
      <c r="AB209" s="321"/>
      <c r="AC209" s="855" t="str">
        <f>IF(AA207&lt;&gt;0,MIN(AA207,90-AA210),IF(Produzione!$E$38&lt;&gt;"",Produzione!$E$38,Produzione!$G$37))</f>
        <v/>
      </c>
      <c r="AD209" s="756"/>
      <c r="AE209" s="756"/>
      <c r="AF209" s="756"/>
      <c r="AG209" s="759"/>
      <c r="AH209" s="756"/>
      <c r="AI209" s="321"/>
      <c r="AJ209" s="855" t="str">
        <f>IF(AH207&lt;&gt;0,MIN(AH207,90-AH210),IF(Produzione!$E$52&lt;&gt;"",Produzione!$E$52,Produzione!$G$51))</f>
        <v/>
      </c>
      <c r="AK209" s="756"/>
      <c r="AL209" s="756"/>
      <c r="AM209" s="756"/>
    </row>
    <row r="210" spans="1:39">
      <c r="A210" s="757">
        <v>201</v>
      </c>
      <c r="B210" s="789" t="s">
        <v>1361</v>
      </c>
      <c r="C210" s="790" t="s">
        <v>584</v>
      </c>
      <c r="D210" s="787"/>
      <c r="E210" s="795" t="s">
        <v>1694</v>
      </c>
      <c r="F210" s="1344"/>
      <c r="G210" s="796"/>
      <c r="H210" s="797"/>
      <c r="J210" s="782"/>
      <c r="K210" s="783"/>
      <c r="L210" s="770">
        <v>2</v>
      </c>
      <c r="M210" s="315">
        <f>Produzione!$G$12</f>
        <v>0</v>
      </c>
      <c r="N210" s="758"/>
      <c r="O210" s="854"/>
      <c r="P210" s="756"/>
      <c r="Q210" s="756"/>
      <c r="R210" s="756"/>
      <c r="S210" s="759"/>
      <c r="T210" s="315">
        <f>Produzione!$G$26</f>
        <v>0</v>
      </c>
      <c r="U210" s="758"/>
      <c r="V210" s="758"/>
      <c r="W210" s="756"/>
      <c r="X210" s="756"/>
      <c r="Y210" s="756"/>
      <c r="Z210" s="759"/>
      <c r="AA210" s="315">
        <f>Produzione!$G$40</f>
        <v>0</v>
      </c>
      <c r="AB210" s="758"/>
      <c r="AC210" s="758"/>
      <c r="AD210" s="756"/>
      <c r="AE210" s="756"/>
      <c r="AF210" s="756"/>
      <c r="AG210" s="759"/>
      <c r="AH210" s="315">
        <f>Produzione!$G$54</f>
        <v>0</v>
      </c>
      <c r="AI210" s="758"/>
      <c r="AJ210" s="758"/>
      <c r="AK210" s="756"/>
      <c r="AL210" s="756"/>
      <c r="AM210" s="756"/>
    </row>
    <row r="211" spans="1:39">
      <c r="A211" s="757">
        <v>202</v>
      </c>
      <c r="B211" s="789"/>
      <c r="C211" s="790"/>
      <c r="D211" s="796"/>
      <c r="E211" s="795"/>
      <c r="F211" s="1344"/>
      <c r="G211" s="787"/>
      <c r="H211" s="798"/>
      <c r="J211" s="782"/>
      <c r="K211" s="783"/>
      <c r="M211" s="315">
        <f>Produzione!$G$13</f>
        <v>0</v>
      </c>
      <c r="N211" s="764"/>
      <c r="O211" s="852"/>
      <c r="P211" s="756"/>
      <c r="Q211" s="756"/>
      <c r="R211" s="756"/>
      <c r="S211" s="759"/>
      <c r="T211" s="315">
        <f>Produzione!$G$27</f>
        <v>0</v>
      </c>
      <c r="U211" s="764"/>
      <c r="V211" s="768"/>
      <c r="W211" s="756"/>
      <c r="X211" s="756"/>
      <c r="Y211" s="756"/>
      <c r="Z211" s="759"/>
      <c r="AA211" s="315">
        <f>Produzione!$G$41</f>
        <v>0</v>
      </c>
      <c r="AB211" s="764"/>
      <c r="AC211" s="768"/>
      <c r="AD211" s="756"/>
      <c r="AE211" s="756"/>
      <c r="AF211" s="756"/>
      <c r="AG211" s="759"/>
      <c r="AH211" s="315">
        <f>Produzione!$G$55</f>
        <v>0</v>
      </c>
      <c r="AI211" s="764"/>
      <c r="AJ211" s="768"/>
      <c r="AK211" s="756"/>
      <c r="AL211" s="756"/>
      <c r="AM211" s="756"/>
    </row>
    <row r="212" spans="1:39">
      <c r="A212" s="757">
        <v>203</v>
      </c>
      <c r="B212" s="799" t="str">
        <f>IF(J206=1,"Temperatura di mandata riscaldamento","")</f>
        <v>Temperatura di mandata riscaldamento</v>
      </c>
      <c r="C212" s="831" t="str">
        <f>IF(J206=1,"°C","")</f>
        <v>°C</v>
      </c>
      <c r="D212" s="786"/>
      <c r="E212" s="786"/>
      <c r="F212" s="1344"/>
      <c r="G212" s="787"/>
      <c r="H212" s="800"/>
      <c r="J212" s="782"/>
      <c r="K212" s="783"/>
      <c r="L212" s="770">
        <v>2</v>
      </c>
      <c r="M212" s="315">
        <f>Produzione!$G$14</f>
        <v>0</v>
      </c>
      <c r="N212" s="764"/>
      <c r="O212" s="852"/>
      <c r="P212" s="756"/>
      <c r="Q212" s="756"/>
      <c r="R212" s="756"/>
      <c r="S212" s="759"/>
      <c r="T212" s="315">
        <f>Produzione!$G$28</f>
        <v>0</v>
      </c>
      <c r="U212" s="764"/>
      <c r="V212" s="764"/>
      <c r="W212" s="756"/>
      <c r="X212" s="756"/>
      <c r="Y212" s="756"/>
      <c r="Z212" s="759"/>
      <c r="AA212" s="315">
        <f>Produzione!$G$42</f>
        <v>0</v>
      </c>
      <c r="AB212" s="764"/>
      <c r="AC212" s="764"/>
      <c r="AD212" s="756"/>
      <c r="AE212" s="756"/>
      <c r="AF212" s="756"/>
      <c r="AG212" s="759"/>
      <c r="AH212" s="315">
        <f>Produzione!$G$56</f>
        <v>0</v>
      </c>
      <c r="AI212" s="764"/>
      <c r="AJ212" s="764"/>
      <c r="AK212" s="756"/>
      <c r="AL212" s="756"/>
      <c r="AM212" s="756"/>
    </row>
    <row r="213" spans="1:39">
      <c r="A213" s="757">
        <v>204</v>
      </c>
      <c r="B213" s="799" t="str">
        <f>IF(AND(Warmwasser,K206=1),"Temperatura acqua calda sanitaria","")</f>
        <v/>
      </c>
      <c r="C213" s="831" t="str">
        <f>IF(AND(Warmwasser,K206=1),"°C","")</f>
        <v/>
      </c>
      <c r="D213" s="786"/>
      <c r="E213" s="786"/>
      <c r="F213" s="1344"/>
      <c r="G213" s="796"/>
      <c r="H213" s="788"/>
      <c r="J213" s="782"/>
      <c r="K213" s="783"/>
      <c r="L213" s="770">
        <v>2</v>
      </c>
      <c r="M213" s="315">
        <f>Produzione!$G$15</f>
        <v>0</v>
      </c>
      <c r="N213" s="758"/>
      <c r="O213" s="853"/>
      <c r="P213" s="756"/>
      <c r="Q213" s="756"/>
      <c r="R213" s="756" t="str">
        <f>IF(AND($K206=0,R216&lt;&gt;0),"Riscald. ausgewählt",IF(AND($J206=0,Q202&gt;0),"Acqua calda ausgewählt",""))</f>
        <v/>
      </c>
      <c r="S213" s="759"/>
      <c r="T213" s="315">
        <f>Produzione!$G$29</f>
        <v>0</v>
      </c>
      <c r="U213" s="758"/>
      <c r="V213" s="765"/>
      <c r="W213" s="756"/>
      <c r="X213" s="756"/>
      <c r="Y213" s="756" t="str">
        <f>IF(AND($K206=0,Y216&lt;&gt;0),"Riscald. ausgewählt",IF(AND($J206=0,X202&gt;0),"Acqua calda ausgewählt",""))</f>
        <v/>
      </c>
      <c r="Z213" s="759"/>
      <c r="AA213" s="315">
        <f>Produzione!$G$43</f>
        <v>0</v>
      </c>
      <c r="AB213" s="758"/>
      <c r="AC213" s="765"/>
      <c r="AD213" s="756"/>
      <c r="AE213" s="756"/>
      <c r="AF213" s="756" t="str">
        <f>IF(AND($K206=0,AF216&lt;&gt;0),"Riscald. ausgewählt",IF(AND($J206=0,AE202&gt;0),"Acqua calda ausgewählt",""))</f>
        <v/>
      </c>
      <c r="AG213" s="759"/>
      <c r="AH213" s="315">
        <f>Produzione!$G$57</f>
        <v>0</v>
      </c>
      <c r="AI213" s="758"/>
      <c r="AJ213" s="765"/>
      <c r="AK213" s="756"/>
      <c r="AL213" s="756"/>
      <c r="AM213" s="756" t="str">
        <f>IF(AND($K206=0,AM216&lt;&gt;0),"Riscald. ausgewählt",IF(AND($J206=0,AL202&gt;0),"Acqua calda ausgewählt",""))</f>
        <v/>
      </c>
    </row>
    <row r="214" spans="1:39">
      <c r="A214" s="757">
        <v>205</v>
      </c>
      <c r="B214" s="799" t="s">
        <v>1374</v>
      </c>
      <c r="C214" s="813" t="s">
        <v>410</v>
      </c>
      <c r="D214" s="795"/>
      <c r="E214" s="795"/>
      <c r="F214" s="791"/>
      <c r="G214" s="303"/>
      <c r="H214" s="317"/>
      <c r="J214" s="801"/>
      <c r="K214" s="802"/>
      <c r="M214" s="756"/>
      <c r="N214" s="321"/>
      <c r="O214" s="845">
        <f>IF(O209&lt;&gt;"",-(O215*M210/O209),)</f>
        <v>0</v>
      </c>
      <c r="P214" s="756"/>
      <c r="Q214" s="756">
        <f>IF(O209="",0,IF(Q215&lt;&gt;0,Q215,Q216)*J206)</f>
        <v>0</v>
      </c>
      <c r="R214" s="756">
        <f>IF(O209="",0,IF(R215&lt;&gt;0,R215,R216)*K206)</f>
        <v>0</v>
      </c>
      <c r="S214" s="759"/>
      <c r="T214" s="756"/>
      <c r="U214" s="321"/>
      <c r="V214" s="845">
        <f>IF(V209&lt;&gt;"",-(V215*T210/V209),)</f>
        <v>0</v>
      </c>
      <c r="W214" s="756"/>
      <c r="X214" s="756">
        <f>IF(V209="",0,IF(X215&lt;&gt;0,X215,X216)*J206)</f>
        <v>0</v>
      </c>
      <c r="Y214" s="756">
        <f>IF(V209="",0,IF(Y215&lt;&gt;0,Y215,Y216)*K206)</f>
        <v>0</v>
      </c>
      <c r="Z214" s="759"/>
      <c r="AA214" s="756"/>
      <c r="AB214" s="321"/>
      <c r="AC214" s="845">
        <f>IF(AC209&lt;&gt;"",-(AC215*AA210/AC209),)</f>
        <v>0</v>
      </c>
      <c r="AD214" s="756"/>
      <c r="AE214" s="756">
        <f>IF(AC209="",0,IF(AE215&lt;&gt;0,AE215,AE216)*J206)</f>
        <v>0</v>
      </c>
      <c r="AF214" s="756">
        <f>IF(AC209="",0,IF(AF215&lt;&gt;0,AF215,AF216)*K206)</f>
        <v>0</v>
      </c>
      <c r="AG214" s="759"/>
      <c r="AH214" s="756"/>
      <c r="AI214" s="321"/>
      <c r="AJ214" s="845">
        <f>IF(AJ209&lt;&gt;"",-(AJ215*AH210/AJ209),)</f>
        <v>0</v>
      </c>
      <c r="AK214" s="756"/>
      <c r="AL214" s="756">
        <f>IF(AJ209="",0,IF(AL215&lt;&gt;0,AL215,AL216)*J206)</f>
        <v>0</v>
      </c>
      <c r="AM214" s="756">
        <f>IF(AJ209="",0,IF(AM215&lt;&gt;0,AM215,AM216)*K206)</f>
        <v>0</v>
      </c>
    </row>
    <row r="215" spans="1:39">
      <c r="A215" s="757">
        <v>206</v>
      </c>
      <c r="B215" s="789" t="s">
        <v>652</v>
      </c>
      <c r="C215" s="813" t="s">
        <v>410</v>
      </c>
      <c r="D215" s="795"/>
      <c r="E215" s="786"/>
      <c r="F215" s="792"/>
      <c r="G215" s="303"/>
      <c r="H215" s="318"/>
      <c r="J215" s="803"/>
      <c r="K215" s="804"/>
      <c r="M215" s="758"/>
      <c r="N215" s="321"/>
      <c r="O215" s="845">
        <f>(Q214/100*qh/3.6+R214/100*qw)</f>
        <v>0</v>
      </c>
      <c r="P215" s="756"/>
      <c r="Q215" s="756"/>
      <c r="R215" s="756"/>
      <c r="S215" s="759"/>
      <c r="T215" s="756"/>
      <c r="U215" s="321"/>
      <c r="V215" s="324">
        <f>(X214/100*qh/3.6+Y214/100*qw)</f>
        <v>0</v>
      </c>
      <c r="W215" s="756"/>
      <c r="X215" s="756"/>
      <c r="Y215" s="756"/>
      <c r="Z215" s="759"/>
      <c r="AA215" s="758"/>
      <c r="AB215" s="321"/>
      <c r="AC215" s="324">
        <f>(AE214/100*qh/3.6+AF214/100*qw)</f>
        <v>0</v>
      </c>
      <c r="AD215" s="756"/>
      <c r="AE215" s="756"/>
      <c r="AF215" s="756"/>
      <c r="AG215" s="759"/>
      <c r="AH215" s="758"/>
      <c r="AI215" s="321"/>
      <c r="AJ215" s="324">
        <f>(AL214/100*qh/3.6+AM214/100*qw)</f>
        <v>0</v>
      </c>
      <c r="AK215" s="756"/>
      <c r="AL215" s="756"/>
      <c r="AM215" s="756"/>
    </row>
    <row r="216" spans="1:39">
      <c r="A216" s="757">
        <v>207</v>
      </c>
      <c r="B216" s="812" t="s">
        <v>41</v>
      </c>
      <c r="C216" s="813" t="s">
        <v>410</v>
      </c>
      <c r="D216" s="806"/>
      <c r="E216" s="806"/>
      <c r="F216" s="774"/>
      <c r="G216" s="319"/>
      <c r="H216" s="320"/>
      <c r="J216" s="807"/>
      <c r="K216" s="808"/>
      <c r="M216" s="756"/>
      <c r="N216" s="325"/>
      <c r="O216" s="846">
        <f>IF(AND(O209&gt;0,O209&lt;&gt;""),(Q214/100*qh/3.6+R214/100*qw)/(O209/100),)</f>
        <v>0</v>
      </c>
      <c r="P216" s="756"/>
      <c r="Q216" s="315">
        <f>Produzione!$K$18</f>
        <v>0</v>
      </c>
      <c r="R216" s="315">
        <f>Produzione!$L$18</f>
        <v>0</v>
      </c>
      <c r="S216" s="759"/>
      <c r="T216" s="756"/>
      <c r="U216" s="325"/>
      <c r="V216" s="846">
        <f>IF(AND(V209&gt;0,V209&lt;&gt;""),(X214/100*qh/3.6+Y214/100*qw)/(V209/100),)</f>
        <v>0</v>
      </c>
      <c r="W216" s="756"/>
      <c r="X216" s="315">
        <f>Produzione!$K$32</f>
        <v>0</v>
      </c>
      <c r="Y216" s="315">
        <f>Produzione!$L$32</f>
        <v>0</v>
      </c>
      <c r="Z216" s="759"/>
      <c r="AA216" s="756"/>
      <c r="AB216" s="325"/>
      <c r="AC216" s="846">
        <f>IF(AND(AC209&gt;0,AC209&lt;&gt;""),(AE214/100*qh/3.6+AF214/100*qw)/(AC209/100),)</f>
        <v>0</v>
      </c>
      <c r="AD216" s="756"/>
      <c r="AE216" s="315">
        <f>Produzione!$K$46</f>
        <v>0</v>
      </c>
      <c r="AF216" s="315">
        <f>Produzione!$L$46</f>
        <v>0</v>
      </c>
      <c r="AG216" s="759"/>
      <c r="AH216" s="756"/>
      <c r="AI216" s="325"/>
      <c r="AJ216" s="846">
        <f>IF(AND(AJ209&gt;0,AJ209&lt;&gt;""),(AL214/100*qh/3.6+AM214/100*qw)/(AJ209/100),)</f>
        <v>0</v>
      </c>
      <c r="AK216" s="756"/>
      <c r="AL216" s="315">
        <f>Produzione!$K$60</f>
        <v>0</v>
      </c>
      <c r="AM216" s="315">
        <f>Produzione!$L$60</f>
        <v>0</v>
      </c>
    </row>
    <row r="217" spans="1:39">
      <c r="A217" s="757">
        <v>208</v>
      </c>
      <c r="B217" s="759"/>
      <c r="C217" s="833"/>
      <c r="D217" s="759"/>
      <c r="E217" s="759"/>
      <c r="F217" s="817"/>
      <c r="G217" s="759"/>
      <c r="H217" s="759"/>
      <c r="I217" s="759"/>
      <c r="J217" s="759"/>
      <c r="Q217" s="761" t="str">
        <f>IF(Q215&lt;&gt;0,IF(Q216&lt;&gt;0,"Doppelte Eingabe",""),IF(R215&lt;&gt;0,IF(R216&lt;&gt;0,"Doppelte Eingabe",""),""))</f>
        <v/>
      </c>
      <c r="S217" s="759"/>
      <c r="X217" s="761" t="str">
        <f>IF(X215&lt;&gt;0,IF(X216&lt;&gt;0,"Doppelte Eingabe",""),IF(Y215&lt;&gt;0,IF(Y216&lt;&gt;0,"Doppelte Eingabe",""),""))</f>
        <v/>
      </c>
      <c r="Z217" s="759"/>
      <c r="AE217" s="761" t="str">
        <f>IF(AE215&lt;&gt;0,IF(AE216&lt;&gt;0,"Doppelte Eingabe",""),IF(AF215&lt;&gt;0,IF(AF216&lt;&gt;0,"Doppelte Eingabe",""),""))</f>
        <v/>
      </c>
      <c r="AG217" s="759"/>
      <c r="AL217" s="761" t="str">
        <f>IF(AL215&lt;&gt;0,IF(AL216&lt;&gt;0,"Doppelte Eingabe",""),IF(AM215&lt;&gt;0,IF(AM216&lt;&gt;0,"Doppelte Eingabe",""),""))</f>
        <v/>
      </c>
    </row>
    <row r="218" spans="1:39">
      <c r="A218" s="757">
        <v>209</v>
      </c>
      <c r="B218" s="755"/>
      <c r="C218" s="834"/>
      <c r="D218" s="762"/>
      <c r="E218" s="762"/>
      <c r="G218" s="762"/>
      <c r="H218" s="818"/>
      <c r="J218" s="762" t="s">
        <v>1620</v>
      </c>
      <c r="N218" s="762"/>
      <c r="O218" s="860"/>
      <c r="P218" s="759"/>
      <c r="Q218" s="762" t="s">
        <v>1620</v>
      </c>
      <c r="R218" s="759"/>
      <c r="S218" s="759"/>
      <c r="T218" s="759"/>
      <c r="U218" s="762"/>
      <c r="V218" s="769"/>
      <c r="W218" s="759"/>
      <c r="X218" s="762" t="s">
        <v>1620</v>
      </c>
      <c r="Z218" s="759"/>
      <c r="AA218" s="759"/>
      <c r="AB218" s="762"/>
      <c r="AC218" s="769"/>
      <c r="AD218" s="759"/>
      <c r="AE218" s="762" t="s">
        <v>1620</v>
      </c>
      <c r="AF218" s="759"/>
      <c r="AG218" s="759"/>
      <c r="AH218" s="759"/>
      <c r="AI218" s="762"/>
      <c r="AJ218" s="769"/>
      <c r="AK218" s="759"/>
      <c r="AL218" s="762" t="s">
        <v>1620</v>
      </c>
      <c r="AM218" s="759"/>
    </row>
    <row r="219" spans="1:39">
      <c r="A219" s="757">
        <v>210</v>
      </c>
      <c r="B219" s="772" t="str">
        <f>INDEX(Standardwerte!$V$6:$V$43,Rechnung!$C219,1)</f>
        <v>UFC (a legna) - parte termica + elettrica</v>
      </c>
      <c r="C219" s="835">
        <v>16</v>
      </c>
      <c r="D219" s="819"/>
      <c r="E219" s="820"/>
      <c r="F219" s="821"/>
      <c r="G219" s="819"/>
      <c r="H219" s="822"/>
      <c r="J219" s="760" t="s">
        <v>525</v>
      </c>
      <c r="K219" s="756" t="s">
        <v>1622</v>
      </c>
      <c r="M219" s="756"/>
      <c r="N219" s="760"/>
      <c r="O219" s="852"/>
      <c r="P219" s="756"/>
      <c r="Q219" s="760" t="s">
        <v>525</v>
      </c>
      <c r="R219" s="756" t="s">
        <v>1622</v>
      </c>
      <c r="S219" s="759"/>
      <c r="T219" s="756"/>
      <c r="U219" s="760"/>
      <c r="V219" s="764"/>
      <c r="W219" s="756"/>
      <c r="X219" s="760" t="s">
        <v>525</v>
      </c>
      <c r="Y219" s="756" t="s">
        <v>1622</v>
      </c>
      <c r="Z219" s="759"/>
      <c r="AA219" s="756"/>
      <c r="AB219" s="760"/>
      <c r="AC219" s="764"/>
      <c r="AD219" s="756"/>
      <c r="AE219" s="760" t="s">
        <v>525</v>
      </c>
      <c r="AF219" s="756" t="s">
        <v>1622</v>
      </c>
      <c r="AG219" s="759"/>
      <c r="AH219" s="756"/>
      <c r="AI219" s="760"/>
      <c r="AJ219" s="764"/>
      <c r="AK219" s="756"/>
      <c r="AL219" s="760" t="s">
        <v>525</v>
      </c>
      <c r="AM219" s="756" t="s">
        <v>1622</v>
      </c>
    </row>
    <row r="220" spans="1:39">
      <c r="A220" s="757">
        <v>211</v>
      </c>
      <c r="B220" s="778" t="s">
        <v>526</v>
      </c>
      <c r="C220" s="830"/>
      <c r="D220" s="779"/>
      <c r="E220" s="312"/>
      <c r="F220" s="313">
        <f>INDEX($M$10:$AM$162,$A$10+(_typ1-1)*14,1)</f>
        <v>0</v>
      </c>
      <c r="G220" s="780"/>
      <c r="H220" s="781"/>
      <c r="J220" s="782">
        <f>INDEX(Standardwerte!$Y$6:$Z$43,$C219,2)</f>
        <v>1</v>
      </c>
      <c r="K220" s="783">
        <f>INDEX(Standardwerte!$Y$6:$Z$43,$C219,1)</f>
        <v>1</v>
      </c>
      <c r="M220" s="315">
        <f>Produzione!$G$8</f>
        <v>0</v>
      </c>
      <c r="N220" s="764"/>
      <c r="O220" s="852"/>
      <c r="P220" s="756"/>
      <c r="Q220" s="756"/>
      <c r="R220" s="756"/>
      <c r="S220" s="759"/>
      <c r="T220" s="315">
        <f>Produzione!$G$22</f>
        <v>0</v>
      </c>
      <c r="U220" s="764"/>
      <c r="V220" s="764"/>
      <c r="W220" s="756"/>
      <c r="X220" s="756"/>
      <c r="Y220" s="756"/>
      <c r="Z220" s="759"/>
      <c r="AA220" s="315">
        <f>Produzione!$G$36</f>
        <v>0</v>
      </c>
      <c r="AB220" s="764"/>
      <c r="AC220" s="764"/>
      <c r="AD220" s="756"/>
      <c r="AE220" s="756"/>
      <c r="AF220" s="756"/>
      <c r="AG220" s="759"/>
      <c r="AH220" s="315">
        <f>Produzione!$G$50</f>
        <v>0</v>
      </c>
      <c r="AI220" s="764"/>
      <c r="AJ220" s="764"/>
      <c r="AK220" s="756"/>
      <c r="AL220" s="756"/>
      <c r="AM220" s="756"/>
    </row>
    <row r="221" spans="1:39">
      <c r="A221" s="757">
        <v>212</v>
      </c>
      <c r="B221" s="784"/>
      <c r="C221" s="831"/>
      <c r="E221" s="786"/>
      <c r="F221" s="809">
        <f>INDEX(Standardwerte!$W$6:$W$43,$C219,1)</f>
        <v>0</v>
      </c>
      <c r="G221" s="787"/>
      <c r="H221" s="788"/>
      <c r="J221" s="782"/>
      <c r="K221" s="783"/>
      <c r="M221" s="315">
        <f>Produzione!$G$10</f>
        <v>0</v>
      </c>
      <c r="N221" s="764"/>
      <c r="O221" s="861">
        <f>IF(F221&gt;1,F221,)</f>
        <v>0</v>
      </c>
      <c r="P221" s="756"/>
      <c r="Q221" s="756"/>
      <c r="R221" s="756"/>
      <c r="S221" s="759"/>
      <c r="T221" s="315">
        <f>Produzione!$G$24</f>
        <v>0</v>
      </c>
      <c r="U221" s="764"/>
      <c r="V221" s="861">
        <f>IF(F221&gt;1,F221,)</f>
        <v>0</v>
      </c>
      <c r="W221" s="756"/>
      <c r="X221" s="756"/>
      <c r="Y221" s="756"/>
      <c r="Z221" s="759"/>
      <c r="AA221" s="315">
        <f>Produzione!$G$38</f>
        <v>0</v>
      </c>
      <c r="AB221" s="764"/>
      <c r="AC221" s="861">
        <f>IF(F221&gt;1,F221,)</f>
        <v>0</v>
      </c>
      <c r="AD221" s="756"/>
      <c r="AE221" s="756"/>
      <c r="AF221" s="756"/>
      <c r="AG221" s="759"/>
      <c r="AH221" s="315">
        <f>Produzione!$G$52</f>
        <v>0</v>
      </c>
      <c r="AI221" s="764"/>
      <c r="AJ221" s="861">
        <f>IF(F221&gt;1,F221,)</f>
        <v>0</v>
      </c>
      <c r="AK221" s="756"/>
      <c r="AL221" s="756"/>
      <c r="AM221" s="756"/>
    </row>
    <row r="222" spans="1:39">
      <c r="A222" s="757">
        <v>213</v>
      </c>
      <c r="B222" s="784" t="s">
        <v>1359</v>
      </c>
      <c r="C222" s="831" t="s">
        <v>584</v>
      </c>
      <c r="D222" s="786"/>
      <c r="E222" s="795" t="s">
        <v>1694</v>
      </c>
      <c r="F222" s="1344"/>
      <c r="G222" s="792"/>
      <c r="H222" s="793"/>
      <c r="J222" s="782"/>
      <c r="K222" s="783"/>
      <c r="L222" s="770">
        <v>2</v>
      </c>
      <c r="M222" s="756"/>
      <c r="N222" s="766"/>
      <c r="O222" s="854"/>
      <c r="P222" s="756"/>
      <c r="Q222" s="756"/>
      <c r="R222" s="756"/>
      <c r="S222" s="759"/>
      <c r="T222" s="756"/>
      <c r="U222" s="766"/>
      <c r="V222" s="767"/>
      <c r="W222" s="756"/>
      <c r="X222" s="756"/>
      <c r="Y222" s="756"/>
      <c r="Z222" s="759"/>
      <c r="AA222" s="756"/>
      <c r="AB222" s="766"/>
      <c r="AC222" s="767"/>
      <c r="AD222" s="756"/>
      <c r="AE222" s="756"/>
      <c r="AF222" s="756"/>
      <c r="AG222" s="759"/>
      <c r="AH222" s="756"/>
      <c r="AI222" s="766"/>
      <c r="AJ222" s="767"/>
      <c r="AK222" s="756"/>
      <c r="AL222" s="756"/>
      <c r="AM222" s="756"/>
    </row>
    <row r="223" spans="1:39">
      <c r="A223" s="757">
        <v>214</v>
      </c>
      <c r="B223" s="789" t="s">
        <v>1360</v>
      </c>
      <c r="C223" s="790" t="s">
        <v>584</v>
      </c>
      <c r="D223" s="786"/>
      <c r="E223" s="786"/>
      <c r="F223" s="791"/>
      <c r="G223" s="303"/>
      <c r="H223" s="316"/>
      <c r="J223" s="782"/>
      <c r="K223" s="783"/>
      <c r="M223" s="756"/>
      <c r="N223" s="321"/>
      <c r="O223" s="855" t="str">
        <f>IF(M221&lt;&gt;0,MIN(M221,90-M224),IF(Produzione!$E$10&lt;&gt;"",Produzione!$E$10,Produzione!$G$9))</f>
        <v/>
      </c>
      <c r="P223" s="756"/>
      <c r="Q223" s="756"/>
      <c r="R223" s="756"/>
      <c r="S223" s="759"/>
      <c r="T223" s="756"/>
      <c r="U223" s="321"/>
      <c r="V223" s="855" t="str">
        <f>IF(T221&lt;&gt;0,MIN(T221,90-T224),IF(Produzione!$E$24&lt;&gt;"",Produzione!$E$24,Produzione!$G$23))</f>
        <v/>
      </c>
      <c r="W223" s="756"/>
      <c r="X223" s="756"/>
      <c r="Y223" s="756"/>
      <c r="Z223" s="759"/>
      <c r="AA223" s="756"/>
      <c r="AB223" s="321"/>
      <c r="AC223" s="855" t="str">
        <f>IF(AA221&lt;&gt;0,MIN(AA221,90-AA224),IF(Produzione!$E$38&lt;&gt;"",Produzione!$E$38,Produzione!$G$37))</f>
        <v/>
      </c>
      <c r="AD223" s="756"/>
      <c r="AE223" s="756"/>
      <c r="AF223" s="756"/>
      <c r="AG223" s="759"/>
      <c r="AH223" s="756"/>
      <c r="AI223" s="321"/>
      <c r="AJ223" s="855" t="str">
        <f>IF(AH221&lt;&gt;0,MIN(AH221,90-AH224),IF(Produzione!$E$52&lt;&gt;"",Produzione!$E$52,Produzione!$G$51))</f>
        <v/>
      </c>
      <c r="AK223" s="756"/>
      <c r="AL223" s="756"/>
      <c r="AM223" s="756"/>
    </row>
    <row r="224" spans="1:39">
      <c r="A224" s="757">
        <v>215</v>
      </c>
      <c r="B224" s="789" t="s">
        <v>1361</v>
      </c>
      <c r="C224" s="790" t="s">
        <v>584</v>
      </c>
      <c r="D224" s="787"/>
      <c r="E224" s="795" t="s">
        <v>1694</v>
      </c>
      <c r="F224" s="1344"/>
      <c r="G224" s="796"/>
      <c r="H224" s="797"/>
      <c r="J224" s="782"/>
      <c r="K224" s="783"/>
      <c r="L224" s="770">
        <v>2</v>
      </c>
      <c r="M224" s="315">
        <f>Produzione!$G$12</f>
        <v>0</v>
      </c>
      <c r="N224" s="758"/>
      <c r="O224" s="854"/>
      <c r="P224" s="756"/>
      <c r="Q224" s="756"/>
      <c r="R224" s="756"/>
      <c r="S224" s="759"/>
      <c r="T224" s="315">
        <f>Produzione!$G$26</f>
        <v>0</v>
      </c>
      <c r="U224" s="758"/>
      <c r="V224" s="758"/>
      <c r="W224" s="756"/>
      <c r="X224" s="756"/>
      <c r="Y224" s="756"/>
      <c r="Z224" s="759"/>
      <c r="AA224" s="315">
        <f>Produzione!$G$40</f>
        <v>0</v>
      </c>
      <c r="AB224" s="758"/>
      <c r="AC224" s="758"/>
      <c r="AD224" s="756"/>
      <c r="AE224" s="756"/>
      <c r="AF224" s="756"/>
      <c r="AG224" s="759"/>
      <c r="AH224" s="315">
        <f>Produzione!$G$54</f>
        <v>0</v>
      </c>
      <c r="AI224" s="758"/>
      <c r="AJ224" s="758"/>
      <c r="AK224" s="756"/>
      <c r="AL224" s="756"/>
      <c r="AM224" s="756"/>
    </row>
    <row r="225" spans="1:39">
      <c r="A225" s="757">
        <v>216</v>
      </c>
      <c r="B225" s="789"/>
      <c r="C225" s="790"/>
      <c r="D225" s="796"/>
      <c r="E225" s="795"/>
      <c r="F225" s="1344"/>
      <c r="G225" s="787"/>
      <c r="H225" s="798"/>
      <c r="J225" s="782"/>
      <c r="K225" s="783"/>
      <c r="M225" s="315">
        <f>Produzione!$G$13</f>
        <v>0</v>
      </c>
      <c r="N225" s="764"/>
      <c r="O225" s="852"/>
      <c r="P225" s="756"/>
      <c r="Q225" s="756"/>
      <c r="R225" s="756"/>
      <c r="S225" s="759"/>
      <c r="T225" s="315">
        <f>Produzione!$G$27</f>
        <v>0</v>
      </c>
      <c r="U225" s="764"/>
      <c r="V225" s="768"/>
      <c r="W225" s="756"/>
      <c r="X225" s="756"/>
      <c r="Y225" s="756"/>
      <c r="Z225" s="759"/>
      <c r="AA225" s="315">
        <f>Produzione!$G$41</f>
        <v>0</v>
      </c>
      <c r="AB225" s="764"/>
      <c r="AC225" s="768"/>
      <c r="AD225" s="756"/>
      <c r="AE225" s="756"/>
      <c r="AF225" s="756"/>
      <c r="AG225" s="759"/>
      <c r="AH225" s="315">
        <f>Produzione!$G$55</f>
        <v>0</v>
      </c>
      <c r="AI225" s="764"/>
      <c r="AJ225" s="768"/>
      <c r="AK225" s="756"/>
      <c r="AL225" s="756"/>
      <c r="AM225" s="756"/>
    </row>
    <row r="226" spans="1:39">
      <c r="A226" s="757">
        <v>217</v>
      </c>
      <c r="B226" s="799" t="str">
        <f>IF(J220=1,"Temperatura di mandata riscaldamento","")</f>
        <v>Temperatura di mandata riscaldamento</v>
      </c>
      <c r="C226" s="831" t="str">
        <f>IF(J220=1,"°C","")</f>
        <v>°C</v>
      </c>
      <c r="D226" s="786"/>
      <c r="E226" s="786"/>
      <c r="F226" s="1344"/>
      <c r="G226" s="787"/>
      <c r="H226" s="800"/>
      <c r="J226" s="782"/>
      <c r="K226" s="783"/>
      <c r="L226" s="770">
        <v>2</v>
      </c>
      <c r="M226" s="315">
        <f>Produzione!$G$14</f>
        <v>0</v>
      </c>
      <c r="N226" s="764"/>
      <c r="O226" s="852"/>
      <c r="P226" s="756"/>
      <c r="Q226" s="756"/>
      <c r="R226" s="756"/>
      <c r="S226" s="759"/>
      <c r="T226" s="315">
        <f>Produzione!$G$28</f>
        <v>0</v>
      </c>
      <c r="U226" s="764"/>
      <c r="V226" s="764"/>
      <c r="W226" s="756"/>
      <c r="X226" s="756"/>
      <c r="Y226" s="756"/>
      <c r="Z226" s="759"/>
      <c r="AA226" s="315">
        <f>Produzione!$G$42</f>
        <v>0</v>
      </c>
      <c r="AB226" s="764"/>
      <c r="AC226" s="764"/>
      <c r="AD226" s="756"/>
      <c r="AE226" s="756"/>
      <c r="AF226" s="756"/>
      <c r="AG226" s="759"/>
      <c r="AH226" s="315">
        <f>Produzione!$G$56</f>
        <v>0</v>
      </c>
      <c r="AI226" s="764"/>
      <c r="AJ226" s="764"/>
      <c r="AK226" s="756"/>
      <c r="AL226" s="756"/>
      <c r="AM226" s="756"/>
    </row>
    <row r="227" spans="1:39">
      <c r="A227" s="757">
        <v>218</v>
      </c>
      <c r="B227" s="799" t="str">
        <f>IF(AND(Warmwasser,K220=1),"Temperatura acqua calda sanitaria","")</f>
        <v/>
      </c>
      <c r="C227" s="831" t="str">
        <f>IF(AND(Warmwasser,K220=1),"°C","")</f>
        <v/>
      </c>
      <c r="D227" s="786"/>
      <c r="E227" s="786"/>
      <c r="F227" s="1344"/>
      <c r="G227" s="796"/>
      <c r="H227" s="788"/>
      <c r="J227" s="782"/>
      <c r="K227" s="783"/>
      <c r="L227" s="770">
        <v>2</v>
      </c>
      <c r="M227" s="315">
        <f>Produzione!$G$15</f>
        <v>0</v>
      </c>
      <c r="N227" s="758"/>
      <c r="O227" s="853"/>
      <c r="P227" s="756"/>
      <c r="Q227" s="756"/>
      <c r="R227" s="756" t="str">
        <f>IF(AND($K220=0,R230&lt;&gt;0),"Riscald. ausgewählt",IF(AND($J220=0,Q216&gt;0),"Acqua calda ausgewählt",""))</f>
        <v/>
      </c>
      <c r="S227" s="759"/>
      <c r="T227" s="315">
        <f>Produzione!$G$29</f>
        <v>0</v>
      </c>
      <c r="U227" s="758"/>
      <c r="V227" s="765"/>
      <c r="W227" s="756"/>
      <c r="X227" s="756"/>
      <c r="Y227" s="756" t="str">
        <f>IF(AND($K220=0,Y230&lt;&gt;0),"Riscald. ausgewählt",IF(AND($J220=0,X216&gt;0),"Acqua calda ausgewählt",""))</f>
        <v/>
      </c>
      <c r="Z227" s="759"/>
      <c r="AA227" s="315">
        <f>Produzione!$G$43</f>
        <v>0</v>
      </c>
      <c r="AB227" s="758"/>
      <c r="AC227" s="765"/>
      <c r="AD227" s="756"/>
      <c r="AE227" s="756"/>
      <c r="AF227" s="756" t="str">
        <f>IF(AND($K220=0,AF230&lt;&gt;0),"Riscald. ausgewählt",IF(AND($J220=0,AE216&gt;0),"Acqua calda ausgewählt",""))</f>
        <v/>
      </c>
      <c r="AG227" s="759"/>
      <c r="AH227" s="315">
        <f>Produzione!$G$57</f>
        <v>0</v>
      </c>
      <c r="AI227" s="758"/>
      <c r="AJ227" s="765"/>
      <c r="AK227" s="756"/>
      <c r="AL227" s="756"/>
      <c r="AM227" s="756" t="str">
        <f>IF(AND($K220=0,AM230&lt;&gt;0),"Riscald. ausgewählt",IF(AND($J220=0,AL216&gt;0),"Acqua calda ausgewählt",""))</f>
        <v/>
      </c>
    </row>
    <row r="228" spans="1:39">
      <c r="A228" s="757">
        <v>219</v>
      </c>
      <c r="B228" s="799" t="s">
        <v>1374</v>
      </c>
      <c r="C228" s="813" t="s">
        <v>410</v>
      </c>
      <c r="D228" s="795"/>
      <c r="E228" s="795"/>
      <c r="F228" s="791"/>
      <c r="G228" s="303"/>
      <c r="H228" s="317"/>
      <c r="J228" s="801"/>
      <c r="K228" s="802"/>
      <c r="M228" s="756"/>
      <c r="N228" s="321"/>
      <c r="O228" s="845">
        <f>IF(O223&lt;&gt;"",-(O229*M224/O223),)</f>
        <v>0</v>
      </c>
      <c r="P228" s="756"/>
      <c r="Q228" s="756">
        <f>IF(O223="",0,IF(Q229&lt;&gt;0,Q229,Q230)*J220)</f>
        <v>0</v>
      </c>
      <c r="R228" s="756">
        <f>IF(O223="",0,IF(R229&lt;&gt;0,R229,R230)*K220)</f>
        <v>0</v>
      </c>
      <c r="S228" s="759"/>
      <c r="T228" s="756"/>
      <c r="U228" s="321"/>
      <c r="V228" s="845">
        <f>IF(V223&lt;&gt;"",-(V229*T224/V223),)</f>
        <v>0</v>
      </c>
      <c r="W228" s="756"/>
      <c r="X228" s="756">
        <f>IF(V223="",0,IF(X229&lt;&gt;0,X229,X230)*J220)</f>
        <v>0</v>
      </c>
      <c r="Y228" s="756">
        <f>IF(V223="",0,IF(Y229&lt;&gt;0,Y229,Y230)*K220)</f>
        <v>0</v>
      </c>
      <c r="Z228" s="759"/>
      <c r="AA228" s="756"/>
      <c r="AB228" s="321"/>
      <c r="AC228" s="845">
        <f>IF(AC223&lt;&gt;"",-(AC229*AA224/AC223),)</f>
        <v>0</v>
      </c>
      <c r="AD228" s="756"/>
      <c r="AE228" s="756">
        <f>IF(AC223="",0,IF(AE229&lt;&gt;0,AE229,AE230)*J220)</f>
        <v>0</v>
      </c>
      <c r="AF228" s="756">
        <f>IF(AC223="",0,IF(AF229&lt;&gt;0,AF229,AF230)*K220)</f>
        <v>0</v>
      </c>
      <c r="AG228" s="759"/>
      <c r="AH228" s="756"/>
      <c r="AI228" s="321"/>
      <c r="AJ228" s="845">
        <f>IF(AJ223&lt;&gt;"",-(AJ229*AH224/AJ223),)</f>
        <v>0</v>
      </c>
      <c r="AK228" s="756"/>
      <c r="AL228" s="756">
        <f>IF(AJ223="",0,IF(AL229&lt;&gt;0,AL229,AL230)*J220)</f>
        <v>0</v>
      </c>
      <c r="AM228" s="756">
        <f>IF(AJ223="",0,IF(AM229&lt;&gt;0,AM229,AM230)*K220)</f>
        <v>0</v>
      </c>
    </row>
    <row r="229" spans="1:39">
      <c r="A229" s="757">
        <v>220</v>
      </c>
      <c r="B229" s="789" t="s">
        <v>652</v>
      </c>
      <c r="C229" s="813" t="s">
        <v>410</v>
      </c>
      <c r="D229" s="795"/>
      <c r="E229" s="786"/>
      <c r="F229" s="792"/>
      <c r="G229" s="303"/>
      <c r="H229" s="318"/>
      <c r="J229" s="803"/>
      <c r="K229" s="804"/>
      <c r="M229" s="758"/>
      <c r="N229" s="321"/>
      <c r="O229" s="845">
        <f>(Q228/100*qh/3.6+R228/100*qw)</f>
        <v>0</v>
      </c>
      <c r="P229" s="756"/>
      <c r="Q229" s="756"/>
      <c r="R229" s="756"/>
      <c r="S229" s="759"/>
      <c r="T229" s="756"/>
      <c r="U229" s="321"/>
      <c r="V229" s="324">
        <f>(X228/100*qh/3.6+Y228/100*qw)</f>
        <v>0</v>
      </c>
      <c r="W229" s="756"/>
      <c r="X229" s="756"/>
      <c r="Y229" s="756"/>
      <c r="Z229" s="759"/>
      <c r="AA229" s="758"/>
      <c r="AB229" s="321"/>
      <c r="AC229" s="324">
        <f>(AE228/100*qh/3.6+AF228/100*qw)</f>
        <v>0</v>
      </c>
      <c r="AD229" s="756"/>
      <c r="AE229" s="756"/>
      <c r="AF229" s="756"/>
      <c r="AG229" s="759"/>
      <c r="AH229" s="758"/>
      <c r="AI229" s="321"/>
      <c r="AJ229" s="324">
        <f>(AL228/100*qh/3.6+AM228/100*qw)</f>
        <v>0</v>
      </c>
      <c r="AK229" s="756"/>
      <c r="AL229" s="756"/>
      <c r="AM229" s="756"/>
    </row>
    <row r="230" spans="1:39">
      <c r="A230" s="757">
        <v>221</v>
      </c>
      <c r="B230" s="812" t="s">
        <v>41</v>
      </c>
      <c r="C230" s="813" t="s">
        <v>410</v>
      </c>
      <c r="D230" s="806"/>
      <c r="E230" s="806"/>
      <c r="F230" s="774"/>
      <c r="G230" s="319"/>
      <c r="H230" s="320"/>
      <c r="J230" s="807"/>
      <c r="K230" s="808"/>
      <c r="M230" s="756"/>
      <c r="N230" s="325"/>
      <c r="O230" s="846">
        <f>IF(AND(O223&gt;0,O223&lt;&gt;""),(Q228/100*qh/3.6+R228/100*qw)/(O223/100),)</f>
        <v>0</v>
      </c>
      <c r="P230" s="756"/>
      <c r="Q230" s="315">
        <f>Produzione!$K$18</f>
        <v>0</v>
      </c>
      <c r="R230" s="315">
        <f>Produzione!$L$18</f>
        <v>0</v>
      </c>
      <c r="S230" s="759"/>
      <c r="T230" s="756"/>
      <c r="U230" s="325"/>
      <c r="V230" s="846">
        <f>IF(AND(V223&gt;0,V223&lt;&gt;""),(X228/100*qh/3.6+Y228/100*qw)/(V223/100),)</f>
        <v>0</v>
      </c>
      <c r="W230" s="756"/>
      <c r="X230" s="315">
        <f>Produzione!$K$32</f>
        <v>0</v>
      </c>
      <c r="Y230" s="315">
        <f>Produzione!$L$32</f>
        <v>0</v>
      </c>
      <c r="Z230" s="759"/>
      <c r="AA230" s="756"/>
      <c r="AB230" s="325"/>
      <c r="AC230" s="846">
        <f>IF(AND(AC223&gt;0,AC223&lt;&gt;""),(AE228/100*qh/3.6+AF228/100*qw)/(AC223/100),)</f>
        <v>0</v>
      </c>
      <c r="AD230" s="756"/>
      <c r="AE230" s="315">
        <f>Produzione!$K$46</f>
        <v>0</v>
      </c>
      <c r="AF230" s="315">
        <f>Produzione!$L$46</f>
        <v>0</v>
      </c>
      <c r="AG230" s="759"/>
      <c r="AH230" s="756"/>
      <c r="AI230" s="325"/>
      <c r="AJ230" s="846">
        <f>IF(AND(AJ223&gt;0,AJ223&lt;&gt;""),(AL228/100*qh/3.6+AM228/100*qw)/(AJ223/100),)</f>
        <v>0</v>
      </c>
      <c r="AK230" s="756"/>
      <c r="AL230" s="315">
        <f>Produzione!$K$60</f>
        <v>0</v>
      </c>
      <c r="AM230" s="315">
        <f>Produzione!$L$60</f>
        <v>0</v>
      </c>
    </row>
    <row r="231" spans="1:39">
      <c r="A231" s="757">
        <v>222</v>
      </c>
      <c r="B231" s="759"/>
      <c r="C231" s="833"/>
      <c r="D231" s="759"/>
      <c r="E231" s="759"/>
      <c r="F231" s="817"/>
      <c r="G231" s="759"/>
      <c r="H231" s="759"/>
      <c r="I231" s="759"/>
      <c r="J231" s="759"/>
      <c r="Q231" s="761" t="str">
        <f>IF(Q229&lt;&gt;0,IF(Q230&lt;&gt;0,"Doppelte Eingabe",""),IF(R229&lt;&gt;0,IF(R230&lt;&gt;0,"Doppelte Eingabe",""),""))</f>
        <v/>
      </c>
      <c r="S231" s="759"/>
      <c r="X231" s="761" t="str">
        <f>IF(X229&lt;&gt;0,IF(X230&lt;&gt;0,"Doppelte Eingabe",""),IF(Y229&lt;&gt;0,IF(Y230&lt;&gt;0,"Doppelte Eingabe",""),""))</f>
        <v/>
      </c>
      <c r="Z231" s="759"/>
      <c r="AE231" s="761" t="str">
        <f>IF(AE229&lt;&gt;0,IF(AE230&lt;&gt;0,"Doppelte Eingabe",""),IF(AF229&lt;&gt;0,IF(AF230&lt;&gt;0,"Doppelte Eingabe",""),""))</f>
        <v/>
      </c>
      <c r="AG231" s="759"/>
      <c r="AL231" s="761" t="str">
        <f>IF(AL229&lt;&gt;0,IF(AL230&lt;&gt;0,"Doppelte Eingabe",""),IF(AM229&lt;&gt;0,IF(AM230&lt;&gt;0,"Doppelte Eingabe",""),""))</f>
        <v/>
      </c>
    </row>
    <row r="232" spans="1:39">
      <c r="A232" s="757">
        <v>223</v>
      </c>
      <c r="B232" s="755"/>
      <c r="C232" s="834"/>
      <c r="D232" s="762"/>
      <c r="E232" s="762"/>
      <c r="G232" s="762"/>
      <c r="H232" s="818"/>
      <c r="J232" s="762" t="s">
        <v>1620</v>
      </c>
      <c r="N232" s="762"/>
      <c r="P232" s="759"/>
      <c r="Q232" s="762" t="s">
        <v>1620</v>
      </c>
      <c r="R232" s="759"/>
      <c r="S232" s="759"/>
      <c r="T232" s="759"/>
      <c r="U232" s="762"/>
      <c r="W232" s="759"/>
      <c r="X232" s="762" t="s">
        <v>1620</v>
      </c>
      <c r="Z232" s="759"/>
      <c r="AA232" s="806"/>
      <c r="AB232" s="755"/>
      <c r="AD232" s="806"/>
      <c r="AE232" s="755" t="s">
        <v>1620</v>
      </c>
      <c r="AF232" s="806"/>
      <c r="AG232" s="759"/>
      <c r="AH232" s="806"/>
      <c r="AI232" s="755"/>
      <c r="AK232" s="806"/>
      <c r="AL232" s="755" t="s">
        <v>1620</v>
      </c>
      <c r="AM232" s="806"/>
    </row>
    <row r="233" spans="1:39">
      <c r="A233" s="757">
        <v>224</v>
      </c>
      <c r="B233" s="772" t="str">
        <f>INDEX(Standardwerte!$V$6:$V$43,Rechnung!$C233,1)</f>
        <v>Pompa di calore ad aria, solo riscaldamento</v>
      </c>
      <c r="C233" s="835">
        <v>17</v>
      </c>
      <c r="D233" s="819"/>
      <c r="E233" s="820"/>
      <c r="F233" s="821"/>
      <c r="G233" s="819"/>
      <c r="H233" s="822"/>
      <c r="J233" s="760" t="s">
        <v>525</v>
      </c>
      <c r="K233" s="756" t="s">
        <v>1622</v>
      </c>
      <c r="M233" s="756"/>
      <c r="N233" s="760"/>
      <c r="O233" s="852"/>
      <c r="P233" s="756"/>
      <c r="Q233" s="760" t="s">
        <v>525</v>
      </c>
      <c r="R233" s="756" t="s">
        <v>1622</v>
      </c>
      <c r="S233" s="759"/>
      <c r="T233" s="756"/>
      <c r="U233" s="760"/>
      <c r="V233" s="764"/>
      <c r="W233" s="756"/>
      <c r="X233" s="760" t="s">
        <v>525</v>
      </c>
      <c r="Y233" s="756" t="s">
        <v>1622</v>
      </c>
      <c r="Z233" s="759"/>
      <c r="AA233" s="777"/>
      <c r="AB233" s="776"/>
      <c r="AC233" s="934"/>
      <c r="AD233" s="777"/>
      <c r="AE233" s="776" t="s">
        <v>525</v>
      </c>
      <c r="AF233" s="777" t="s">
        <v>1622</v>
      </c>
      <c r="AG233" s="759"/>
      <c r="AH233" s="777"/>
      <c r="AI233" s="776"/>
      <c r="AJ233" s="934"/>
      <c r="AK233" s="777"/>
      <c r="AL233" s="776" t="s">
        <v>525</v>
      </c>
      <c r="AM233" s="777" t="s">
        <v>1622</v>
      </c>
    </row>
    <row r="234" spans="1:39">
      <c r="A234" s="757">
        <v>225</v>
      </c>
      <c r="B234" s="778" t="s">
        <v>526</v>
      </c>
      <c r="C234" s="830"/>
      <c r="D234" s="779"/>
      <c r="E234" s="312"/>
      <c r="F234" s="313">
        <f>INDEX($M$10:$AM$162,$A$10+(_typ1-1)*14,1)</f>
        <v>0</v>
      </c>
      <c r="G234" s="780"/>
      <c r="H234" s="781"/>
      <c r="J234" s="782">
        <f>INDEX(Standardwerte!$Y$6:$Z$43,$C233,2)</f>
        <v>1</v>
      </c>
      <c r="K234" s="783">
        <f>INDEX(Standardwerte!$Y$6:$Z$43,$C233,1)</f>
        <v>0</v>
      </c>
      <c r="M234" s="315">
        <f>Produzione!$G$8</f>
        <v>0</v>
      </c>
      <c r="N234" s="764"/>
      <c r="O234" s="852"/>
      <c r="P234" s="756"/>
      <c r="Q234" s="756"/>
      <c r="R234" s="756"/>
      <c r="S234" s="759"/>
      <c r="T234" s="315">
        <f>Produzione!$G$22</f>
        <v>0</v>
      </c>
      <c r="U234" s="764"/>
      <c r="V234" s="764"/>
      <c r="W234" s="756"/>
      <c r="X234" s="756"/>
      <c r="Y234" s="756"/>
      <c r="Z234" s="759"/>
      <c r="AA234" s="315">
        <f>Produzione!$G$36</f>
        <v>0</v>
      </c>
      <c r="AB234" s="764"/>
      <c r="AC234" s="764"/>
      <c r="AD234" s="756"/>
      <c r="AE234" s="756"/>
      <c r="AF234" s="756"/>
      <c r="AG234" s="759"/>
      <c r="AH234" s="315">
        <f>Produzione!$G$50</f>
        <v>0</v>
      </c>
      <c r="AI234" s="764"/>
      <c r="AJ234" s="764"/>
      <c r="AK234" s="756"/>
      <c r="AL234" s="756"/>
      <c r="AM234" s="756"/>
    </row>
    <row r="235" spans="1:39">
      <c r="A235" s="757">
        <v>226</v>
      </c>
      <c r="B235" s="784" t="s">
        <v>697</v>
      </c>
      <c r="C235" s="794" t="s">
        <v>776</v>
      </c>
      <c r="E235" s="786"/>
      <c r="F235" s="809">
        <f>INDEX(Standardwerte!$W$6:$W$43,$C233,1)</f>
        <v>2.2999999999999998</v>
      </c>
      <c r="G235" s="787"/>
      <c r="H235" s="788"/>
      <c r="J235" s="782"/>
      <c r="K235" s="783"/>
      <c r="M235" s="315">
        <f>Produzione!$G$10</f>
        <v>0</v>
      </c>
      <c r="N235" s="764"/>
      <c r="O235" s="863">
        <f>$F$235</f>
        <v>2.2999999999999998</v>
      </c>
      <c r="P235" s="756"/>
      <c r="Q235" s="756"/>
      <c r="R235" s="756"/>
      <c r="S235" s="759"/>
      <c r="T235" s="315">
        <f>Produzione!$G$24</f>
        <v>0</v>
      </c>
      <c r="U235" s="764"/>
      <c r="V235" s="863">
        <f>$F$235</f>
        <v>2.2999999999999998</v>
      </c>
      <c r="W235" s="756"/>
      <c r="X235" s="756"/>
      <c r="Y235" s="756"/>
      <c r="Z235" s="759"/>
      <c r="AA235" s="315">
        <f>Produzione!$G$38</f>
        <v>0</v>
      </c>
      <c r="AB235" s="764"/>
      <c r="AC235" s="863">
        <f>$F$235</f>
        <v>2.2999999999999998</v>
      </c>
      <c r="AD235" s="756"/>
      <c r="AE235" s="756"/>
      <c r="AF235" s="756"/>
      <c r="AG235" s="759"/>
      <c r="AH235" s="315">
        <f>Produzione!$G$52</f>
        <v>0</v>
      </c>
      <c r="AI235" s="764"/>
      <c r="AJ235" s="863">
        <f>$F$235</f>
        <v>2.2999999999999998</v>
      </c>
      <c r="AK235" s="756"/>
      <c r="AL235" s="756"/>
      <c r="AM235" s="756"/>
    </row>
    <row r="236" spans="1:39">
      <c r="A236" s="757">
        <v>227</v>
      </c>
      <c r="B236" s="789" t="s">
        <v>698</v>
      </c>
      <c r="C236" s="794" t="s">
        <v>776</v>
      </c>
      <c r="D236" s="786"/>
      <c r="E236" s="786"/>
      <c r="F236" s="1344"/>
      <c r="G236" s="792"/>
      <c r="H236" s="793"/>
      <c r="J236" s="782"/>
      <c r="K236" s="783"/>
      <c r="L236" s="770">
        <v>1</v>
      </c>
      <c r="M236" s="756"/>
      <c r="N236" s="766"/>
      <c r="O236" s="854"/>
      <c r="P236" s="756"/>
      <c r="Q236" s="756"/>
      <c r="R236" s="756"/>
      <c r="S236" s="759"/>
      <c r="T236" s="756"/>
      <c r="U236" s="766"/>
      <c r="V236" s="767"/>
      <c r="W236" s="756"/>
      <c r="X236" s="756"/>
      <c r="Y236" s="756"/>
      <c r="Z236" s="759"/>
      <c r="AA236" s="756"/>
      <c r="AB236" s="766"/>
      <c r="AC236" s="767"/>
      <c r="AD236" s="756"/>
      <c r="AE236" s="756"/>
      <c r="AF236" s="756"/>
      <c r="AG236" s="759"/>
      <c r="AH236" s="756"/>
      <c r="AI236" s="766"/>
      <c r="AJ236" s="767"/>
      <c r="AK236" s="756"/>
      <c r="AL236" s="756"/>
      <c r="AM236" s="756"/>
    </row>
    <row r="237" spans="1:39">
      <c r="A237" s="757">
        <v>228</v>
      </c>
      <c r="B237" s="789" t="s">
        <v>699</v>
      </c>
      <c r="C237" s="794" t="s">
        <v>776</v>
      </c>
      <c r="D237" s="786"/>
      <c r="E237" s="786"/>
      <c r="F237" s="791"/>
      <c r="G237" s="303"/>
      <c r="H237" s="316"/>
      <c r="J237" s="782"/>
      <c r="K237" s="783"/>
      <c r="M237" s="756"/>
      <c r="N237" s="321"/>
      <c r="O237" s="855" t="str">
        <f>IF(M235&lt;&gt;0,M235,IF(Produzione!$E$10&lt;&gt;"",Produzione!$E$10,Produzione!$G$9))</f>
        <v/>
      </c>
      <c r="P237" s="756"/>
      <c r="Q237" s="756"/>
      <c r="R237" s="756"/>
      <c r="S237" s="759"/>
      <c r="T237" s="756"/>
      <c r="U237" s="321"/>
      <c r="V237" s="322" t="str">
        <f>IF(T235&lt;&gt;0,T235,IF(Produzione!$E$24&lt;&gt;"",Produzione!$E$24,Produzione!$G$23))</f>
        <v/>
      </c>
      <c r="W237" s="756"/>
      <c r="X237" s="756"/>
      <c r="Y237" s="756"/>
      <c r="Z237" s="759"/>
      <c r="AA237" s="756"/>
      <c r="AB237" s="321"/>
      <c r="AC237" s="322" t="str">
        <f>IF(AA235&lt;&gt;0,AA235,IF(Produzione!$E$38&lt;&gt;"",Produzione!$E$38,Produzione!$G$37))</f>
        <v/>
      </c>
      <c r="AD237" s="756"/>
      <c r="AE237" s="756"/>
      <c r="AF237" s="756"/>
      <c r="AG237" s="759"/>
      <c r="AH237" s="756"/>
      <c r="AI237" s="321"/>
      <c r="AJ237" s="322" t="str">
        <f>IF(AH235&lt;&gt;0,AH235,IF(Produzione!$E$52&lt;&gt;"",Produzione!$E$52,Produzione!$G$51))</f>
        <v/>
      </c>
      <c r="AK237" s="756"/>
      <c r="AL237" s="756"/>
      <c r="AM237" s="756"/>
    </row>
    <row r="238" spans="1:39">
      <c r="A238" s="757">
        <v>229</v>
      </c>
      <c r="B238" s="789" t="s">
        <v>51</v>
      </c>
      <c r="C238" s="790" t="s">
        <v>761</v>
      </c>
      <c r="D238" s="787"/>
      <c r="E238" s="795"/>
      <c r="F238" s="1344"/>
      <c r="G238" s="796"/>
      <c r="H238" s="797"/>
      <c r="J238" s="782"/>
      <c r="K238" s="783"/>
      <c r="L238" s="770">
        <v>1</v>
      </c>
      <c r="M238" s="315">
        <f>Produzione!$G$12</f>
        <v>0</v>
      </c>
      <c r="N238" s="758"/>
      <c r="O238" s="854"/>
      <c r="P238" s="756"/>
      <c r="Q238" s="756"/>
      <c r="R238" s="756"/>
      <c r="S238" s="759"/>
      <c r="T238" s="315">
        <f>Produzione!$G$26</f>
        <v>0</v>
      </c>
      <c r="U238" s="758"/>
      <c r="V238" s="758"/>
      <c r="W238" s="756"/>
      <c r="X238" s="756"/>
      <c r="Y238" s="756"/>
      <c r="Z238" s="759"/>
      <c r="AA238" s="315">
        <f>Produzione!$G$40</f>
        <v>0</v>
      </c>
      <c r="AB238" s="758"/>
      <c r="AC238" s="758"/>
      <c r="AD238" s="756"/>
      <c r="AE238" s="756"/>
      <c r="AF238" s="756"/>
      <c r="AG238" s="759"/>
      <c r="AH238" s="315">
        <f>Produzione!$G$54</f>
        <v>0</v>
      </c>
      <c r="AI238" s="758"/>
      <c r="AJ238" s="758"/>
      <c r="AK238" s="756"/>
      <c r="AL238" s="756"/>
      <c r="AM238" s="756"/>
    </row>
    <row r="239" spans="1:39">
      <c r="A239" s="757">
        <v>230</v>
      </c>
      <c r="B239" s="789" t="str">
        <f>IF(J234=1,"fabbisogno di potenza termica dell'edificio","")</f>
        <v>fabbisogno di potenza termica dell'edificio</v>
      </c>
      <c r="C239" s="790" t="str">
        <f>IF(J234=1,"kW","")</f>
        <v>kW</v>
      </c>
      <c r="D239" s="796"/>
      <c r="E239" s="795"/>
      <c r="F239" s="1344"/>
      <c r="G239" s="787"/>
      <c r="H239" s="798"/>
      <c r="J239" s="782"/>
      <c r="K239" s="783"/>
      <c r="L239" s="770">
        <v>2</v>
      </c>
      <c r="M239" s="315">
        <f>Produzione!$G$13</f>
        <v>0</v>
      </c>
      <c r="N239" s="764"/>
      <c r="O239" s="852"/>
      <c r="P239" s="756"/>
      <c r="Q239" s="756"/>
      <c r="R239" s="756"/>
      <c r="S239" s="759"/>
      <c r="T239" s="315">
        <f>Produzione!$G$27</f>
        <v>0</v>
      </c>
      <c r="U239" s="764"/>
      <c r="V239" s="768"/>
      <c r="W239" s="756"/>
      <c r="X239" s="756"/>
      <c r="Y239" s="756"/>
      <c r="Z239" s="759"/>
      <c r="AA239" s="315">
        <f>Produzione!$G$41</f>
        <v>0</v>
      </c>
      <c r="AB239" s="764"/>
      <c r="AC239" s="768"/>
      <c r="AD239" s="756"/>
      <c r="AE239" s="756"/>
      <c r="AF239" s="756"/>
      <c r="AG239" s="759"/>
      <c r="AH239" s="315">
        <f>Produzione!$G$55</f>
        <v>0</v>
      </c>
      <c r="AI239" s="764"/>
      <c r="AJ239" s="768"/>
      <c r="AK239" s="756"/>
      <c r="AL239" s="756"/>
      <c r="AM239" s="756"/>
    </row>
    <row r="240" spans="1:39">
      <c r="A240" s="757">
        <v>231</v>
      </c>
      <c r="B240" s="799" t="str">
        <f>IF(J234=1,"Temperatura di mandata riscaldamento","")</f>
        <v>Temperatura di mandata riscaldamento</v>
      </c>
      <c r="C240" s="831" t="str">
        <f>IF(J234=1,"°C","")</f>
        <v>°C</v>
      </c>
      <c r="D240" s="786"/>
      <c r="E240" s="786"/>
      <c r="F240" s="1344"/>
      <c r="G240" s="787"/>
      <c r="H240" s="800"/>
      <c r="J240" s="782"/>
      <c r="K240" s="783"/>
      <c r="L240" s="770">
        <v>2</v>
      </c>
      <c r="M240" s="315">
        <f>Produzione!$G$14</f>
        <v>0</v>
      </c>
      <c r="N240" s="764"/>
      <c r="P240" s="756"/>
      <c r="Q240" s="756"/>
      <c r="R240" s="756"/>
      <c r="S240" s="759"/>
      <c r="T240" s="315">
        <f>Produzione!$G$28</f>
        <v>0</v>
      </c>
      <c r="U240" s="764"/>
      <c r="W240" s="756"/>
      <c r="X240" s="756"/>
      <c r="Y240" s="756"/>
      <c r="Z240" s="759"/>
      <c r="AA240" s="315">
        <f>Produzione!$G$42</f>
        <v>0</v>
      </c>
      <c r="AB240" s="764"/>
      <c r="AD240" s="756"/>
      <c r="AE240" s="756"/>
      <c r="AF240" s="756"/>
      <c r="AG240" s="759"/>
      <c r="AH240" s="315">
        <f>Produzione!$G$56</f>
        <v>0</v>
      </c>
      <c r="AI240" s="764"/>
      <c r="AK240" s="756"/>
      <c r="AL240" s="756"/>
      <c r="AM240" s="756"/>
    </row>
    <row r="241" spans="1:39">
      <c r="A241" s="757">
        <v>232</v>
      </c>
      <c r="B241" s="799" t="str">
        <f>IF(AND(Warmwasser,K234=1),"Temperatura acqua calda sanitaria","")</f>
        <v/>
      </c>
      <c r="C241" s="831" t="str">
        <f>IF(AND(Warmwasser,K234=1),"°C","")</f>
        <v/>
      </c>
      <c r="D241" s="786"/>
      <c r="E241" s="786"/>
      <c r="F241" s="1344"/>
      <c r="G241" s="796"/>
      <c r="H241" s="788"/>
      <c r="J241" s="782"/>
      <c r="K241" s="783"/>
      <c r="M241" s="315">
        <f>Produzione!$G$15</f>
        <v>0</v>
      </c>
      <c r="N241" s="758"/>
      <c r="O241" s="853"/>
      <c r="P241" s="756"/>
      <c r="Q241" s="756"/>
      <c r="R241" s="756" t="str">
        <f>IF(AND($K234=0,R244&lt;&gt;0),"Riscald. ausgewählt",IF(AND($J234=0,Q216&gt;0),"Acqua calda ausgewählt",""))</f>
        <v/>
      </c>
      <c r="S241" s="759"/>
      <c r="T241" s="315">
        <f>Produzione!$G$29</f>
        <v>0</v>
      </c>
      <c r="U241" s="758"/>
      <c r="V241" s="765"/>
      <c r="W241" s="756"/>
      <c r="X241" s="756"/>
      <c r="Y241" s="756" t="str">
        <f>IF(AND($K234=0,Y244&lt;&gt;0),"Riscald. ausgewählt",IF(AND($J234=0,X216&gt;0),"Acqua calda ausgewählt",""))</f>
        <v/>
      </c>
      <c r="Z241" s="759"/>
      <c r="AA241" s="315">
        <f>Produzione!$G$43</f>
        <v>0</v>
      </c>
      <c r="AB241" s="758"/>
      <c r="AC241" s="765"/>
      <c r="AD241" s="756"/>
      <c r="AE241" s="756"/>
      <c r="AF241" s="756" t="str">
        <f>IF(AND($K234=0,AF244&lt;&gt;0),"Riscald. ausgewählt",IF(AND($J234=0,AE216&gt;0),"Acqua calda ausgewählt",""))</f>
        <v/>
      </c>
      <c r="AG241" s="759"/>
      <c r="AH241" s="315">
        <f>Produzione!$G$57</f>
        <v>0</v>
      </c>
      <c r="AI241" s="758"/>
      <c r="AJ241" s="765"/>
      <c r="AK241" s="756"/>
      <c r="AL241" s="756"/>
      <c r="AM241" s="756" t="str">
        <f>IF(AND($K234=0,AM244&lt;&gt;0),"Riscald. ausgewählt",IF(AND($J234=0,AL216&gt;0),"Acqua calda ausgewählt",""))</f>
        <v/>
      </c>
    </row>
    <row r="242" spans="1:39">
      <c r="A242" s="757">
        <v>233</v>
      </c>
      <c r="B242" s="799" t="s">
        <v>1374</v>
      </c>
      <c r="C242" s="813" t="s">
        <v>410</v>
      </c>
      <c r="D242" s="795"/>
      <c r="E242" s="795"/>
      <c r="F242" s="791"/>
      <c r="G242" s="303"/>
      <c r="H242" s="317"/>
      <c r="J242" s="801"/>
      <c r="K242" s="802"/>
      <c r="M242" s="756"/>
      <c r="N242" s="321"/>
      <c r="O242" s="849">
        <f>IF(O237="",,R242/100*qw/O237+Q242/100*qh/3.6/O237)</f>
        <v>0</v>
      </c>
      <c r="P242" s="756"/>
      <c r="Q242" s="756">
        <f>IF(AND(Q244&lt;&gt;0,Q243=0),Q244,IF(Q244&lt;&gt;0,MIN(Q244,Q243),Q243))*$J234</f>
        <v>0</v>
      </c>
      <c r="R242" s="756">
        <f>IF(R243&lt;&gt;0,R243,R244)*$K234</f>
        <v>0</v>
      </c>
      <c r="S242" s="759"/>
      <c r="T242" s="756"/>
      <c r="U242" s="321"/>
      <c r="V242" s="847">
        <f>IF(V237="",,Y242/100*qw/V237+X242/100*qh/3.6/V237)</f>
        <v>0</v>
      </c>
      <c r="W242" s="756"/>
      <c r="X242" s="756">
        <f>IF(AND(X244&lt;&gt;0,X243=0),X244,IF(X244&lt;&gt;0,MIN(X244,X243),X243))*J234</f>
        <v>0</v>
      </c>
      <c r="Y242" s="756">
        <f>IF(Y243&lt;&gt;0,Y243,Y244)*K234</f>
        <v>0</v>
      </c>
      <c r="Z242" s="759"/>
      <c r="AA242" s="756"/>
      <c r="AB242" s="321"/>
      <c r="AC242" s="847">
        <f>IF(AC237="",,AF242/100*qw/AC237+AE242/100*qh/3.6/AC237)</f>
        <v>0</v>
      </c>
      <c r="AD242" s="756"/>
      <c r="AE242" s="756">
        <f>IF(AND(AE244&lt;&gt;0,AE243=0),AE244,IF(AE244&lt;&gt;0,MIN(AE244,AE243),AE243))*J234</f>
        <v>0</v>
      </c>
      <c r="AF242" s="756">
        <f>IF(AF243&lt;&gt;0,AF243,AF244)*K234</f>
        <v>0</v>
      </c>
      <c r="AG242" s="759"/>
      <c r="AH242" s="756"/>
      <c r="AI242" s="321"/>
      <c r="AJ242" s="847">
        <f>IF(AJ237="",,AM242/100*qw/AJ237+AL242/100*qh/3.6/AJ237)</f>
        <v>0</v>
      </c>
      <c r="AK242" s="756"/>
      <c r="AL242" s="756">
        <f>IF(AND(AL244&lt;&gt;0,AL243=0),AL244,IF(AL244&lt;&gt;0,MIN(AL244,AL243),AL243))*J234</f>
        <v>0</v>
      </c>
      <c r="AM242" s="756">
        <f>IF(AM243&lt;&gt;0,AM243,AM244)*K234</f>
        <v>0</v>
      </c>
    </row>
    <row r="243" spans="1:39">
      <c r="A243" s="757">
        <v>234</v>
      </c>
      <c r="B243" s="789" t="s">
        <v>652</v>
      </c>
      <c r="C243" s="813" t="s">
        <v>410</v>
      </c>
      <c r="D243" s="795"/>
      <c r="E243" s="786"/>
      <c r="F243" s="792"/>
      <c r="G243" s="303"/>
      <c r="H243" s="318"/>
      <c r="J243" s="803"/>
      <c r="K243" s="804"/>
      <c r="M243" s="758"/>
      <c r="N243" s="321"/>
      <c r="O243" s="845">
        <f>IF(O237=0,,(Q242/100*qh/3.6+R242/100*qw))</f>
        <v>0</v>
      </c>
      <c r="P243" s="756"/>
      <c r="Q243" s="756"/>
      <c r="R243" s="756"/>
      <c r="S243" s="759"/>
      <c r="T243" s="756"/>
      <c r="U243" s="321"/>
      <c r="V243" s="845">
        <f>IF(V237=0,,(X242/100*qh/3.6+Y242/100*qw))</f>
        <v>0</v>
      </c>
      <c r="W243" s="756"/>
      <c r="X243" s="756"/>
      <c r="Y243" s="756"/>
      <c r="Z243" s="759"/>
      <c r="AA243" s="758"/>
      <c r="AB243" s="321"/>
      <c r="AC243" s="845">
        <f>IF(AC237=0,,(AE242/100*qh/3.6+AF242/100*qw))</f>
        <v>0</v>
      </c>
      <c r="AD243" s="756"/>
      <c r="AE243" s="756"/>
      <c r="AF243" s="756"/>
      <c r="AG243" s="759"/>
      <c r="AH243" s="758"/>
      <c r="AI243" s="321"/>
      <c r="AJ243" s="845">
        <f>IF(AJ237=0,,(AL242/100*qh/3.6+AM242/100*qw))</f>
        <v>0</v>
      </c>
      <c r="AK243" s="756"/>
      <c r="AL243" s="756"/>
      <c r="AM243" s="756"/>
    </row>
    <row r="244" spans="1:39">
      <c r="A244" s="757">
        <v>235</v>
      </c>
      <c r="B244" s="824"/>
      <c r="C244" s="836"/>
      <c r="D244" s="806"/>
      <c r="E244" s="806"/>
      <c r="F244" s="774"/>
      <c r="G244" s="319"/>
      <c r="H244" s="320"/>
      <c r="J244" s="807"/>
      <c r="K244" s="808"/>
      <c r="M244" s="756"/>
      <c r="N244" s="325"/>
      <c r="O244" s="858"/>
      <c r="P244" s="756"/>
      <c r="Q244" s="315">
        <f>Produzione!$K$18</f>
        <v>0</v>
      </c>
      <c r="R244" s="315">
        <f>Produzione!$L$18</f>
        <v>0</v>
      </c>
      <c r="S244" s="759"/>
      <c r="T244" s="756"/>
      <c r="U244" s="325"/>
      <c r="V244" s="325"/>
      <c r="W244" s="756"/>
      <c r="X244" s="315">
        <f>Produzione!$K$32</f>
        <v>0</v>
      </c>
      <c r="Y244" s="315">
        <f>Produzione!$L$32</f>
        <v>0</v>
      </c>
      <c r="Z244" s="759"/>
      <c r="AA244" s="756"/>
      <c r="AB244" s="325"/>
      <c r="AC244" s="325"/>
      <c r="AD244" s="756"/>
      <c r="AE244" s="315">
        <f>Produzione!$K$46</f>
        <v>0</v>
      </c>
      <c r="AF244" s="315">
        <f>Produzione!$L$46</f>
        <v>0</v>
      </c>
      <c r="AG244" s="759"/>
      <c r="AH244" s="756"/>
      <c r="AI244" s="325"/>
      <c r="AJ244" s="325"/>
      <c r="AK244" s="756"/>
      <c r="AL244" s="315">
        <f>Produzione!$K$60</f>
        <v>0</v>
      </c>
      <c r="AM244" s="315">
        <f>Produzione!$L$60</f>
        <v>0</v>
      </c>
    </row>
    <row r="245" spans="1:39">
      <c r="A245" s="757">
        <v>236</v>
      </c>
      <c r="B245" s="759"/>
      <c r="C245" s="833"/>
      <c r="D245" s="759"/>
      <c r="E245" s="759"/>
      <c r="F245" s="817"/>
      <c r="G245" s="759"/>
      <c r="H245" s="759"/>
      <c r="I245" s="759"/>
      <c r="J245" s="759"/>
      <c r="Q245" s="761" t="str">
        <f>IF(AND(Q244&lt;&gt;0,Q243=0),"",IF(Q244&gt;Q243,"tasso troppo alto",""))</f>
        <v/>
      </c>
      <c r="S245" s="759"/>
      <c r="X245" s="761" t="str">
        <f>IF(AND(X244&lt;&gt;0,X243=0),"",IF(X244&gt;X243,"tasso troppo alto",""))</f>
        <v/>
      </c>
      <c r="Z245" s="759"/>
      <c r="AE245" s="761" t="str">
        <f>IF(AND(AE244&lt;&gt;0,AE243=0),"",IF(AE244&gt;AE243,"tasso troppo alto",""))</f>
        <v/>
      </c>
      <c r="AG245" s="759"/>
      <c r="AL245" s="761" t="str">
        <f>IF(AND(AL244&lt;&gt;0,AL243=0),"",IF(AL244&gt;AL243,"tasso troppo alto",""))</f>
        <v/>
      </c>
    </row>
    <row r="246" spans="1:39">
      <c r="A246" s="757">
        <v>237</v>
      </c>
      <c r="B246" s="755"/>
      <c r="C246" s="834"/>
      <c r="D246" s="762"/>
      <c r="E246" s="762"/>
      <c r="G246" s="762"/>
      <c r="H246" s="818"/>
      <c r="J246" s="762" t="s">
        <v>1620</v>
      </c>
      <c r="N246" s="762"/>
      <c r="O246" s="860"/>
      <c r="P246" s="759"/>
      <c r="Q246" s="762" t="s">
        <v>1620</v>
      </c>
      <c r="R246" s="759"/>
      <c r="S246" s="759"/>
      <c r="T246" s="759"/>
      <c r="U246" s="762"/>
      <c r="V246" s="769"/>
      <c r="W246" s="759"/>
      <c r="X246" s="762" t="s">
        <v>1620</v>
      </c>
      <c r="Y246" s="759"/>
      <c r="Z246" s="759"/>
      <c r="AA246" s="759"/>
      <c r="AB246" s="762"/>
      <c r="AC246" s="769"/>
      <c r="AD246" s="759"/>
      <c r="AE246" s="762" t="s">
        <v>1620</v>
      </c>
      <c r="AF246" s="759"/>
      <c r="AG246" s="759"/>
      <c r="AH246" s="759"/>
      <c r="AI246" s="762"/>
      <c r="AJ246" s="769"/>
      <c r="AK246" s="759"/>
      <c r="AL246" s="762" t="s">
        <v>1620</v>
      </c>
      <c r="AM246" s="759"/>
    </row>
    <row r="247" spans="1:39">
      <c r="A247" s="757">
        <v>238</v>
      </c>
      <c r="B247" s="772" t="str">
        <f>INDEX(Standardwerte!$V$6:$V$43,Rechnung!$C247,1)</f>
        <v>Pompa di calore ad aria, solo acqua calda</v>
      </c>
      <c r="C247" s="835">
        <v>18</v>
      </c>
      <c r="D247" s="819"/>
      <c r="E247" s="820"/>
      <c r="F247" s="821"/>
      <c r="G247" s="819"/>
      <c r="H247" s="822"/>
      <c r="J247" s="760" t="s">
        <v>525</v>
      </c>
      <c r="K247" s="756" t="s">
        <v>1622</v>
      </c>
      <c r="M247" s="756"/>
      <c r="N247" s="760"/>
      <c r="O247" s="852"/>
      <c r="P247" s="756"/>
      <c r="Q247" s="760" t="s">
        <v>525</v>
      </c>
      <c r="R247" s="756" t="s">
        <v>1622</v>
      </c>
      <c r="S247" s="759"/>
      <c r="T247" s="756"/>
      <c r="U247" s="760"/>
      <c r="V247" s="764"/>
      <c r="W247" s="756"/>
      <c r="X247" s="760" t="s">
        <v>525</v>
      </c>
      <c r="Y247" s="756" t="s">
        <v>1622</v>
      </c>
      <c r="Z247" s="759"/>
      <c r="AA247" s="756"/>
      <c r="AB247" s="760"/>
      <c r="AC247" s="764"/>
      <c r="AD247" s="756"/>
      <c r="AE247" s="760" t="s">
        <v>525</v>
      </c>
      <c r="AF247" s="756" t="s">
        <v>1622</v>
      </c>
      <c r="AG247" s="759"/>
      <c r="AH247" s="756"/>
      <c r="AI247" s="760"/>
      <c r="AJ247" s="764"/>
      <c r="AK247" s="756"/>
      <c r="AL247" s="760" t="s">
        <v>525</v>
      </c>
      <c r="AM247" s="756" t="s">
        <v>1622</v>
      </c>
    </row>
    <row r="248" spans="1:39">
      <c r="A248" s="757">
        <v>239</v>
      </c>
      <c r="B248" s="778" t="s">
        <v>526</v>
      </c>
      <c r="C248" s="830"/>
      <c r="D248" s="779"/>
      <c r="E248" s="312"/>
      <c r="F248" s="313">
        <f>INDEX($M$10:$AM$162,$A$10+(_typ1-1)*14,1)</f>
        <v>0</v>
      </c>
      <c r="G248" s="780"/>
      <c r="H248" s="781"/>
      <c r="J248" s="782">
        <f>INDEX(Standardwerte!$Y$6:$Z$43,$C247,2)</f>
        <v>0</v>
      </c>
      <c r="K248" s="783">
        <f>INDEX(Standardwerte!$Y$6:$Z$43,$C247,1)</f>
        <v>1</v>
      </c>
      <c r="M248" s="315">
        <f>Produzione!$G$8</f>
        <v>0</v>
      </c>
      <c r="N248" s="764"/>
      <c r="O248" s="852"/>
      <c r="P248" s="756"/>
      <c r="Q248" s="756"/>
      <c r="R248" s="756"/>
      <c r="S248" s="759"/>
      <c r="T248" s="315">
        <f>Produzione!$G$22</f>
        <v>0</v>
      </c>
      <c r="U248" s="764"/>
      <c r="V248" s="764"/>
      <c r="W248" s="756"/>
      <c r="X248" s="756"/>
      <c r="Y248" s="756"/>
      <c r="Z248" s="759"/>
      <c r="AA248" s="315">
        <f>Produzione!$G$36</f>
        <v>0</v>
      </c>
      <c r="AB248" s="764"/>
      <c r="AC248" s="764"/>
      <c r="AD248" s="756"/>
      <c r="AE248" s="756"/>
      <c r="AF248" s="756"/>
      <c r="AG248" s="759"/>
      <c r="AH248" s="315">
        <f>Produzione!$G$50</f>
        <v>0</v>
      </c>
      <c r="AI248" s="764"/>
      <c r="AJ248" s="764"/>
      <c r="AK248" s="756"/>
      <c r="AL248" s="756"/>
      <c r="AM248" s="756"/>
    </row>
    <row r="249" spans="1:39">
      <c r="A249" s="757">
        <v>240</v>
      </c>
      <c r="B249" s="784" t="s">
        <v>697</v>
      </c>
      <c r="C249" s="794" t="s">
        <v>776</v>
      </c>
      <c r="E249" s="786"/>
      <c r="F249" s="809">
        <f>INDEX(Standardwerte!$W$6:$W$43,$C247,1)</f>
        <v>2.2999999999999998</v>
      </c>
      <c r="G249" s="787"/>
      <c r="H249" s="788"/>
      <c r="J249" s="782"/>
      <c r="K249" s="783"/>
      <c r="M249" s="315">
        <f>Produzione!$G$10</f>
        <v>0</v>
      </c>
      <c r="N249" s="764"/>
      <c r="O249" s="861">
        <f>F249</f>
        <v>2.2999999999999998</v>
      </c>
      <c r="P249" s="756"/>
      <c r="Q249" s="756"/>
      <c r="R249" s="756"/>
      <c r="S249" s="759"/>
      <c r="T249" s="315">
        <f>Produzione!$G$24</f>
        <v>0</v>
      </c>
      <c r="U249" s="764"/>
      <c r="V249" s="28">
        <f>F249</f>
        <v>2.2999999999999998</v>
      </c>
      <c r="W249" s="756"/>
      <c r="X249" s="756"/>
      <c r="Y249" s="756"/>
      <c r="Z249" s="759"/>
      <c r="AA249" s="315">
        <f>Produzione!$G$38</f>
        <v>0</v>
      </c>
      <c r="AB249" s="764"/>
      <c r="AC249" s="28">
        <f>F249</f>
        <v>2.2999999999999998</v>
      </c>
      <c r="AD249" s="756"/>
      <c r="AE249" s="756"/>
      <c r="AF249" s="756"/>
      <c r="AG249" s="759"/>
      <c r="AH249" s="315">
        <f>Produzione!$G$52</f>
        <v>0</v>
      </c>
      <c r="AI249" s="764"/>
      <c r="AJ249" s="28">
        <f>F249</f>
        <v>2.2999999999999998</v>
      </c>
      <c r="AK249" s="756"/>
      <c r="AL249" s="756"/>
      <c r="AM249" s="756"/>
    </row>
    <row r="250" spans="1:39">
      <c r="A250" s="757">
        <v>241</v>
      </c>
      <c r="B250" s="789" t="s">
        <v>698</v>
      </c>
      <c r="C250" s="794" t="s">
        <v>776</v>
      </c>
      <c r="D250" s="786"/>
      <c r="E250" s="786"/>
      <c r="F250" s="1344"/>
      <c r="G250" s="792"/>
      <c r="H250" s="793"/>
      <c r="J250" s="782"/>
      <c r="K250" s="783"/>
      <c r="L250" s="770">
        <v>1</v>
      </c>
      <c r="M250" s="756"/>
      <c r="N250" s="766"/>
      <c r="O250" s="854"/>
      <c r="P250" s="756"/>
      <c r="Q250" s="756"/>
      <c r="R250" s="756"/>
      <c r="S250" s="759"/>
      <c r="T250" s="756"/>
      <c r="U250" s="766"/>
      <c r="V250" s="767"/>
      <c r="W250" s="756"/>
      <c r="X250" s="756"/>
      <c r="Y250" s="756"/>
      <c r="Z250" s="759"/>
      <c r="AA250" s="756"/>
      <c r="AB250" s="766"/>
      <c r="AC250" s="767"/>
      <c r="AD250" s="756"/>
      <c r="AE250" s="756"/>
      <c r="AF250" s="756"/>
      <c r="AG250" s="759"/>
      <c r="AH250" s="756"/>
      <c r="AI250" s="766"/>
      <c r="AJ250" s="767"/>
      <c r="AK250" s="756"/>
      <c r="AL250" s="756"/>
      <c r="AM250" s="756"/>
    </row>
    <row r="251" spans="1:39">
      <c r="A251" s="757">
        <v>242</v>
      </c>
      <c r="B251" s="789" t="s">
        <v>699</v>
      </c>
      <c r="C251" s="794" t="s">
        <v>776</v>
      </c>
      <c r="D251" s="786"/>
      <c r="E251" s="786"/>
      <c r="F251" s="791"/>
      <c r="G251" s="303"/>
      <c r="H251" s="316"/>
      <c r="J251" s="782"/>
      <c r="K251" s="783"/>
      <c r="M251" s="756"/>
      <c r="N251" s="321"/>
      <c r="O251" s="855" t="str">
        <f>IF(M249&lt;&gt;0,M249,IF(Produzione!$E$10&lt;&gt;"",Produzione!$E$10,Produzione!$G$9))</f>
        <v/>
      </c>
      <c r="P251" s="756"/>
      <c r="Q251" s="756"/>
      <c r="R251" s="756"/>
      <c r="S251" s="759"/>
      <c r="T251" s="756"/>
      <c r="U251" s="321"/>
      <c r="V251" s="322" t="str">
        <f>IF(T249&lt;&gt;0,T249,IF(Produzione!$E$24&lt;&gt;"",Produzione!$E$24,Produzione!$G$23))</f>
        <v/>
      </c>
      <c r="W251" s="756"/>
      <c r="X251" s="756"/>
      <c r="Y251" s="756"/>
      <c r="Z251" s="759"/>
      <c r="AA251" s="756"/>
      <c r="AB251" s="321"/>
      <c r="AC251" s="322" t="str">
        <f>IF(AA249&lt;&gt;0,AA249,IF(Produzione!$E$38&lt;&gt;"",Produzione!$E$38,Produzione!$G$37))</f>
        <v/>
      </c>
      <c r="AD251" s="756"/>
      <c r="AE251" s="756"/>
      <c r="AF251" s="756"/>
      <c r="AG251" s="759"/>
      <c r="AH251" s="756"/>
      <c r="AI251" s="321"/>
      <c r="AJ251" s="322" t="str">
        <f>IF(AH249&lt;&gt;0,AH249,IF(Produzione!$E$52&lt;&gt;"",Produzione!$E$52,Produzione!$G$51))</f>
        <v/>
      </c>
      <c r="AK251" s="756"/>
      <c r="AL251" s="756"/>
      <c r="AM251" s="756"/>
    </row>
    <row r="252" spans="1:39">
      <c r="A252" s="757">
        <v>243</v>
      </c>
      <c r="B252" s="789" t="s">
        <v>51</v>
      </c>
      <c r="C252" s="790" t="s">
        <v>761</v>
      </c>
      <c r="D252" s="787"/>
      <c r="E252" s="795"/>
      <c r="F252" s="1344"/>
      <c r="G252" s="796"/>
      <c r="H252" s="797"/>
      <c r="J252" s="782"/>
      <c r="K252" s="783"/>
      <c r="L252" s="770">
        <v>1</v>
      </c>
      <c r="M252" s="315">
        <f>Produzione!$G$12</f>
        <v>0</v>
      </c>
      <c r="N252" s="758"/>
      <c r="O252" s="854"/>
      <c r="P252" s="756"/>
      <c r="Q252" s="756"/>
      <c r="R252" s="756"/>
      <c r="S252" s="759"/>
      <c r="T252" s="315">
        <f>Produzione!$G$26</f>
        <v>0</v>
      </c>
      <c r="U252" s="758"/>
      <c r="V252" s="758"/>
      <c r="W252" s="756"/>
      <c r="X252" s="756"/>
      <c r="Y252" s="756"/>
      <c r="Z252" s="759"/>
      <c r="AA252" s="315">
        <f>Produzione!$G$40</f>
        <v>0</v>
      </c>
      <c r="AB252" s="758"/>
      <c r="AC252" s="758"/>
      <c r="AD252" s="756"/>
      <c r="AE252" s="756"/>
      <c r="AF252" s="756"/>
      <c r="AG252" s="759"/>
      <c r="AH252" s="315">
        <f>Produzione!$G$54</f>
        <v>0</v>
      </c>
      <c r="AI252" s="758"/>
      <c r="AJ252" s="758"/>
      <c r="AK252" s="756"/>
      <c r="AL252" s="756"/>
      <c r="AM252" s="756"/>
    </row>
    <row r="253" spans="1:39">
      <c r="A253" s="757">
        <v>244</v>
      </c>
      <c r="B253" s="789" t="str">
        <f>IF(J248=1,"fabbisogno di potenza termica dell'edificio","")</f>
        <v/>
      </c>
      <c r="C253" s="790" t="str">
        <f>IF(J248=1,"kW","")</f>
        <v/>
      </c>
      <c r="D253" s="796"/>
      <c r="E253" s="795"/>
      <c r="F253" s="1344"/>
      <c r="G253" s="787"/>
      <c r="H253" s="798"/>
      <c r="J253" s="782"/>
      <c r="K253" s="783"/>
      <c r="L253" s="770">
        <v>1</v>
      </c>
      <c r="M253" s="315">
        <f>Produzione!$G$13</f>
        <v>0</v>
      </c>
      <c r="N253" s="764"/>
      <c r="O253" s="852"/>
      <c r="P253" s="756"/>
      <c r="Q253" s="756"/>
      <c r="R253" s="756"/>
      <c r="S253" s="759"/>
      <c r="T253" s="315">
        <f>Produzione!$G$27</f>
        <v>0</v>
      </c>
      <c r="U253" s="764"/>
      <c r="V253" s="768"/>
      <c r="W253" s="756"/>
      <c r="X253" s="756"/>
      <c r="Y253" s="756"/>
      <c r="Z253" s="759"/>
      <c r="AA253" s="315">
        <f>Produzione!$G$41</f>
        <v>0</v>
      </c>
      <c r="AB253" s="764"/>
      <c r="AC253" s="768"/>
      <c r="AD253" s="756"/>
      <c r="AE253" s="756"/>
      <c r="AF253" s="756"/>
      <c r="AG253" s="759"/>
      <c r="AH253" s="315">
        <f>Produzione!$G$55</f>
        <v>0</v>
      </c>
      <c r="AI253" s="764"/>
      <c r="AJ253" s="768"/>
      <c r="AK253" s="756"/>
      <c r="AL253" s="756"/>
      <c r="AM253" s="756"/>
    </row>
    <row r="254" spans="1:39">
      <c r="A254" s="757">
        <v>245</v>
      </c>
      <c r="B254" s="799" t="str">
        <f>IF(J248=1,"Temperatura di mandata riscaldamento","")</f>
        <v/>
      </c>
      <c r="C254" s="831" t="str">
        <f>IF(J248=1,"°C","")</f>
        <v/>
      </c>
      <c r="D254" s="786"/>
      <c r="E254" s="786"/>
      <c r="F254" s="1344"/>
      <c r="G254" s="787"/>
      <c r="H254" s="800"/>
      <c r="J254" s="782"/>
      <c r="K254" s="783"/>
      <c r="M254" s="315">
        <f>Produzione!$G$14</f>
        <v>0</v>
      </c>
      <c r="N254" s="764"/>
      <c r="O254" s="852"/>
      <c r="P254" s="756"/>
      <c r="Q254" s="756"/>
      <c r="R254" s="756"/>
      <c r="S254" s="759"/>
      <c r="T254" s="315">
        <f>Produzione!$G$28</f>
        <v>0</v>
      </c>
      <c r="U254" s="764"/>
      <c r="V254" s="764"/>
      <c r="W254" s="756"/>
      <c r="X254" s="756"/>
      <c r="Y254" s="756"/>
      <c r="Z254" s="759"/>
      <c r="AA254" s="315">
        <f>Produzione!$G$42</f>
        <v>0</v>
      </c>
      <c r="AB254" s="764"/>
      <c r="AC254" s="764"/>
      <c r="AD254" s="756"/>
      <c r="AE254" s="756"/>
      <c r="AF254" s="756"/>
      <c r="AG254" s="759"/>
      <c r="AH254" s="315">
        <f>Produzione!$G$56</f>
        <v>0</v>
      </c>
      <c r="AI254" s="764"/>
      <c r="AJ254" s="764"/>
      <c r="AK254" s="756"/>
      <c r="AL254" s="756"/>
      <c r="AM254" s="756"/>
    </row>
    <row r="255" spans="1:39">
      <c r="A255" s="757">
        <v>246</v>
      </c>
      <c r="B255" s="799" t="str">
        <f>IF(AND(Warmwasser,K248=1),"Temperatura acqua calda sanitaria","")</f>
        <v/>
      </c>
      <c r="C255" s="831" t="str">
        <f>IF(AND(Warmwasser,K248=1),"°C","")</f>
        <v/>
      </c>
      <c r="D255" s="786"/>
      <c r="E255" s="786"/>
      <c r="F255" s="1344"/>
      <c r="G255" s="796"/>
      <c r="H255" s="788"/>
      <c r="J255" s="782"/>
      <c r="K255" s="783"/>
      <c r="L255" s="770">
        <v>2</v>
      </c>
      <c r="M255" s="315">
        <f>Produzione!$G$15</f>
        <v>0</v>
      </c>
      <c r="N255" s="758"/>
      <c r="O255" s="853"/>
      <c r="P255" s="756"/>
      <c r="R255" s="756" t="str">
        <f>IF(AND($K248=0,R258&lt;&gt;0),"scelto riscald.",IF(AND($J248=0,Q244&gt;0),"scelta acqua calda",""))</f>
        <v/>
      </c>
      <c r="S255" s="759"/>
      <c r="T255" s="315">
        <f>Produzione!$G$29</f>
        <v>0</v>
      </c>
      <c r="U255" s="758"/>
      <c r="V255" s="765"/>
      <c r="W255" s="756"/>
      <c r="Y255" s="756" t="str">
        <f>IF(AND($K248=0,Y258&lt;&gt;0),"Riscald. ausgewählt",IF(AND($J248=0,X244&gt;0),"Acqua calda ausgewählt",""))</f>
        <v/>
      </c>
      <c r="Z255" s="759"/>
      <c r="AA255" s="315">
        <f>Produzione!$G$43</f>
        <v>0</v>
      </c>
      <c r="AB255" s="758"/>
      <c r="AC255" s="765"/>
      <c r="AD255" s="756"/>
      <c r="AF255" s="756" t="str">
        <f>IF(AND($K248=0,AF258&lt;&gt;0),"Riscald. ausgewählt",IF(AND($J248=0,AE244&gt;0),"Acqua calda ausgewählt",""))</f>
        <v/>
      </c>
      <c r="AG255" s="759"/>
      <c r="AH255" s="315">
        <f>Produzione!$G$57</f>
        <v>0</v>
      </c>
      <c r="AI255" s="758"/>
      <c r="AJ255" s="765"/>
      <c r="AK255" s="756"/>
      <c r="AM255" s="756" t="str">
        <f>IF(AND($K248=0,AM258&lt;&gt;0),"Riscald. ausgewählt",IF(AND($J248=0,AL244&gt;0),"Acqua calda ausgewählt",""))</f>
        <v/>
      </c>
    </row>
    <row r="256" spans="1:39">
      <c r="A256" s="757">
        <v>247</v>
      </c>
      <c r="B256" s="799" t="s">
        <v>1374</v>
      </c>
      <c r="C256" s="813" t="s">
        <v>410</v>
      </c>
      <c r="D256" s="795"/>
      <c r="E256" s="795"/>
      <c r="F256" s="791"/>
      <c r="G256" s="303"/>
      <c r="H256" s="317"/>
      <c r="J256" s="801"/>
      <c r="K256" s="802"/>
      <c r="M256" s="756"/>
      <c r="N256" s="321"/>
      <c r="O256" s="849">
        <f>IF(O251="",,R256/100*qw/O251+Q256/100*qh/3.6/O251)</f>
        <v>0</v>
      </c>
      <c r="P256" s="756"/>
      <c r="Q256" s="756">
        <f>IF(Q257&lt;&gt;0,Q257,Q258)*J248</f>
        <v>0</v>
      </c>
      <c r="R256" s="756">
        <f>IF(AND(R258&lt;&gt;0,R257=0),R258,IF(R258&lt;&gt;0,MIN(R258,R257),R257))*K248</f>
        <v>0</v>
      </c>
      <c r="S256" s="759"/>
      <c r="T256" s="756"/>
      <c r="U256" s="321"/>
      <c r="V256" s="847">
        <f>IF(V251="",,Y256/100*qw/V251+X256/100*qh/3.6/V251)</f>
        <v>0</v>
      </c>
      <c r="W256" s="756"/>
      <c r="X256" s="756">
        <f>IF(X257&lt;&gt;0,X257,X258)*J248</f>
        <v>0</v>
      </c>
      <c r="Y256" s="756">
        <f>IF(AND(Y258&lt;&gt;0,Y257=0),Y258,IF(Y258&lt;&gt;0,MIN(Y258,Y257),Y257))*K248</f>
        <v>0</v>
      </c>
      <c r="Z256" s="759"/>
      <c r="AA256" s="756"/>
      <c r="AB256" s="321"/>
      <c r="AC256" s="847">
        <f>IF(AC251="",,AF256/100*qw/AC251+AE256/100*qh/3.6/AC251)</f>
        <v>0</v>
      </c>
      <c r="AD256" s="756"/>
      <c r="AE256" s="756">
        <f>IF(AE257&lt;&gt;0,AE257,AE258)*J248</f>
        <v>0</v>
      </c>
      <c r="AF256" s="756">
        <f>IF(AND(AF258&lt;&gt;0,AF257=0),AF258,IF(AF258&lt;&gt;0,MIN(AF258,AF257),AF257))*K248</f>
        <v>0</v>
      </c>
      <c r="AG256" s="759"/>
      <c r="AH256" s="756"/>
      <c r="AI256" s="321"/>
      <c r="AJ256" s="847">
        <f>IF(AJ251="",,AM256/100*qw/AJ251+AL256/100*qh/3.6/AJ251)</f>
        <v>0</v>
      </c>
      <c r="AK256" s="756"/>
      <c r="AL256" s="756">
        <f>IF(AL257&lt;&gt;0,AL257,AL258)*J248</f>
        <v>0</v>
      </c>
      <c r="AM256" s="756">
        <f>IF(AND(AM258&lt;&gt;0,AM257=0),AM258,IF(AM258&lt;&gt;0,MIN(AM258,AM257),AM257))*K248</f>
        <v>0</v>
      </c>
    </row>
    <row r="257" spans="1:39">
      <c r="A257" s="757">
        <v>248</v>
      </c>
      <c r="B257" s="789" t="s">
        <v>652</v>
      </c>
      <c r="C257" s="813" t="s">
        <v>410</v>
      </c>
      <c r="D257" s="795"/>
      <c r="E257" s="786"/>
      <c r="F257" s="792"/>
      <c r="G257" s="303"/>
      <c r="H257" s="318"/>
      <c r="J257" s="803"/>
      <c r="K257" s="804"/>
      <c r="M257" s="758"/>
      <c r="N257" s="321"/>
      <c r="O257" s="845">
        <f>IF(O249=0,,(Q256/100*qh/3.6+R256/100*qw))</f>
        <v>0</v>
      </c>
      <c r="P257" s="756"/>
      <c r="Q257" s="756"/>
      <c r="R257" s="756"/>
      <c r="S257" s="759"/>
      <c r="T257" s="756"/>
      <c r="U257" s="321"/>
      <c r="V257" s="845">
        <f>IF(V249=0,,(X256/100*qh/3.6+Y256/100*qw))</f>
        <v>0</v>
      </c>
      <c r="W257" s="756"/>
      <c r="X257" s="756"/>
      <c r="Y257" s="756"/>
      <c r="Z257" s="759"/>
      <c r="AA257" s="758"/>
      <c r="AB257" s="321"/>
      <c r="AC257" s="845">
        <f>IF(AC249=0,,(AE256/100*qh/3.6+AF256/100*qw))</f>
        <v>0</v>
      </c>
      <c r="AD257" s="756"/>
      <c r="AE257" s="756"/>
      <c r="AF257" s="756"/>
      <c r="AG257" s="759"/>
      <c r="AH257" s="758"/>
      <c r="AI257" s="321"/>
      <c r="AJ257" s="845">
        <f>IF(AJ249=0,,(AL256/100*qh/3.6+AM256/100*qw))</f>
        <v>0</v>
      </c>
      <c r="AK257" s="756"/>
      <c r="AL257" s="756"/>
      <c r="AM257" s="756"/>
    </row>
    <row r="258" spans="1:39">
      <c r="A258" s="757">
        <v>249</v>
      </c>
      <c r="B258" s="824"/>
      <c r="C258" s="836"/>
      <c r="D258" s="806"/>
      <c r="E258" s="806"/>
      <c r="F258" s="774"/>
      <c r="G258" s="319"/>
      <c r="H258" s="320"/>
      <c r="J258" s="807"/>
      <c r="K258" s="808"/>
      <c r="M258" s="756"/>
      <c r="N258" s="325"/>
      <c r="O258" s="858"/>
      <c r="P258" s="756"/>
      <c r="Q258" s="315">
        <f>Produzione!$K$18</f>
        <v>0</v>
      </c>
      <c r="R258" s="315">
        <f>Produzione!$L$18</f>
        <v>0</v>
      </c>
      <c r="S258" s="759"/>
      <c r="T258" s="756"/>
      <c r="U258" s="325"/>
      <c r="V258" s="325"/>
      <c r="W258" s="756"/>
      <c r="X258" s="315">
        <f>Produzione!$K$32</f>
        <v>0</v>
      </c>
      <c r="Y258" s="315">
        <f>Produzione!$L$32</f>
        <v>0</v>
      </c>
      <c r="Z258" s="759"/>
      <c r="AA258" s="756"/>
      <c r="AB258" s="325"/>
      <c r="AC258" s="325"/>
      <c r="AD258" s="756"/>
      <c r="AE258" s="315">
        <f>Produzione!$K$46</f>
        <v>0</v>
      </c>
      <c r="AF258" s="315">
        <f>Produzione!$L$46</f>
        <v>0</v>
      </c>
      <c r="AG258" s="759"/>
      <c r="AH258" s="756"/>
      <c r="AI258" s="325"/>
      <c r="AJ258" s="325"/>
      <c r="AK258" s="756"/>
      <c r="AL258" s="315">
        <f>Produzione!$K$60</f>
        <v>0</v>
      </c>
      <c r="AM258" s="315">
        <f>Produzione!$L$60</f>
        <v>0</v>
      </c>
    </row>
    <row r="259" spans="1:39">
      <c r="A259" s="757">
        <v>250</v>
      </c>
      <c r="B259" s="759"/>
      <c r="C259" s="833"/>
      <c r="D259" s="759"/>
      <c r="E259" s="759"/>
      <c r="F259" s="817"/>
      <c r="G259" s="759"/>
      <c r="H259" s="759"/>
      <c r="I259" s="759"/>
      <c r="J259" s="759"/>
      <c r="Q259" s="761" t="str">
        <f>IF(AND(R258&lt;&gt;0,R257=0),"",IF(R258&gt;R257,"tasso troppo alto",""))</f>
        <v/>
      </c>
      <c r="S259" s="759"/>
      <c r="X259" s="761" t="str">
        <f>IF(AND(Y258&lt;&gt;0,Y257=0),"",IF(Y258&gt;Y257,"tasso troppo alto",""))</f>
        <v/>
      </c>
      <c r="Z259" s="759"/>
      <c r="AE259" s="761" t="str">
        <f>IF(AND(AF258&lt;&gt;0,AF257=0),"",IF(AF258&gt;AF257,"tasso troppo alto",""))</f>
        <v/>
      </c>
      <c r="AG259" s="759"/>
      <c r="AL259" s="761" t="str">
        <f>IF(AND(AM258&lt;&gt;0,AM257=0),"",IF(AM258&gt;AM257,"tasso troppo alto",""))</f>
        <v/>
      </c>
    </row>
    <row r="260" spans="1:39">
      <c r="A260" s="757">
        <v>251</v>
      </c>
      <c r="B260" s="755"/>
      <c r="C260" s="834"/>
      <c r="D260" s="762"/>
      <c r="E260" s="762"/>
      <c r="G260" s="762"/>
      <c r="H260" s="818"/>
      <c r="J260" s="762" t="s">
        <v>1620</v>
      </c>
      <c r="N260" s="762"/>
      <c r="O260" s="860"/>
      <c r="P260" s="759"/>
      <c r="Q260" s="762" t="s">
        <v>1620</v>
      </c>
      <c r="R260" s="759"/>
      <c r="S260" s="759"/>
      <c r="T260" s="759"/>
      <c r="U260" s="762"/>
      <c r="V260" s="769"/>
      <c r="W260" s="759"/>
      <c r="X260" s="762" t="s">
        <v>1620</v>
      </c>
      <c r="Z260" s="759"/>
      <c r="AA260" s="759"/>
      <c r="AB260" s="762"/>
      <c r="AC260" s="769"/>
      <c r="AD260" s="759"/>
      <c r="AE260" s="762" t="s">
        <v>1620</v>
      </c>
      <c r="AF260" s="759"/>
      <c r="AG260" s="759"/>
      <c r="AH260" s="759"/>
      <c r="AI260" s="762"/>
      <c r="AJ260" s="769"/>
      <c r="AK260" s="759"/>
      <c r="AL260" s="762" t="s">
        <v>1620</v>
      </c>
      <c r="AM260" s="759"/>
    </row>
    <row r="261" spans="1:39">
      <c r="A261" s="757">
        <v>252</v>
      </c>
      <c r="B261" s="772" t="str">
        <f>INDEX(Standardwerte!$V$6:$V$43,Rechnung!$C261,1)</f>
        <v>Pompa di calore, sonda geotermica solo riscaldamento</v>
      </c>
      <c r="C261" s="835">
        <v>19</v>
      </c>
      <c r="D261" s="819"/>
      <c r="E261" s="820"/>
      <c r="F261" s="821"/>
      <c r="G261" s="819"/>
      <c r="H261" s="822"/>
      <c r="J261" s="760" t="s">
        <v>525</v>
      </c>
      <c r="K261" s="756" t="s">
        <v>1622</v>
      </c>
      <c r="M261" s="756"/>
      <c r="N261" s="760"/>
      <c r="O261" s="852"/>
      <c r="P261" s="756"/>
      <c r="Q261" s="760" t="s">
        <v>525</v>
      </c>
      <c r="R261" s="756" t="s">
        <v>1622</v>
      </c>
      <c r="S261" s="759"/>
      <c r="T261" s="756"/>
      <c r="U261" s="760"/>
      <c r="V261" s="764"/>
      <c r="W261" s="756"/>
      <c r="X261" s="760" t="s">
        <v>525</v>
      </c>
      <c r="Y261" s="756" t="s">
        <v>1622</v>
      </c>
      <c r="Z261" s="759"/>
      <c r="AA261" s="756"/>
      <c r="AB261" s="760"/>
      <c r="AC261" s="764"/>
      <c r="AD261" s="756"/>
      <c r="AE261" s="760" t="s">
        <v>525</v>
      </c>
      <c r="AF261" s="756" t="s">
        <v>1622</v>
      </c>
      <c r="AG261" s="759"/>
      <c r="AH261" s="756"/>
      <c r="AI261" s="760"/>
      <c r="AJ261" s="764"/>
      <c r="AK261" s="756"/>
      <c r="AL261" s="760" t="s">
        <v>525</v>
      </c>
      <c r="AM261" s="756" t="s">
        <v>1622</v>
      </c>
    </row>
    <row r="262" spans="1:39">
      <c r="A262" s="757">
        <v>253</v>
      </c>
      <c r="B262" s="778" t="s">
        <v>526</v>
      </c>
      <c r="C262" s="830"/>
      <c r="D262" s="779"/>
      <c r="E262" s="312"/>
      <c r="F262" s="313">
        <f>INDEX($M$10:$AM$162,$A$10+(_typ1-1)*14,1)</f>
        <v>0</v>
      </c>
      <c r="G262" s="780"/>
      <c r="H262" s="781"/>
      <c r="J262" s="782">
        <f>INDEX(Standardwerte!$Y$6:$Z$43,$C261,2)</f>
        <v>1</v>
      </c>
      <c r="K262" s="783">
        <f>INDEX(Standardwerte!$Y$6:$Z$43,$C261,1)</f>
        <v>0</v>
      </c>
      <c r="M262" s="315">
        <f>Produzione!$G$8</f>
        <v>0</v>
      </c>
      <c r="N262" s="764"/>
      <c r="O262" s="852"/>
      <c r="P262" s="756"/>
      <c r="Q262" s="756"/>
      <c r="R262" s="756"/>
      <c r="S262" s="759"/>
      <c r="T262" s="315">
        <f>Produzione!$G$22</f>
        <v>0</v>
      </c>
      <c r="U262" s="764"/>
      <c r="V262" s="764"/>
      <c r="W262" s="756"/>
      <c r="X262" s="756"/>
      <c r="Y262" s="756"/>
      <c r="Z262" s="759"/>
      <c r="AA262" s="315">
        <f>Produzione!$G$36</f>
        <v>0</v>
      </c>
      <c r="AB262" s="764"/>
      <c r="AC262" s="764"/>
      <c r="AD262" s="756"/>
      <c r="AE262" s="756"/>
      <c r="AF262" s="756"/>
      <c r="AG262" s="759"/>
      <c r="AH262" s="315">
        <f>Produzione!$G$50</f>
        <v>0</v>
      </c>
      <c r="AI262" s="764"/>
      <c r="AJ262" s="764"/>
      <c r="AK262" s="756"/>
      <c r="AL262" s="756"/>
      <c r="AM262" s="756"/>
    </row>
    <row r="263" spans="1:39">
      <c r="A263" s="757">
        <v>254</v>
      </c>
      <c r="B263" s="784" t="s">
        <v>697</v>
      </c>
      <c r="C263" s="831" t="s">
        <v>776</v>
      </c>
      <c r="E263" s="786"/>
      <c r="F263" s="809">
        <f>INDEX(Standardwerte!$W$6:$W$43,$C261,1)</f>
        <v>3.1</v>
      </c>
      <c r="G263" s="787"/>
      <c r="H263" s="788"/>
      <c r="J263" s="782"/>
      <c r="K263" s="783"/>
      <c r="M263" s="315">
        <f>Produzione!$G$10</f>
        <v>0</v>
      </c>
      <c r="N263" s="764"/>
      <c r="O263" s="863">
        <f>$F$263</f>
        <v>3.1</v>
      </c>
      <c r="P263" s="756"/>
      <c r="Q263" s="756"/>
      <c r="R263" s="756"/>
      <c r="S263" s="759"/>
      <c r="T263" s="315">
        <f>Produzione!$G$24</f>
        <v>0</v>
      </c>
      <c r="U263" s="764"/>
      <c r="V263" s="863">
        <f>$F$263</f>
        <v>3.1</v>
      </c>
      <c r="W263" s="756"/>
      <c r="X263" s="756"/>
      <c r="Y263" s="756"/>
      <c r="Z263" s="759"/>
      <c r="AA263" s="315">
        <f>Produzione!$G$38</f>
        <v>0</v>
      </c>
      <c r="AB263" s="764"/>
      <c r="AC263" s="863">
        <f>$F$263</f>
        <v>3.1</v>
      </c>
      <c r="AD263" s="756"/>
      <c r="AE263" s="756"/>
      <c r="AF263" s="756"/>
      <c r="AG263" s="759"/>
      <c r="AH263" s="315">
        <f>Produzione!$G$52</f>
        <v>0</v>
      </c>
      <c r="AI263" s="764"/>
      <c r="AJ263" s="863">
        <f>$F$263</f>
        <v>3.1</v>
      </c>
      <c r="AK263" s="756"/>
      <c r="AL263" s="756"/>
      <c r="AM263" s="756"/>
    </row>
    <row r="264" spans="1:39">
      <c r="A264" s="757">
        <v>255</v>
      </c>
      <c r="B264" s="789" t="s">
        <v>698</v>
      </c>
      <c r="C264" s="831" t="s">
        <v>776</v>
      </c>
      <c r="D264" s="786"/>
      <c r="E264" s="786"/>
      <c r="F264" s="1344"/>
      <c r="G264" s="792"/>
      <c r="H264" s="793"/>
      <c r="J264" s="782"/>
      <c r="K264" s="783"/>
      <c r="L264" s="770">
        <v>1</v>
      </c>
      <c r="M264" s="756"/>
      <c r="N264" s="766"/>
      <c r="O264" s="854"/>
      <c r="P264" s="756"/>
      <c r="Q264" s="756"/>
      <c r="R264" s="756"/>
      <c r="S264" s="759"/>
      <c r="T264" s="756"/>
      <c r="U264" s="766"/>
      <c r="V264" s="767"/>
      <c r="W264" s="756"/>
      <c r="X264" s="756"/>
      <c r="Y264" s="756"/>
      <c r="Z264" s="759"/>
      <c r="AA264" s="756"/>
      <c r="AB264" s="766"/>
      <c r="AC264" s="767"/>
      <c r="AD264" s="756"/>
      <c r="AE264" s="756"/>
      <c r="AF264" s="756"/>
      <c r="AG264" s="759"/>
      <c r="AH264" s="756"/>
      <c r="AI264" s="766"/>
      <c r="AJ264" s="767"/>
      <c r="AK264" s="756"/>
      <c r="AL264" s="756"/>
      <c r="AM264" s="756"/>
    </row>
    <row r="265" spans="1:39">
      <c r="A265" s="757">
        <v>256</v>
      </c>
      <c r="B265" s="789" t="s">
        <v>699</v>
      </c>
      <c r="C265" s="794" t="s">
        <v>776</v>
      </c>
      <c r="D265" s="786"/>
      <c r="E265" s="786"/>
      <c r="F265" s="791"/>
      <c r="G265" s="303"/>
      <c r="H265" s="316"/>
      <c r="J265" s="782"/>
      <c r="K265" s="783"/>
      <c r="M265" s="756"/>
      <c r="N265" s="321"/>
      <c r="O265" s="855" t="str">
        <f>IF(M263&lt;&gt;0,M263,IF(Produzione!$E$10&lt;&gt;"",Produzione!$E$10,Produzione!$G$9))</f>
        <v/>
      </c>
      <c r="P265" s="756"/>
      <c r="Q265" s="756"/>
      <c r="R265" s="756"/>
      <c r="S265" s="759"/>
      <c r="T265" s="756"/>
      <c r="U265" s="321"/>
      <c r="V265" s="322" t="str">
        <f>IF(T263&lt;&gt;0,T263,IF(Produzione!$E$24&lt;&gt;"",Produzione!$E$24,Produzione!$G$23))</f>
        <v/>
      </c>
      <c r="W265" s="756"/>
      <c r="X265" s="756"/>
      <c r="Y265" s="756"/>
      <c r="Z265" s="759"/>
      <c r="AA265" s="756"/>
      <c r="AB265" s="321"/>
      <c r="AC265" s="322" t="str">
        <f>IF(AA263&lt;&gt;0,AA263,IF(Produzione!$E$38&lt;&gt;"",Produzione!$E$38,Produzione!$G$37))</f>
        <v/>
      </c>
      <c r="AD265" s="756"/>
      <c r="AE265" s="756"/>
      <c r="AF265" s="756"/>
      <c r="AG265" s="759"/>
      <c r="AH265" s="756"/>
      <c r="AI265" s="321"/>
      <c r="AJ265" s="322" t="str">
        <f>IF(AH263&lt;&gt;0,AH263,IF(Produzione!$E$52&lt;&gt;"",Produzione!$E$52,Produzione!$G$51))</f>
        <v/>
      </c>
      <c r="AK265" s="756"/>
      <c r="AL265" s="756"/>
      <c r="AM265" s="756"/>
    </row>
    <row r="266" spans="1:39">
      <c r="A266" s="757">
        <v>257</v>
      </c>
      <c r="B266" s="789" t="s">
        <v>51</v>
      </c>
      <c r="C266" s="790" t="s">
        <v>761</v>
      </c>
      <c r="D266" s="787"/>
      <c r="E266" s="795"/>
      <c r="F266" s="1344"/>
      <c r="G266" s="796"/>
      <c r="H266" s="797"/>
      <c r="J266" s="782"/>
      <c r="K266" s="783"/>
      <c r="L266" s="770">
        <v>1</v>
      </c>
      <c r="M266" s="315">
        <f>Produzione!$G$12</f>
        <v>0</v>
      </c>
      <c r="N266" s="758"/>
      <c r="O266" s="854"/>
      <c r="P266" s="756"/>
      <c r="Q266" s="756"/>
      <c r="R266" s="756"/>
      <c r="S266" s="759"/>
      <c r="T266" s="315">
        <f>Produzione!$G$26</f>
        <v>0</v>
      </c>
      <c r="U266" s="758"/>
      <c r="V266" s="758"/>
      <c r="W266" s="756"/>
      <c r="X266" s="756"/>
      <c r="Y266" s="756"/>
      <c r="Z266" s="759"/>
      <c r="AA266" s="315">
        <f>Produzione!$G$40</f>
        <v>0</v>
      </c>
      <c r="AB266" s="758"/>
      <c r="AC266" s="758"/>
      <c r="AD266" s="756"/>
      <c r="AE266" s="756"/>
      <c r="AF266" s="756"/>
      <c r="AG266" s="759"/>
      <c r="AH266" s="315">
        <f>Produzione!$G$54</f>
        <v>0</v>
      </c>
      <c r="AI266" s="758"/>
      <c r="AJ266" s="758"/>
      <c r="AK266" s="756"/>
      <c r="AL266" s="756"/>
      <c r="AM266" s="756"/>
    </row>
    <row r="267" spans="1:39">
      <c r="A267" s="757">
        <v>258</v>
      </c>
      <c r="B267" s="789" t="str">
        <f>IF(J262=1,"fabbisogno di potenza termica dell'edificio","")</f>
        <v>fabbisogno di potenza termica dell'edificio</v>
      </c>
      <c r="C267" s="790" t="str">
        <f>IF(J262=1,"kW","")</f>
        <v>kW</v>
      </c>
      <c r="D267" s="796"/>
      <c r="E267" s="795"/>
      <c r="F267" s="1344"/>
      <c r="G267" s="787"/>
      <c r="H267" s="798"/>
      <c r="J267" s="782"/>
      <c r="K267" s="783"/>
      <c r="L267" s="770">
        <v>1</v>
      </c>
      <c r="M267" s="315">
        <f>Produzione!$G$13</f>
        <v>0</v>
      </c>
      <c r="N267" s="764"/>
      <c r="O267" s="852"/>
      <c r="P267" s="756"/>
      <c r="Q267" s="756"/>
      <c r="R267" s="756"/>
      <c r="S267" s="759"/>
      <c r="T267" s="315">
        <f>Produzione!$G$27</f>
        <v>0</v>
      </c>
      <c r="U267" s="764"/>
      <c r="V267" s="768"/>
      <c r="W267" s="756"/>
      <c r="X267" s="756"/>
      <c r="Y267" s="756"/>
      <c r="Z267" s="759"/>
      <c r="AA267" s="315">
        <f>Produzione!$G$41</f>
        <v>0</v>
      </c>
      <c r="AB267" s="764"/>
      <c r="AC267" s="768"/>
      <c r="AD267" s="756"/>
      <c r="AE267" s="756"/>
      <c r="AF267" s="756"/>
      <c r="AG267" s="759"/>
      <c r="AH267" s="315">
        <f>Produzione!$G$55</f>
        <v>0</v>
      </c>
      <c r="AI267" s="764"/>
      <c r="AJ267" s="768"/>
      <c r="AK267" s="756"/>
      <c r="AL267" s="756"/>
      <c r="AM267" s="756"/>
    </row>
    <row r="268" spans="1:39">
      <c r="A268" s="757">
        <v>259</v>
      </c>
      <c r="B268" s="799" t="str">
        <f>IF(J262=1,"Temperatura di mandata riscaldamento","")</f>
        <v>Temperatura di mandata riscaldamento</v>
      </c>
      <c r="C268" s="831" t="str">
        <f>IF(J262=1,"°C","")</f>
        <v>°C</v>
      </c>
      <c r="D268" s="786"/>
      <c r="E268" s="786"/>
      <c r="F268" s="1344"/>
      <c r="G268" s="787"/>
      <c r="H268" s="800"/>
      <c r="J268" s="782"/>
      <c r="K268" s="783"/>
      <c r="L268" s="770">
        <v>2</v>
      </c>
      <c r="M268" s="315">
        <f>Produzione!$G$14</f>
        <v>0</v>
      </c>
      <c r="N268" s="764"/>
      <c r="P268" s="756"/>
      <c r="Q268" s="756"/>
      <c r="R268" s="756"/>
      <c r="S268" s="759"/>
      <c r="T268" s="315">
        <f>Produzione!$G$28</f>
        <v>0</v>
      </c>
      <c r="U268" s="764"/>
      <c r="W268" s="756"/>
      <c r="X268" s="756"/>
      <c r="Y268" s="756"/>
      <c r="Z268" s="759"/>
      <c r="AA268" s="315">
        <f>Produzione!$G$42</f>
        <v>0</v>
      </c>
      <c r="AB268" s="764"/>
      <c r="AD268" s="756"/>
      <c r="AE268" s="756"/>
      <c r="AF268" s="756"/>
      <c r="AG268" s="759"/>
      <c r="AH268" s="315">
        <f>Produzione!$G$56</f>
        <v>0</v>
      </c>
      <c r="AI268" s="764"/>
      <c r="AK268" s="756"/>
      <c r="AL268" s="756"/>
      <c r="AM268" s="756"/>
    </row>
    <row r="269" spans="1:39">
      <c r="A269" s="757">
        <v>260</v>
      </c>
      <c r="B269" s="799" t="str">
        <f>IF(AND(Warmwasser,K262=1),"Temperatura acqua calda sanitaria","")</f>
        <v/>
      </c>
      <c r="C269" s="831" t="str">
        <f>IF(AND(Warmwasser,K262=1),"°C","")</f>
        <v/>
      </c>
      <c r="D269" s="786"/>
      <c r="E269" s="786"/>
      <c r="F269" s="1344"/>
      <c r="G269" s="796"/>
      <c r="H269" s="788"/>
      <c r="J269" s="782"/>
      <c r="K269" s="783"/>
      <c r="M269" s="315">
        <f>Produzione!$G$15</f>
        <v>0</v>
      </c>
      <c r="N269" s="758"/>
      <c r="O269" s="853"/>
      <c r="P269" s="756"/>
      <c r="Q269" s="756"/>
      <c r="R269" s="756" t="str">
        <f>IF(AND($K262=0,R272&lt;&gt;0),"Riscald. ausgewählt",IF(AND($J262=0,Q258&gt;0),"Acqua calda ausgewählt",""))</f>
        <v/>
      </c>
      <c r="S269" s="759"/>
      <c r="T269" s="315">
        <f>Produzione!$G$29</f>
        <v>0</v>
      </c>
      <c r="U269" s="758"/>
      <c r="V269" s="765"/>
      <c r="W269" s="756"/>
      <c r="X269" s="756"/>
      <c r="Y269" s="756" t="str">
        <f>IF(AND($K262=0,Y272&lt;&gt;0),"Riscald. ausgewählt",IF(AND($J262=0,X258&gt;0),"Acqua calda ausgewählt",""))</f>
        <v/>
      </c>
      <c r="Z269" s="759"/>
      <c r="AA269" s="315">
        <f>Produzione!$G$43</f>
        <v>0</v>
      </c>
      <c r="AB269" s="758"/>
      <c r="AC269" s="765"/>
      <c r="AD269" s="756"/>
      <c r="AE269" s="756"/>
      <c r="AF269" s="756" t="str">
        <f>IF(AND($K262=0,AF272&lt;&gt;0),"Riscald. ausgewählt",IF(AND($J262=0,AE258&gt;0),"Acqua calda ausgewählt",""))</f>
        <v/>
      </c>
      <c r="AG269" s="759"/>
      <c r="AH269" s="315">
        <f>Produzione!$G$57</f>
        <v>0</v>
      </c>
      <c r="AI269" s="758"/>
      <c r="AJ269" s="765"/>
      <c r="AK269" s="756"/>
      <c r="AL269" s="756"/>
      <c r="AM269" s="756" t="str">
        <f>IF(AND($K262=0,AM272&lt;&gt;0),"Riscald. ausgewählt",IF(AND($J262=0,AL258&gt;0),"Acqua calda ausgewählt",""))</f>
        <v/>
      </c>
    </row>
    <row r="270" spans="1:39">
      <c r="A270" s="757">
        <v>261</v>
      </c>
      <c r="B270" s="799" t="s">
        <v>1374</v>
      </c>
      <c r="C270" s="813" t="s">
        <v>410</v>
      </c>
      <c r="D270" s="795"/>
      <c r="E270" s="795"/>
      <c r="F270" s="791"/>
      <c r="G270" s="303"/>
      <c r="H270" s="317"/>
      <c r="J270" s="801"/>
      <c r="K270" s="802"/>
      <c r="M270" s="756"/>
      <c r="N270" s="321"/>
      <c r="O270" s="849">
        <f>IF(O265="",,R270/100*qw/O265+Q270/100*qh/3.6/O265)</f>
        <v>0</v>
      </c>
      <c r="P270" s="756"/>
      <c r="Q270" s="756">
        <f>IF(AND(Q272&lt;&gt;0,Q271=0),Q272,IF(Q272&lt;&gt;0,MIN(Q272,Q271),Q271))*J262</f>
        <v>0</v>
      </c>
      <c r="R270" s="756">
        <f>IF(R272&lt;&gt;0,MIN(R271,R272),R271)*K262</f>
        <v>0</v>
      </c>
      <c r="S270" s="759"/>
      <c r="T270" s="756"/>
      <c r="U270" s="321"/>
      <c r="V270" s="849">
        <f>IF(V265="",,Y270/100*qw/V265+X270/100*qh/3.6/V265)</f>
        <v>0</v>
      </c>
      <c r="W270" s="756"/>
      <c r="X270" s="756">
        <f>IF(AND(X272&lt;&gt;0,X271=0),X272,IF(X272&lt;&gt;0,MIN(X272,X271),X271))*J262</f>
        <v>0</v>
      </c>
      <c r="Y270" s="756">
        <f>IF(Y271&lt;&gt;0,Y271,Y272)*K262</f>
        <v>0</v>
      </c>
      <c r="Z270" s="759"/>
      <c r="AA270" s="756"/>
      <c r="AB270" s="321"/>
      <c r="AC270" s="849">
        <f>IF(AC265="",,AF270/100*qw/AC265+AE270/100*qh/3.6/AC265)</f>
        <v>0</v>
      </c>
      <c r="AD270" s="756"/>
      <c r="AE270" s="756">
        <f>IF(AND(AE272&lt;&gt;0,AE271=0),AE272,IF(AE272&lt;&gt;0,MIN(AE272,AE271),AE271))*J262</f>
        <v>0</v>
      </c>
      <c r="AF270" s="756">
        <f>IF(AF271&lt;&gt;0,AF271,AF272)*K262</f>
        <v>0</v>
      </c>
      <c r="AG270" s="759"/>
      <c r="AH270" s="756"/>
      <c r="AI270" s="321"/>
      <c r="AJ270" s="849">
        <f>IF(AJ265="",,AM270/100*qw/AJ265+AL270/100*qh/3.6/AJ265)</f>
        <v>0</v>
      </c>
      <c r="AK270" s="756"/>
      <c r="AL270" s="756">
        <f>IF(AND(AL272&lt;&gt;0,AL271=0),AL272,IF(AL272&lt;&gt;0,MIN(AL272,AL271),AL271))*J262</f>
        <v>0</v>
      </c>
      <c r="AM270" s="756">
        <f>IF(AM271&lt;&gt;0,AM271,AM272)*K262</f>
        <v>0</v>
      </c>
    </row>
    <row r="271" spans="1:39">
      <c r="A271" s="757">
        <v>262</v>
      </c>
      <c r="B271" s="789" t="s">
        <v>652</v>
      </c>
      <c r="C271" s="813" t="s">
        <v>410</v>
      </c>
      <c r="D271" s="795"/>
      <c r="E271" s="786"/>
      <c r="F271" s="792"/>
      <c r="G271" s="303"/>
      <c r="H271" s="318"/>
      <c r="J271" s="803"/>
      <c r="K271" s="804"/>
      <c r="M271" s="758"/>
      <c r="N271" s="321"/>
      <c r="O271" s="845">
        <f>IF(O265=0,,(Q270/100*qh/3.6+R270/100*qw))</f>
        <v>0</v>
      </c>
      <c r="P271" s="756"/>
      <c r="Q271" s="756"/>
      <c r="R271" s="756"/>
      <c r="S271" s="759"/>
      <c r="T271" s="756"/>
      <c r="U271" s="321"/>
      <c r="V271" s="845">
        <f>IF(V265=0,,(X270/100*qh/3.6+Y270/100*qw))</f>
        <v>0</v>
      </c>
      <c r="W271" s="756"/>
      <c r="X271" s="756"/>
      <c r="Y271" s="756"/>
      <c r="Z271" s="759"/>
      <c r="AA271" s="758"/>
      <c r="AB271" s="321"/>
      <c r="AC271" s="845">
        <f>IF(AC265=0,,(AE270/100*qh/3.6+AF270/100*qw))</f>
        <v>0</v>
      </c>
      <c r="AD271" s="756"/>
      <c r="AE271" s="756"/>
      <c r="AF271" s="756"/>
      <c r="AG271" s="759"/>
      <c r="AH271" s="758"/>
      <c r="AI271" s="321"/>
      <c r="AJ271" s="845">
        <f>IF(AJ265=0,,(AL270/100*qh/3.6+AM270/100*qw))</f>
        <v>0</v>
      </c>
      <c r="AK271" s="756"/>
      <c r="AL271" s="756"/>
      <c r="AM271" s="756"/>
    </row>
    <row r="272" spans="1:39">
      <c r="A272" s="757">
        <v>263</v>
      </c>
      <c r="B272" s="824"/>
      <c r="C272" s="836"/>
      <c r="D272" s="806"/>
      <c r="E272" s="806"/>
      <c r="F272" s="774"/>
      <c r="G272" s="319"/>
      <c r="H272" s="320"/>
      <c r="J272" s="807"/>
      <c r="K272" s="808"/>
      <c r="M272" s="756"/>
      <c r="N272" s="325"/>
      <c r="O272" s="858"/>
      <c r="P272" s="756"/>
      <c r="Q272" s="315">
        <f>Produzione!$K$18</f>
        <v>0</v>
      </c>
      <c r="R272" s="315">
        <f>Produzione!$L$18</f>
        <v>0</v>
      </c>
      <c r="S272" s="759"/>
      <c r="T272" s="756"/>
      <c r="U272" s="325"/>
      <c r="V272" s="325"/>
      <c r="W272" s="756"/>
      <c r="X272" s="315">
        <f>Produzione!$K$32</f>
        <v>0</v>
      </c>
      <c r="Y272" s="315">
        <f>Produzione!$L$32</f>
        <v>0</v>
      </c>
      <c r="Z272" s="759"/>
      <c r="AA272" s="756"/>
      <c r="AB272" s="325"/>
      <c r="AC272" s="325"/>
      <c r="AD272" s="756"/>
      <c r="AE272" s="315">
        <f>Produzione!$K$46</f>
        <v>0</v>
      </c>
      <c r="AF272" s="315">
        <f>Produzione!$L$46</f>
        <v>0</v>
      </c>
      <c r="AG272" s="759"/>
      <c r="AH272" s="756"/>
      <c r="AI272" s="325"/>
      <c r="AJ272" s="325"/>
      <c r="AK272" s="756"/>
      <c r="AL272" s="315">
        <f>Produzione!$K$60</f>
        <v>0</v>
      </c>
      <c r="AM272" s="315">
        <f>Produzione!$L$60</f>
        <v>0</v>
      </c>
    </row>
    <row r="273" spans="1:39">
      <c r="A273" s="757">
        <v>264</v>
      </c>
      <c r="B273" s="759"/>
      <c r="C273" s="833"/>
      <c r="D273" s="759"/>
      <c r="E273" s="759"/>
      <c r="F273" s="817"/>
      <c r="G273" s="759"/>
      <c r="H273" s="759"/>
      <c r="I273" s="759"/>
      <c r="J273" s="759"/>
      <c r="Q273" s="761" t="str">
        <f>IF(AND(Q272&lt;&gt;0,Q271=0),"",IF(Q272&gt;Q271,"tasso troppo alto",""))</f>
        <v/>
      </c>
      <c r="S273" s="759"/>
      <c r="X273" s="761" t="str">
        <f>IF(AND(X272&lt;&gt;0,X271=0),"",IF(X272&gt;X271,"tasso troppo alto",""))</f>
        <v/>
      </c>
      <c r="Z273" s="759"/>
      <c r="AE273" s="761" t="str">
        <f>IF(AND(AE272&lt;&gt;0,AE271=0),"",IF(AE272&gt;AE271,"tasso troppo alto",""))</f>
        <v/>
      </c>
      <c r="AG273" s="759"/>
      <c r="AL273" s="761" t="str">
        <f>IF(AND(AL272&lt;&gt;0,AL271=0),"",IF(AL272&gt;AL271,"tasso troppo alto",""))</f>
        <v/>
      </c>
    </row>
    <row r="274" spans="1:39">
      <c r="A274" s="757">
        <v>265</v>
      </c>
      <c r="B274" s="755"/>
      <c r="C274" s="834"/>
      <c r="D274" s="762"/>
      <c r="E274" s="762"/>
      <c r="G274" s="762"/>
      <c r="H274" s="818"/>
      <c r="J274" s="762" t="s">
        <v>1620</v>
      </c>
      <c r="N274" s="762"/>
      <c r="O274" s="860"/>
      <c r="P274" s="759"/>
      <c r="Q274" s="762" t="s">
        <v>1620</v>
      </c>
      <c r="R274" s="759"/>
      <c r="S274" s="759"/>
      <c r="T274" s="759"/>
      <c r="U274" s="762"/>
      <c r="V274" s="769"/>
      <c r="W274" s="759"/>
      <c r="X274" s="762" t="s">
        <v>1620</v>
      </c>
      <c r="Y274" s="759"/>
      <c r="Z274" s="759"/>
      <c r="AA274" s="759"/>
      <c r="AB274" s="762"/>
      <c r="AC274" s="769"/>
      <c r="AD274" s="759"/>
      <c r="AE274" s="762" t="s">
        <v>1620</v>
      </c>
      <c r="AF274" s="759"/>
      <c r="AG274" s="759"/>
      <c r="AH274" s="759"/>
      <c r="AI274" s="762"/>
      <c r="AJ274" s="769"/>
      <c r="AK274" s="759"/>
      <c r="AL274" s="762" t="s">
        <v>1620</v>
      </c>
      <c r="AM274" s="759"/>
    </row>
    <row r="275" spans="1:39">
      <c r="A275" s="757">
        <v>266</v>
      </c>
      <c r="B275" s="772" t="str">
        <f>INDEX(Standardwerte!$V$6:$V$43,Rechnung!$C275,1)</f>
        <v>Pompa di calore, sonda geotermica solo acqua calda</v>
      </c>
      <c r="C275" s="835">
        <v>20</v>
      </c>
      <c r="D275" s="819"/>
      <c r="E275" s="820"/>
      <c r="F275" s="821"/>
      <c r="G275" s="819"/>
      <c r="H275" s="822"/>
      <c r="J275" s="760" t="s">
        <v>525</v>
      </c>
      <c r="K275" s="756" t="s">
        <v>1622</v>
      </c>
      <c r="M275" s="756"/>
      <c r="N275" s="760"/>
      <c r="O275" s="852"/>
      <c r="P275" s="756"/>
      <c r="Q275" s="760" t="s">
        <v>525</v>
      </c>
      <c r="R275" s="756" t="s">
        <v>1622</v>
      </c>
      <c r="S275" s="759"/>
      <c r="T275" s="756"/>
      <c r="U275" s="760"/>
      <c r="V275" s="764"/>
      <c r="W275" s="756"/>
      <c r="X275" s="760" t="s">
        <v>525</v>
      </c>
      <c r="Y275" s="756" t="s">
        <v>1622</v>
      </c>
      <c r="Z275" s="759"/>
      <c r="AA275" s="756"/>
      <c r="AB275" s="760"/>
      <c r="AC275" s="764"/>
      <c r="AD275" s="756"/>
      <c r="AE275" s="760" t="s">
        <v>525</v>
      </c>
      <c r="AF275" s="756" t="s">
        <v>1622</v>
      </c>
      <c r="AG275" s="759"/>
      <c r="AH275" s="756"/>
      <c r="AI275" s="760"/>
      <c r="AJ275" s="764"/>
      <c r="AK275" s="756"/>
      <c r="AL275" s="760" t="s">
        <v>525</v>
      </c>
      <c r="AM275" s="756" t="s">
        <v>1622</v>
      </c>
    </row>
    <row r="276" spans="1:39">
      <c r="A276" s="757">
        <v>267</v>
      </c>
      <c r="B276" s="778" t="s">
        <v>526</v>
      </c>
      <c r="C276" s="830"/>
      <c r="D276" s="779"/>
      <c r="E276" s="312"/>
      <c r="F276" s="313">
        <f>INDEX($M$10:$AM$162,$A$10+(_typ1-1)*14,1)</f>
        <v>0</v>
      </c>
      <c r="G276" s="780"/>
      <c r="H276" s="781"/>
      <c r="J276" s="782">
        <f>INDEX(Standardwerte!$Y$6:$Z$43,$C275,2)</f>
        <v>0</v>
      </c>
      <c r="K276" s="783">
        <f>INDEX(Standardwerte!$Y$6:$Z$43,$C275,1)</f>
        <v>1</v>
      </c>
      <c r="M276" s="315">
        <f>Produzione!$G$8</f>
        <v>0</v>
      </c>
      <c r="N276" s="764"/>
      <c r="O276" s="852"/>
      <c r="P276" s="756"/>
      <c r="Q276" s="756"/>
      <c r="R276" s="756"/>
      <c r="S276" s="759"/>
      <c r="T276" s="315">
        <f>Produzione!$G$22</f>
        <v>0</v>
      </c>
      <c r="U276" s="764"/>
      <c r="V276" s="764"/>
      <c r="W276" s="756"/>
      <c r="X276" s="756"/>
      <c r="Y276" s="756"/>
      <c r="Z276" s="759"/>
      <c r="AA276" s="315">
        <f>Produzione!$G$36</f>
        <v>0</v>
      </c>
      <c r="AB276" s="764"/>
      <c r="AC276" s="764"/>
      <c r="AD276" s="756"/>
      <c r="AE276" s="756"/>
      <c r="AF276" s="756"/>
      <c r="AG276" s="759"/>
      <c r="AH276" s="315">
        <f>Produzione!$G$50</f>
        <v>0</v>
      </c>
      <c r="AI276" s="764"/>
      <c r="AJ276" s="764"/>
      <c r="AK276" s="756"/>
      <c r="AL276" s="756"/>
      <c r="AM276" s="756"/>
    </row>
    <row r="277" spans="1:39">
      <c r="A277" s="757">
        <v>268</v>
      </c>
      <c r="B277" s="784" t="s">
        <v>697</v>
      </c>
      <c r="C277" s="794" t="s">
        <v>776</v>
      </c>
      <c r="E277" s="786"/>
      <c r="F277" s="809">
        <f>INDEX(Standardwerte!$W$6:$W$43,$C275,1)</f>
        <v>2.7</v>
      </c>
      <c r="G277" s="787"/>
      <c r="H277" s="788"/>
      <c r="J277" s="782"/>
      <c r="K277" s="783"/>
      <c r="M277" s="315">
        <f>Produzione!$G$10</f>
        <v>0</v>
      </c>
      <c r="N277" s="764"/>
      <c r="O277" s="861">
        <f>F277</f>
        <v>2.7</v>
      </c>
      <c r="P277" s="756"/>
      <c r="Q277" s="756"/>
      <c r="R277" s="756"/>
      <c r="S277" s="759"/>
      <c r="T277" s="315">
        <f>Produzione!$G$24</f>
        <v>0</v>
      </c>
      <c r="U277" s="764"/>
      <c r="V277" s="28">
        <f>F277</f>
        <v>2.7</v>
      </c>
      <c r="W277" s="756"/>
      <c r="X277" s="756"/>
      <c r="Y277" s="756"/>
      <c r="Z277" s="759"/>
      <c r="AA277" s="315">
        <f>Produzione!$G$38</f>
        <v>0</v>
      </c>
      <c r="AB277" s="764"/>
      <c r="AC277" s="28">
        <f>F277</f>
        <v>2.7</v>
      </c>
      <c r="AD277" s="756"/>
      <c r="AE277" s="756"/>
      <c r="AF277" s="756"/>
      <c r="AG277" s="759"/>
      <c r="AH277" s="315">
        <f>Produzione!$G$52</f>
        <v>0</v>
      </c>
      <c r="AI277" s="764"/>
      <c r="AJ277" s="28">
        <f>F277</f>
        <v>2.7</v>
      </c>
      <c r="AK277" s="756"/>
      <c r="AL277" s="756"/>
      <c r="AM277" s="756"/>
    </row>
    <row r="278" spans="1:39">
      <c r="A278" s="757">
        <v>269</v>
      </c>
      <c r="B278" s="789" t="s">
        <v>698</v>
      </c>
      <c r="C278" s="794" t="s">
        <v>776</v>
      </c>
      <c r="D278" s="786"/>
      <c r="E278" s="786"/>
      <c r="F278" s="1344"/>
      <c r="G278" s="792"/>
      <c r="H278" s="793"/>
      <c r="J278" s="782"/>
      <c r="K278" s="783"/>
      <c r="L278" s="770">
        <v>1</v>
      </c>
      <c r="M278" s="756"/>
      <c r="N278" s="766"/>
      <c r="O278" s="854"/>
      <c r="P278" s="756"/>
      <c r="Q278" s="756"/>
      <c r="R278" s="756"/>
      <c r="S278" s="759"/>
      <c r="T278" s="756"/>
      <c r="U278" s="766"/>
      <c r="V278" s="767"/>
      <c r="W278" s="756"/>
      <c r="X278" s="756"/>
      <c r="Y278" s="756"/>
      <c r="Z278" s="759"/>
      <c r="AA278" s="756"/>
      <c r="AB278" s="766"/>
      <c r="AC278" s="767"/>
      <c r="AD278" s="756"/>
      <c r="AE278" s="756"/>
      <c r="AF278" s="756"/>
      <c r="AG278" s="759"/>
      <c r="AH278" s="756"/>
      <c r="AI278" s="766"/>
      <c r="AJ278" s="767"/>
      <c r="AK278" s="756"/>
      <c r="AL278" s="756"/>
      <c r="AM278" s="756"/>
    </row>
    <row r="279" spans="1:39">
      <c r="A279" s="757">
        <v>270</v>
      </c>
      <c r="B279" s="789" t="s">
        <v>699</v>
      </c>
      <c r="C279" s="794" t="s">
        <v>776</v>
      </c>
      <c r="D279" s="786"/>
      <c r="E279" s="786"/>
      <c r="F279" s="791"/>
      <c r="G279" s="303"/>
      <c r="H279" s="316"/>
      <c r="J279" s="782"/>
      <c r="K279" s="783"/>
      <c r="M279" s="756"/>
      <c r="N279" s="321"/>
      <c r="O279" s="855" t="str">
        <f>IF(M277&lt;&gt;0,M277,IF(Produzione!$E$10&lt;&gt;"",Produzione!$E$10,Produzione!$G$9))</f>
        <v/>
      </c>
      <c r="P279" s="756"/>
      <c r="Q279" s="756"/>
      <c r="R279" s="756"/>
      <c r="S279" s="759"/>
      <c r="T279" s="756"/>
      <c r="U279" s="321"/>
      <c r="V279" s="322" t="str">
        <f>IF(T277&lt;&gt;0,T277,IF(Produzione!$E$24&lt;&gt;"",Produzione!$E$24,Produzione!$G$23))</f>
        <v/>
      </c>
      <c r="W279" s="756"/>
      <c r="X279" s="756"/>
      <c r="Y279" s="756"/>
      <c r="Z279" s="759"/>
      <c r="AA279" s="756"/>
      <c r="AB279" s="321"/>
      <c r="AC279" s="322" t="str">
        <f>IF(AA277&lt;&gt;0,AA277,IF(Produzione!$E$38&lt;&gt;"",Produzione!$E$38,Produzione!$G$37))</f>
        <v/>
      </c>
      <c r="AD279" s="756"/>
      <c r="AE279" s="756"/>
      <c r="AF279" s="756"/>
      <c r="AG279" s="759"/>
      <c r="AH279" s="756"/>
      <c r="AI279" s="321"/>
      <c r="AJ279" s="322" t="str">
        <f>IF(AH277&lt;&gt;0,AH277,IF(Produzione!$E$52&lt;&gt;"",Produzione!$E$52,Produzione!$G$51))</f>
        <v/>
      </c>
      <c r="AK279" s="756"/>
      <c r="AL279" s="756"/>
      <c r="AM279" s="756"/>
    </row>
    <row r="280" spans="1:39">
      <c r="A280" s="757">
        <v>271</v>
      </c>
      <c r="B280" s="789" t="s">
        <v>51</v>
      </c>
      <c r="C280" s="790" t="s">
        <v>761</v>
      </c>
      <c r="D280" s="787"/>
      <c r="E280" s="795"/>
      <c r="F280" s="1344"/>
      <c r="G280" s="796"/>
      <c r="H280" s="797"/>
      <c r="J280" s="782"/>
      <c r="K280" s="783"/>
      <c r="L280" s="770">
        <v>1</v>
      </c>
      <c r="M280" s="315">
        <f>Produzione!$G$12</f>
        <v>0</v>
      </c>
      <c r="N280" s="758"/>
      <c r="O280" s="854"/>
      <c r="P280" s="756"/>
      <c r="Q280" s="756"/>
      <c r="R280" s="756"/>
      <c r="S280" s="759"/>
      <c r="T280" s="315">
        <f>Produzione!$G$26</f>
        <v>0</v>
      </c>
      <c r="U280" s="758"/>
      <c r="V280" s="758"/>
      <c r="W280" s="756"/>
      <c r="X280" s="756"/>
      <c r="Y280" s="756"/>
      <c r="Z280" s="759"/>
      <c r="AA280" s="315">
        <f>Produzione!$G$40</f>
        <v>0</v>
      </c>
      <c r="AB280" s="758"/>
      <c r="AC280" s="758"/>
      <c r="AD280" s="756"/>
      <c r="AE280" s="756"/>
      <c r="AF280" s="756"/>
      <c r="AG280" s="759"/>
      <c r="AH280" s="315">
        <f>Produzione!$G$54</f>
        <v>0</v>
      </c>
      <c r="AI280" s="758"/>
      <c r="AJ280" s="758"/>
      <c r="AK280" s="756"/>
      <c r="AL280" s="756"/>
      <c r="AM280" s="756"/>
    </row>
    <row r="281" spans="1:39">
      <c r="A281" s="757">
        <v>272</v>
      </c>
      <c r="B281" s="789" t="str">
        <f>IF(J276=1,"fabbisogno di potenza termica dell'edificio","")</f>
        <v/>
      </c>
      <c r="C281" s="790" t="str">
        <f>IF(J276=1,"kW","")</f>
        <v/>
      </c>
      <c r="D281" s="796"/>
      <c r="E281" s="795"/>
      <c r="F281" s="1344"/>
      <c r="G281" s="787"/>
      <c r="H281" s="798"/>
      <c r="J281" s="782"/>
      <c r="K281" s="783"/>
      <c r="L281" s="770">
        <v>1</v>
      </c>
      <c r="M281" s="315">
        <f>Produzione!$G$13</f>
        <v>0</v>
      </c>
      <c r="N281" s="764"/>
      <c r="O281" s="852"/>
      <c r="P281" s="756"/>
      <c r="Q281" s="756"/>
      <c r="R281" s="756"/>
      <c r="S281" s="759"/>
      <c r="T281" s="315">
        <f>Produzione!$G$27</f>
        <v>0</v>
      </c>
      <c r="U281" s="764"/>
      <c r="V281" s="768"/>
      <c r="W281" s="756"/>
      <c r="X281" s="756"/>
      <c r="Y281" s="756"/>
      <c r="Z281" s="759"/>
      <c r="AA281" s="315">
        <f>Produzione!$G$41</f>
        <v>0</v>
      </c>
      <c r="AB281" s="764"/>
      <c r="AC281" s="768"/>
      <c r="AD281" s="756"/>
      <c r="AE281" s="756"/>
      <c r="AF281" s="756"/>
      <c r="AG281" s="759"/>
      <c r="AH281" s="315">
        <f>Produzione!$G$55</f>
        <v>0</v>
      </c>
      <c r="AI281" s="764"/>
      <c r="AJ281" s="768"/>
      <c r="AK281" s="756"/>
      <c r="AL281" s="756"/>
      <c r="AM281" s="756"/>
    </row>
    <row r="282" spans="1:39">
      <c r="A282" s="757">
        <v>273</v>
      </c>
      <c r="B282" s="799" t="str">
        <f>IF(J276=1,"Temperatura di mandata riscaldamento","")</f>
        <v/>
      </c>
      <c r="C282" s="831" t="str">
        <f>IF(J276=1,"°C","")</f>
        <v/>
      </c>
      <c r="D282" s="786"/>
      <c r="E282" s="786"/>
      <c r="F282" s="1344"/>
      <c r="G282" s="787"/>
      <c r="H282" s="800"/>
      <c r="J282" s="782"/>
      <c r="K282" s="783"/>
      <c r="M282" s="315">
        <f>Produzione!$G$14</f>
        <v>0</v>
      </c>
      <c r="N282" s="764"/>
      <c r="O282" s="852"/>
      <c r="P282" s="756"/>
      <c r="Q282" s="756"/>
      <c r="R282" s="756"/>
      <c r="S282" s="759"/>
      <c r="T282" s="315">
        <f>Produzione!$G$28</f>
        <v>0</v>
      </c>
      <c r="U282" s="764"/>
      <c r="V282" s="764"/>
      <c r="W282" s="756"/>
      <c r="X282" s="756"/>
      <c r="Y282" s="756"/>
      <c r="Z282" s="759"/>
      <c r="AA282" s="315">
        <f>Produzione!$G$42</f>
        <v>0</v>
      </c>
      <c r="AB282" s="764"/>
      <c r="AC282" s="764"/>
      <c r="AD282" s="756"/>
      <c r="AE282" s="756"/>
      <c r="AF282" s="756"/>
      <c r="AG282" s="759"/>
      <c r="AH282" s="315">
        <f>Produzione!$G$56</f>
        <v>0</v>
      </c>
      <c r="AI282" s="764"/>
      <c r="AJ282" s="764"/>
      <c r="AK282" s="756"/>
      <c r="AL282" s="756"/>
      <c r="AM282" s="756"/>
    </row>
    <row r="283" spans="1:39">
      <c r="A283" s="757">
        <v>274</v>
      </c>
      <c r="B283" s="799" t="str">
        <f>IF(AND(Warmwasser,K276=1),"Temperatura acqua calda sanitaria","")</f>
        <v/>
      </c>
      <c r="C283" s="831" t="str">
        <f>IF(AND(Warmwasser,K276=1),"°C","")</f>
        <v/>
      </c>
      <c r="D283" s="786"/>
      <c r="E283" s="786"/>
      <c r="F283" s="1344"/>
      <c r="G283" s="796"/>
      <c r="H283" s="788"/>
      <c r="J283" s="782"/>
      <c r="K283" s="783"/>
      <c r="L283" s="770">
        <v>2</v>
      </c>
      <c r="M283" s="315">
        <f>Produzione!$G$15</f>
        <v>0</v>
      </c>
      <c r="N283" s="758"/>
      <c r="O283" s="853"/>
      <c r="P283" s="756"/>
      <c r="R283" s="756" t="str">
        <f>IF(AND($K276=0,R286&lt;&gt;0),"scelto riscald.",IF(AND($J276=0,Q272&gt;0),"scelta acqua calda",""))</f>
        <v/>
      </c>
      <c r="S283" s="759"/>
      <c r="T283" s="315">
        <f>Produzione!$G$29</f>
        <v>0</v>
      </c>
      <c r="U283" s="758"/>
      <c r="V283" s="765"/>
      <c r="W283" s="756"/>
      <c r="Y283" s="756" t="str">
        <f>IF(AND($K276=0,Y286&lt;&gt;0),"Riscald. ausgewählt",IF(AND($J276=0,X272&gt;0),"Acqua calda ausgewählt",""))</f>
        <v/>
      </c>
      <c r="Z283" s="759"/>
      <c r="AA283" s="315">
        <f>Produzione!$G$43</f>
        <v>0</v>
      </c>
      <c r="AB283" s="758"/>
      <c r="AC283" s="765"/>
      <c r="AD283" s="756"/>
      <c r="AF283" s="756" t="str">
        <f>IF(AND($K276=0,AF286&lt;&gt;0),"Riscald. ausgewählt",IF(AND($J276=0,AE272&gt;0),"Acqua calda ausgewählt",""))</f>
        <v/>
      </c>
      <c r="AG283" s="759"/>
      <c r="AH283" s="315">
        <f>Produzione!$G$57</f>
        <v>0</v>
      </c>
      <c r="AI283" s="758"/>
      <c r="AJ283" s="765"/>
      <c r="AK283" s="756"/>
      <c r="AM283" s="756" t="str">
        <f>IF(AND($K276=0,AM286&lt;&gt;0),"Riscald. ausgewählt",IF(AND($J276=0,AL272&gt;0),"Acqua calda ausgewählt",""))</f>
        <v/>
      </c>
    </row>
    <row r="284" spans="1:39">
      <c r="A284" s="757">
        <v>275</v>
      </c>
      <c r="B284" s="799" t="s">
        <v>1374</v>
      </c>
      <c r="C284" s="813" t="s">
        <v>410</v>
      </c>
      <c r="D284" s="795"/>
      <c r="E284" s="795"/>
      <c r="F284" s="791"/>
      <c r="G284" s="303"/>
      <c r="H284" s="317"/>
      <c r="J284" s="801"/>
      <c r="K284" s="802"/>
      <c r="M284" s="756"/>
      <c r="N284" s="321"/>
      <c r="O284" s="849">
        <f>IF(O279="",,R284/100*qw/O279+Q284/100*qh/3.6/O279)</f>
        <v>0</v>
      </c>
      <c r="P284" s="756"/>
      <c r="Q284" s="756">
        <f>IF(Q285&lt;&gt;0,Q285,Q286)*J276</f>
        <v>0</v>
      </c>
      <c r="R284" s="756">
        <f>IF(AND(R286&lt;&gt;0,R285=0),R286,IF(R286&lt;&gt;0,MIN(R286,R285),R285))*K276</f>
        <v>0</v>
      </c>
      <c r="S284" s="759"/>
      <c r="T284" s="756"/>
      <c r="U284" s="321"/>
      <c r="V284" s="847">
        <f>IF(V279="",,Y284/100*qw/V279+X284/100*qh/3.6/V279)</f>
        <v>0</v>
      </c>
      <c r="W284" s="756"/>
      <c r="X284" s="756">
        <f>IF(X285&lt;&gt;0,X285,X286)*J276</f>
        <v>0</v>
      </c>
      <c r="Y284" s="756">
        <f>IF(AND(Y286&lt;&gt;0,Y285=0),Y286,IF(Y286&lt;&gt;0,MIN(Y286,Y285),Y285))*K276</f>
        <v>0</v>
      </c>
      <c r="Z284" s="759"/>
      <c r="AA284" s="756"/>
      <c r="AB284" s="321"/>
      <c r="AC284" s="847">
        <f>IF(AC279="",,AF284/100*qw/AC279+AE284/100*qh/3.6/AC279)</f>
        <v>0</v>
      </c>
      <c r="AD284" s="756"/>
      <c r="AE284" s="756">
        <f>IF(AE285&lt;&gt;0,AE285,AE286)*J276</f>
        <v>0</v>
      </c>
      <c r="AF284" s="756">
        <f>IF(AND(AF286&lt;&gt;0,AF285=0),AF286,IF(AF286&lt;&gt;0,MIN(AF286,AF285),AF285))*K276</f>
        <v>0</v>
      </c>
      <c r="AG284" s="759"/>
      <c r="AH284" s="756"/>
      <c r="AI284" s="321"/>
      <c r="AJ284" s="847">
        <f>IF(AJ279="",,AM284/100*qw/AJ279+AL284/100*qh/3.6/AJ279)</f>
        <v>0</v>
      </c>
      <c r="AK284" s="756"/>
      <c r="AL284" s="756">
        <f>IF(AL285&lt;&gt;0,AL285,AL286)*J276</f>
        <v>0</v>
      </c>
      <c r="AM284" s="756">
        <f>IF(AND(AM286&lt;&gt;0,AM285=0),AM286,IF(AM286&lt;&gt;0,MIN(AM286,AM285),AM285))*K276</f>
        <v>0</v>
      </c>
    </row>
    <row r="285" spans="1:39">
      <c r="A285" s="757">
        <v>276</v>
      </c>
      <c r="B285" s="789" t="s">
        <v>652</v>
      </c>
      <c r="C285" s="813" t="s">
        <v>410</v>
      </c>
      <c r="D285" s="795"/>
      <c r="E285" s="786"/>
      <c r="F285" s="792"/>
      <c r="G285" s="303"/>
      <c r="H285" s="318"/>
      <c r="J285" s="803"/>
      <c r="K285" s="804"/>
      <c r="M285" s="758"/>
      <c r="N285" s="321"/>
      <c r="O285" s="845">
        <f>IF(O277=0,,(Q284/100*qh/3.6+R284/100*qw))</f>
        <v>0</v>
      </c>
      <c r="P285" s="756"/>
      <c r="Q285" s="756"/>
      <c r="R285" s="756"/>
      <c r="S285" s="759"/>
      <c r="T285" s="756"/>
      <c r="U285" s="321"/>
      <c r="V285" s="845">
        <f>IF(V277=0,,(X284/100*qh/3.6+Y284/100*qw))</f>
        <v>0</v>
      </c>
      <c r="W285" s="756"/>
      <c r="X285" s="756"/>
      <c r="Y285" s="756"/>
      <c r="Z285" s="759"/>
      <c r="AA285" s="758"/>
      <c r="AB285" s="321"/>
      <c r="AC285" s="845">
        <f>IF(AC277=0,,(AE284/100*qh/3.6+AF284/100*qw))</f>
        <v>0</v>
      </c>
      <c r="AD285" s="756"/>
      <c r="AE285" s="756"/>
      <c r="AF285" s="756"/>
      <c r="AG285" s="759"/>
      <c r="AH285" s="758"/>
      <c r="AI285" s="321"/>
      <c r="AJ285" s="845">
        <f>IF(AJ277=0,,(AL284/100*qh/3.6+AM284/100*qw))</f>
        <v>0</v>
      </c>
      <c r="AK285" s="756"/>
      <c r="AL285" s="756"/>
      <c r="AM285" s="756"/>
    </row>
    <row r="286" spans="1:39">
      <c r="A286" s="757">
        <v>277</v>
      </c>
      <c r="B286" s="824"/>
      <c r="C286" s="836"/>
      <c r="D286" s="806"/>
      <c r="E286" s="806"/>
      <c r="F286" s="774"/>
      <c r="G286" s="319"/>
      <c r="H286" s="320"/>
      <c r="J286" s="807"/>
      <c r="K286" s="808"/>
      <c r="M286" s="756"/>
      <c r="N286" s="325"/>
      <c r="O286" s="858"/>
      <c r="P286" s="756"/>
      <c r="Q286" s="315">
        <f>Produzione!$K$18</f>
        <v>0</v>
      </c>
      <c r="R286" s="315">
        <f>Produzione!$L$18</f>
        <v>0</v>
      </c>
      <c r="S286" s="759"/>
      <c r="T286" s="756"/>
      <c r="U286" s="325"/>
      <c r="V286" s="325"/>
      <c r="W286" s="756"/>
      <c r="X286" s="315">
        <f>Produzione!$K$32</f>
        <v>0</v>
      </c>
      <c r="Y286" s="315">
        <f>Produzione!$L$32</f>
        <v>0</v>
      </c>
      <c r="Z286" s="759"/>
      <c r="AA286" s="756"/>
      <c r="AB286" s="325"/>
      <c r="AC286" s="325"/>
      <c r="AD286" s="756"/>
      <c r="AE286" s="315">
        <f>Produzione!$K$46</f>
        <v>0</v>
      </c>
      <c r="AF286" s="315">
        <f>Produzione!$L$46</f>
        <v>0</v>
      </c>
      <c r="AG286" s="759"/>
      <c r="AH286" s="756"/>
      <c r="AI286" s="325"/>
      <c r="AJ286" s="325"/>
      <c r="AK286" s="756"/>
      <c r="AL286" s="315">
        <f>Produzione!$K$60</f>
        <v>0</v>
      </c>
      <c r="AM286" s="315">
        <f>Produzione!$L$60</f>
        <v>0</v>
      </c>
    </row>
    <row r="287" spans="1:39">
      <c r="A287" s="757">
        <v>278</v>
      </c>
      <c r="B287" s="759"/>
      <c r="C287" s="833"/>
      <c r="D287" s="759"/>
      <c r="E287" s="759"/>
      <c r="F287" s="817"/>
      <c r="G287" s="759"/>
      <c r="H287" s="759"/>
      <c r="I287" s="759"/>
      <c r="J287" s="759"/>
      <c r="Q287" s="761" t="str">
        <f>IF(AND(R286&lt;&gt;0,R285=0),"",IF(R286&gt;R285,"tasso troppo alto",""))</f>
        <v/>
      </c>
      <c r="S287" s="759"/>
      <c r="X287" s="761" t="str">
        <f>IF(AND(Y286&lt;&gt;0,Y285=0),"",IF(Y286&gt;Y285,"tasso troppo alto",""))</f>
        <v/>
      </c>
      <c r="Z287" s="759"/>
      <c r="AE287" s="761" t="str">
        <f>IF(AND(AF286&lt;&gt;0,AF285=0),"",IF(AF286&gt;AF285,"tasso troppo alto",""))</f>
        <v/>
      </c>
      <c r="AG287" s="759"/>
      <c r="AL287" s="761" t="str">
        <f>IF(AND(AM286&lt;&gt;0,AM285=0),"",IF(AM286&gt;AM285,"tasso troppo alto",""))</f>
        <v/>
      </c>
    </row>
    <row r="288" spans="1:39">
      <c r="A288" s="757">
        <v>279</v>
      </c>
      <c r="B288" s="755"/>
      <c r="C288" s="834"/>
      <c r="D288" s="762"/>
      <c r="E288" s="762"/>
      <c r="G288" s="762"/>
      <c r="H288" s="818"/>
      <c r="J288" s="762" t="s">
        <v>1620</v>
      </c>
      <c r="N288" s="762"/>
      <c r="O288" s="860"/>
      <c r="P288" s="759"/>
      <c r="Q288" s="762" t="s">
        <v>1620</v>
      </c>
      <c r="R288" s="759"/>
      <c r="S288" s="759"/>
      <c r="T288" s="759"/>
      <c r="U288" s="762"/>
      <c r="V288" s="769"/>
      <c r="W288" s="759"/>
      <c r="X288" s="762" t="s">
        <v>1620</v>
      </c>
      <c r="Z288" s="759"/>
      <c r="AA288" s="759"/>
      <c r="AB288" s="762"/>
      <c r="AC288" s="769"/>
      <c r="AD288" s="759"/>
      <c r="AE288" s="762" t="s">
        <v>1620</v>
      </c>
      <c r="AF288" s="759"/>
      <c r="AG288" s="759"/>
      <c r="AH288" s="759"/>
      <c r="AI288" s="762"/>
      <c r="AJ288" s="769"/>
      <c r="AK288" s="759"/>
      <c r="AL288" s="762" t="s">
        <v>1620</v>
      </c>
      <c r="AM288" s="759"/>
    </row>
    <row r="289" spans="1:39">
      <c r="A289" s="757">
        <v>280</v>
      </c>
      <c r="B289" s="772" t="str">
        <f>INDEX(Standardwerte!$V$6:$V$43,Rechnung!$C289,1)</f>
        <v>Pompa di calore, acque di scarico, solo riscaldamento</v>
      </c>
      <c r="C289" s="835">
        <v>21</v>
      </c>
      <c r="D289" s="819"/>
      <c r="E289" s="820"/>
      <c r="F289" s="821"/>
      <c r="G289" s="819"/>
      <c r="H289" s="822"/>
      <c r="J289" s="760" t="s">
        <v>525</v>
      </c>
      <c r="K289" s="756" t="s">
        <v>1622</v>
      </c>
      <c r="M289" s="756"/>
      <c r="N289" s="760"/>
      <c r="O289" s="852"/>
      <c r="P289" s="756"/>
      <c r="Q289" s="760" t="s">
        <v>525</v>
      </c>
      <c r="R289" s="756" t="s">
        <v>1622</v>
      </c>
      <c r="S289" s="759"/>
      <c r="T289" s="756"/>
      <c r="U289" s="760"/>
      <c r="V289" s="764"/>
      <c r="W289" s="756"/>
      <c r="X289" s="760" t="s">
        <v>525</v>
      </c>
      <c r="Y289" s="756" t="s">
        <v>1622</v>
      </c>
      <c r="Z289" s="759"/>
      <c r="AA289" s="756"/>
      <c r="AB289" s="760"/>
      <c r="AC289" s="764"/>
      <c r="AD289" s="756"/>
      <c r="AE289" s="760" t="s">
        <v>525</v>
      </c>
      <c r="AF289" s="756" t="s">
        <v>1622</v>
      </c>
      <c r="AG289" s="759"/>
      <c r="AH289" s="756"/>
      <c r="AI289" s="760"/>
      <c r="AJ289" s="764"/>
      <c r="AK289" s="756"/>
      <c r="AL289" s="760" t="s">
        <v>525</v>
      </c>
      <c r="AM289" s="756" t="s">
        <v>1622</v>
      </c>
    </row>
    <row r="290" spans="1:39">
      <c r="A290" s="757">
        <v>281</v>
      </c>
      <c r="B290" s="778" t="s">
        <v>526</v>
      </c>
      <c r="C290" s="830"/>
      <c r="D290" s="779"/>
      <c r="E290" s="312"/>
      <c r="F290" s="313">
        <f>INDEX($M$10:$AM$162,$A$10+(_typ1-1)*14,1)</f>
        <v>0</v>
      </c>
      <c r="G290" s="780"/>
      <c r="H290" s="781"/>
      <c r="J290" s="782">
        <f>INDEX(Standardwerte!$Y$6:$Z$43,$C289,2)</f>
        <v>1</v>
      </c>
      <c r="K290" s="783">
        <f>INDEX(Standardwerte!$Y$6:$Z$43,$C289,1)</f>
        <v>0</v>
      </c>
      <c r="M290" s="315">
        <f>Produzione!$G$8</f>
        <v>0</v>
      </c>
      <c r="N290" s="764"/>
      <c r="O290" s="852"/>
      <c r="P290" s="756"/>
      <c r="Q290" s="756"/>
      <c r="R290" s="756"/>
      <c r="S290" s="759"/>
      <c r="T290" s="315">
        <f>Produzione!$G$22</f>
        <v>0</v>
      </c>
      <c r="U290" s="764"/>
      <c r="V290" s="764"/>
      <c r="W290" s="756"/>
      <c r="X290" s="756"/>
      <c r="Y290" s="756"/>
      <c r="Z290" s="759"/>
      <c r="AA290" s="315">
        <f>Produzione!$G$36</f>
        <v>0</v>
      </c>
      <c r="AB290" s="764"/>
      <c r="AC290" s="764"/>
      <c r="AD290" s="756"/>
      <c r="AE290" s="756"/>
      <c r="AF290" s="756"/>
      <c r="AG290" s="759"/>
      <c r="AH290" s="315">
        <f>Produzione!$G$50</f>
        <v>0</v>
      </c>
      <c r="AI290" s="764"/>
      <c r="AJ290" s="764"/>
      <c r="AK290" s="756"/>
      <c r="AL290" s="756"/>
      <c r="AM290" s="756"/>
    </row>
    <row r="291" spans="1:39">
      <c r="A291" s="757">
        <v>282</v>
      </c>
      <c r="B291" s="784" t="s">
        <v>697</v>
      </c>
      <c r="C291" s="831" t="s">
        <v>776</v>
      </c>
      <c r="E291" s="786"/>
      <c r="F291" s="809">
        <f>INDEX(Standardwerte!$W$6:$W$43,$C289,1)</f>
        <v>0</v>
      </c>
      <c r="G291" s="787"/>
      <c r="H291" s="788"/>
      <c r="J291" s="782"/>
      <c r="K291" s="783"/>
      <c r="M291" s="315">
        <f>Produzione!$G$10</f>
        <v>0</v>
      </c>
      <c r="N291" s="764"/>
      <c r="O291" s="863">
        <f>$F$291</f>
        <v>0</v>
      </c>
      <c r="P291" s="756"/>
      <c r="Q291" s="756"/>
      <c r="R291" s="756"/>
      <c r="S291" s="759"/>
      <c r="T291" s="315">
        <f>Produzione!$G$24</f>
        <v>0</v>
      </c>
      <c r="U291" s="764"/>
      <c r="V291" s="863">
        <f>$F$291</f>
        <v>0</v>
      </c>
      <c r="W291" s="756"/>
      <c r="X291" s="756"/>
      <c r="Y291" s="756"/>
      <c r="Z291" s="759"/>
      <c r="AA291" s="315">
        <f>Produzione!$G$38</f>
        <v>0</v>
      </c>
      <c r="AB291" s="764"/>
      <c r="AC291" s="863">
        <f>$F$291</f>
        <v>0</v>
      </c>
      <c r="AD291" s="756"/>
      <c r="AE291" s="756"/>
      <c r="AF291" s="756"/>
      <c r="AG291" s="759"/>
      <c r="AH291" s="315">
        <f>Produzione!$G$52</f>
        <v>0</v>
      </c>
      <c r="AI291" s="764"/>
      <c r="AJ291" s="863">
        <f>$F$291</f>
        <v>0</v>
      </c>
      <c r="AK291" s="756"/>
      <c r="AL291" s="756"/>
      <c r="AM291" s="756"/>
    </row>
    <row r="292" spans="1:39">
      <c r="A292" s="757">
        <v>283</v>
      </c>
      <c r="B292" s="789" t="s">
        <v>698</v>
      </c>
      <c r="C292" s="831" t="s">
        <v>776</v>
      </c>
      <c r="D292" s="786"/>
      <c r="E292" s="786"/>
      <c r="F292" s="1344"/>
      <c r="G292" s="792"/>
      <c r="H292" s="793"/>
      <c r="J292" s="782"/>
      <c r="K292" s="783"/>
      <c r="L292" s="770">
        <v>2</v>
      </c>
      <c r="M292" s="756"/>
      <c r="N292" s="766"/>
      <c r="O292" s="854"/>
      <c r="P292" s="756"/>
      <c r="Q292" s="756"/>
      <c r="R292" s="756"/>
      <c r="S292" s="759"/>
      <c r="T292" s="756"/>
      <c r="U292" s="766"/>
      <c r="V292" s="767"/>
      <c r="W292" s="756"/>
      <c r="X292" s="756"/>
      <c r="Y292" s="756"/>
      <c r="Z292" s="759"/>
      <c r="AA292" s="756"/>
      <c r="AB292" s="766"/>
      <c r="AC292" s="767"/>
      <c r="AD292" s="756"/>
      <c r="AE292" s="756"/>
      <c r="AF292" s="756"/>
      <c r="AG292" s="759"/>
      <c r="AH292" s="756"/>
      <c r="AI292" s="766"/>
      <c r="AJ292" s="767"/>
      <c r="AK292" s="756"/>
      <c r="AL292" s="756"/>
      <c r="AM292" s="756"/>
    </row>
    <row r="293" spans="1:39">
      <c r="A293" s="757">
        <v>284</v>
      </c>
      <c r="B293" s="789" t="s">
        <v>699</v>
      </c>
      <c r="C293" s="794" t="s">
        <v>776</v>
      </c>
      <c r="D293" s="786"/>
      <c r="E293" s="786"/>
      <c r="F293" s="791"/>
      <c r="G293" s="303"/>
      <c r="H293" s="316"/>
      <c r="J293" s="782"/>
      <c r="K293" s="783"/>
      <c r="M293" s="756"/>
      <c r="N293" s="321"/>
      <c r="O293" s="855" t="str">
        <f>IF(M291&lt;&gt;0,M291,IF(Produzione!$E$10&lt;&gt;"",Produzione!$E$10,Produzione!$G$9))</f>
        <v/>
      </c>
      <c r="P293" s="756"/>
      <c r="Q293" s="756"/>
      <c r="R293" s="756"/>
      <c r="S293" s="759"/>
      <c r="T293" s="756"/>
      <c r="U293" s="321"/>
      <c r="V293" s="322" t="str">
        <f>IF(T291&lt;&gt;0,T291,IF(Produzione!$E$24&lt;&gt;"",Produzione!$E$24,Produzione!$G$23))</f>
        <v/>
      </c>
      <c r="W293" s="756"/>
      <c r="X293" s="756"/>
      <c r="Y293" s="756"/>
      <c r="Z293" s="759"/>
      <c r="AA293" s="756"/>
      <c r="AB293" s="321"/>
      <c r="AC293" s="322" t="str">
        <f>IF(AA291&lt;&gt;0,AA291,IF(Produzione!$E$24&lt;&gt;"",Produzione!$E$24,Produzione!$G$23))</f>
        <v/>
      </c>
      <c r="AD293" s="756"/>
      <c r="AE293" s="756"/>
      <c r="AF293" s="756"/>
      <c r="AG293" s="759"/>
      <c r="AH293" s="756"/>
      <c r="AI293" s="321"/>
      <c r="AJ293" s="322" t="str">
        <f>IF(AH291&lt;&gt;0,AH291,IF(Produzione!$E$52&lt;&gt;"",Produzione!$E$52,Produzione!$G$51))</f>
        <v/>
      </c>
      <c r="AK293" s="756"/>
      <c r="AL293" s="756"/>
      <c r="AM293" s="756"/>
    </row>
    <row r="294" spans="1:39">
      <c r="A294" s="757">
        <v>285</v>
      </c>
      <c r="B294" s="789" t="s">
        <v>51</v>
      </c>
      <c r="C294" s="790" t="s">
        <v>761</v>
      </c>
      <c r="D294" s="787"/>
      <c r="E294" s="795"/>
      <c r="F294" s="1344"/>
      <c r="G294" s="796"/>
      <c r="H294" s="797"/>
      <c r="J294" s="782"/>
      <c r="K294" s="783"/>
      <c r="L294" s="770">
        <v>1</v>
      </c>
      <c r="M294" s="315">
        <f>Produzione!$G$12</f>
        <v>0</v>
      </c>
      <c r="N294" s="758"/>
      <c r="O294" s="854"/>
      <c r="P294" s="756"/>
      <c r="Q294" s="756"/>
      <c r="R294" s="756"/>
      <c r="S294" s="759"/>
      <c r="T294" s="315">
        <f>Produzione!$G$26</f>
        <v>0</v>
      </c>
      <c r="U294" s="758"/>
      <c r="V294" s="758"/>
      <c r="W294" s="756"/>
      <c r="X294" s="756"/>
      <c r="Y294" s="756"/>
      <c r="Z294" s="759"/>
      <c r="AA294" s="315">
        <f>Produzione!$G$40</f>
        <v>0</v>
      </c>
      <c r="AB294" s="758"/>
      <c r="AC294" s="758"/>
      <c r="AD294" s="756"/>
      <c r="AE294" s="756"/>
      <c r="AF294" s="756"/>
      <c r="AG294" s="759"/>
      <c r="AH294" s="315">
        <f>Produzione!$G$54</f>
        <v>0</v>
      </c>
      <c r="AI294" s="758"/>
      <c r="AJ294" s="758"/>
      <c r="AK294" s="756"/>
      <c r="AL294" s="756"/>
      <c r="AM294" s="756"/>
    </row>
    <row r="295" spans="1:39">
      <c r="A295" s="757">
        <v>286</v>
      </c>
      <c r="B295" s="789" t="str">
        <f>IF(J290=1,"fabbisogno di potenza termica dell'edificio","")</f>
        <v>fabbisogno di potenza termica dell'edificio</v>
      </c>
      <c r="C295" s="790" t="str">
        <f>IF(J290=1,"kW","")</f>
        <v>kW</v>
      </c>
      <c r="D295" s="796"/>
      <c r="E295" s="795"/>
      <c r="F295" s="1344"/>
      <c r="G295" s="787"/>
      <c r="H295" s="798"/>
      <c r="J295" s="782"/>
      <c r="K295" s="783"/>
      <c r="L295" s="770">
        <v>1</v>
      </c>
      <c r="M295" s="315">
        <f>Produzione!$G$13</f>
        <v>0</v>
      </c>
      <c r="N295" s="764"/>
      <c r="O295" s="852"/>
      <c r="P295" s="756"/>
      <c r="Q295" s="756"/>
      <c r="R295" s="756"/>
      <c r="S295" s="759"/>
      <c r="T295" s="315">
        <f>Produzione!$G$27</f>
        <v>0</v>
      </c>
      <c r="U295" s="764"/>
      <c r="V295" s="768"/>
      <c r="W295" s="756"/>
      <c r="X295" s="756"/>
      <c r="Y295" s="756"/>
      <c r="Z295" s="759"/>
      <c r="AA295" s="315">
        <f>Produzione!$G$41</f>
        <v>0</v>
      </c>
      <c r="AB295" s="764"/>
      <c r="AC295" s="768"/>
      <c r="AD295" s="756"/>
      <c r="AE295" s="756"/>
      <c r="AF295" s="756"/>
      <c r="AG295" s="759"/>
      <c r="AH295" s="315">
        <f>Produzione!$G$55</f>
        <v>0</v>
      </c>
      <c r="AI295" s="764"/>
      <c r="AJ295" s="768"/>
      <c r="AK295" s="756"/>
      <c r="AL295" s="756"/>
      <c r="AM295" s="756"/>
    </row>
    <row r="296" spans="1:39">
      <c r="A296" s="757">
        <v>287</v>
      </c>
      <c r="B296" s="799" t="str">
        <f>IF(J290=1,"Temperatura di mandata riscaldamento","")</f>
        <v>Temperatura di mandata riscaldamento</v>
      </c>
      <c r="C296" s="831" t="str">
        <f>IF(J290=1,"°C","")</f>
        <v>°C</v>
      </c>
      <c r="D296" s="786"/>
      <c r="E296" s="786"/>
      <c r="F296" s="1344"/>
      <c r="G296" s="787"/>
      <c r="H296" s="800"/>
      <c r="J296" s="782"/>
      <c r="K296" s="783"/>
      <c r="L296" s="770">
        <v>2</v>
      </c>
      <c r="M296" s="315">
        <f>Produzione!$G$14</f>
        <v>0</v>
      </c>
      <c r="N296" s="764"/>
      <c r="P296" s="756"/>
      <c r="Q296" s="756"/>
      <c r="R296" s="756"/>
      <c r="S296" s="759"/>
      <c r="T296" s="315">
        <f>Produzione!$G$28</f>
        <v>0</v>
      </c>
      <c r="U296" s="764"/>
      <c r="W296" s="756"/>
      <c r="X296" s="756"/>
      <c r="Y296" s="756"/>
      <c r="Z296" s="759"/>
      <c r="AA296" s="315">
        <f>Produzione!$G$42</f>
        <v>0</v>
      </c>
      <c r="AB296" s="764"/>
      <c r="AD296" s="756"/>
      <c r="AE296" s="756"/>
      <c r="AF296" s="756"/>
      <c r="AG296" s="759"/>
      <c r="AH296" s="315">
        <f>Produzione!$G$56</f>
        <v>0</v>
      </c>
      <c r="AI296" s="764"/>
      <c r="AK296" s="756"/>
      <c r="AL296" s="756"/>
      <c r="AM296" s="756"/>
    </row>
    <row r="297" spans="1:39">
      <c r="A297" s="757">
        <v>288</v>
      </c>
      <c r="B297" s="799" t="str">
        <f>IF(AND(Warmwasser,K290=1),"Temperatura acqua calda sanitaria","")</f>
        <v/>
      </c>
      <c r="C297" s="831" t="str">
        <f>IF(AND(Warmwasser,K290=1),"°C","")</f>
        <v/>
      </c>
      <c r="D297" s="786"/>
      <c r="E297" s="786"/>
      <c r="F297" s="1344"/>
      <c r="G297" s="796"/>
      <c r="H297" s="788"/>
      <c r="J297" s="782"/>
      <c r="K297" s="783"/>
      <c r="M297" s="315">
        <f>Produzione!$G$15</f>
        <v>0</v>
      </c>
      <c r="N297" s="758"/>
      <c r="O297" s="853"/>
      <c r="P297" s="756"/>
      <c r="Q297" s="756"/>
      <c r="R297" s="756" t="str">
        <f>IF(AND($K290=0,R300&lt;&gt;0),"Riscald. ausgewählt",IF(AND($J290=0,Q286&gt;0),"Acqua calda ausgewählt",""))</f>
        <v/>
      </c>
      <c r="S297" s="759"/>
      <c r="T297" s="315">
        <f>Produzione!$G$29</f>
        <v>0</v>
      </c>
      <c r="U297" s="758"/>
      <c r="V297" s="765"/>
      <c r="W297" s="756"/>
      <c r="X297" s="756"/>
      <c r="Y297" s="756" t="str">
        <f>IF(AND($K290=0,Y300&lt;&gt;0),"Riscald. ausgewählt",IF(AND($J290=0,X286&gt;0),"Acqua calda ausgewählt",""))</f>
        <v/>
      </c>
      <c r="Z297" s="759"/>
      <c r="AA297" s="315">
        <f>Produzione!$G$43</f>
        <v>0</v>
      </c>
      <c r="AB297" s="758"/>
      <c r="AC297" s="765"/>
      <c r="AD297" s="756"/>
      <c r="AE297" s="756"/>
      <c r="AF297" s="756" t="str">
        <f>IF(AND($K290=0,AF300&lt;&gt;0),"Riscald. ausgewählt",IF(AND($J290=0,AE286&gt;0),"Acqua calda ausgewählt",""))</f>
        <v/>
      </c>
      <c r="AG297" s="759"/>
      <c r="AH297" s="315">
        <f>Produzione!$G$57</f>
        <v>0</v>
      </c>
      <c r="AI297" s="758"/>
      <c r="AJ297" s="765"/>
      <c r="AK297" s="756"/>
      <c r="AL297" s="756"/>
      <c r="AM297" s="756" t="str">
        <f>IF(AND($K290=0,AM300&lt;&gt;0),"Riscald. ausgewählt",IF(AND($J290=0,AL286&gt;0),"Acqua calda ausgewählt",""))</f>
        <v/>
      </c>
    </row>
    <row r="298" spans="1:39">
      <c r="A298" s="757">
        <v>289</v>
      </c>
      <c r="B298" s="799" t="s">
        <v>1374</v>
      </c>
      <c r="C298" s="813" t="s">
        <v>410</v>
      </c>
      <c r="D298" s="795"/>
      <c r="E298" s="795"/>
      <c r="F298" s="791"/>
      <c r="G298" s="303"/>
      <c r="H298" s="317"/>
      <c r="J298" s="801"/>
      <c r="K298" s="802"/>
      <c r="M298" s="756"/>
      <c r="N298" s="321"/>
      <c r="O298" s="849">
        <f>IF(O293="",,R298/100*qw/O293+Q298/100*qh/3.6/O293)</f>
        <v>0</v>
      </c>
      <c r="P298" s="756"/>
      <c r="Q298" s="756">
        <f>IF(AND(Q300&lt;&gt;0,Q299=0),Q300,IF(Q300&lt;&gt;0,MIN(Q300,Q299),Q299))*J290</f>
        <v>0</v>
      </c>
      <c r="R298" s="756">
        <f>IF(R300&lt;&gt;0,MIN(R299,R300),R299)*K290</f>
        <v>0</v>
      </c>
      <c r="S298" s="759"/>
      <c r="T298" s="756"/>
      <c r="U298" s="321"/>
      <c r="V298" s="847">
        <f>IF(V293="",,Y298/100*qw/V293+X298/100*qh/3.6/V293)</f>
        <v>0</v>
      </c>
      <c r="W298" s="756"/>
      <c r="X298" s="756">
        <f>IF(AND(X300&lt;&gt;0,X299=0),X300,IF(X300&lt;&gt;0,MIN(X300,X299),X299))*J290</f>
        <v>0</v>
      </c>
      <c r="Y298" s="756">
        <f>IF(Y299&lt;&gt;0,Y299,Y300)*K290</f>
        <v>0</v>
      </c>
      <c r="Z298" s="759"/>
      <c r="AA298" s="756"/>
      <c r="AB298" s="321"/>
      <c r="AC298" s="847">
        <f>IF(AC293="",,AF298/100*qw/AC293+AE298/100*qh/3.6/AC293)</f>
        <v>0</v>
      </c>
      <c r="AD298" s="756"/>
      <c r="AE298" s="756">
        <f>IF(AND(AE300&lt;&gt;0,AE299=0),AE300,IF(AE300&lt;&gt;0,MIN(AE300,AE299),AE299))*J290</f>
        <v>0</v>
      </c>
      <c r="AF298" s="756">
        <f>IF(AF299&lt;&gt;0,AF299,AF300)*K290</f>
        <v>0</v>
      </c>
      <c r="AG298" s="759"/>
      <c r="AH298" s="756"/>
      <c r="AI298" s="321"/>
      <c r="AJ298" s="847">
        <f>IF(AJ293="",,AM298/100*qw/AJ293+AL298/100*qh/3.6/AJ293)</f>
        <v>0</v>
      </c>
      <c r="AK298" s="756"/>
      <c r="AL298" s="756">
        <f>IF(AND(AL300&lt;&gt;0,AL299=0),AL300,IF(AL300&lt;&gt;0,MIN(AL300,AL299),AL299))*J290</f>
        <v>0</v>
      </c>
      <c r="AM298" s="756">
        <f>IF(AM299&lt;&gt;0,AM299,AM300)*K290</f>
        <v>0</v>
      </c>
    </row>
    <row r="299" spans="1:39">
      <c r="A299" s="757">
        <v>290</v>
      </c>
      <c r="B299" s="789" t="s">
        <v>652</v>
      </c>
      <c r="C299" s="813" t="s">
        <v>410</v>
      </c>
      <c r="D299" s="795"/>
      <c r="E299" s="786"/>
      <c r="F299" s="792"/>
      <c r="G299" s="303"/>
      <c r="H299" s="318"/>
      <c r="J299" s="803"/>
      <c r="K299" s="804"/>
      <c r="M299" s="758"/>
      <c r="N299" s="321"/>
      <c r="O299" s="845">
        <f>IF(O293=0,,(Q298/100*qh/3.6+R298/100*qw))</f>
        <v>0</v>
      </c>
      <c r="P299" s="756"/>
      <c r="Q299" s="756"/>
      <c r="R299" s="756"/>
      <c r="S299" s="759"/>
      <c r="T299" s="756"/>
      <c r="U299" s="321"/>
      <c r="V299" s="845">
        <f>IF(V293=0,,(X298/100*qh/3.6+Y298/100*qw))</f>
        <v>0</v>
      </c>
      <c r="W299" s="756"/>
      <c r="X299" s="756"/>
      <c r="Y299" s="756"/>
      <c r="Z299" s="759"/>
      <c r="AA299" s="758"/>
      <c r="AB299" s="321"/>
      <c r="AC299" s="845">
        <f>IF(AC293=0,,(AE298/100*qh/3.6+AF298/100*qw))</f>
        <v>0</v>
      </c>
      <c r="AD299" s="756"/>
      <c r="AE299" s="756"/>
      <c r="AF299" s="756"/>
      <c r="AG299" s="759"/>
      <c r="AH299" s="758"/>
      <c r="AI299" s="321"/>
      <c r="AJ299" s="845">
        <f>IF(AJ293=0,,(AL298/100*qh/3.6+AM298/100*qw))</f>
        <v>0</v>
      </c>
      <c r="AK299" s="756"/>
      <c r="AL299" s="756"/>
      <c r="AM299" s="756"/>
    </row>
    <row r="300" spans="1:39">
      <c r="A300" s="757">
        <v>291</v>
      </c>
      <c r="B300" s="824"/>
      <c r="C300" s="836"/>
      <c r="D300" s="806"/>
      <c r="E300" s="806"/>
      <c r="F300" s="774"/>
      <c r="G300" s="319"/>
      <c r="H300" s="320"/>
      <c r="J300" s="807"/>
      <c r="K300" s="808"/>
      <c r="M300" s="756"/>
      <c r="N300" s="325"/>
      <c r="O300" s="858"/>
      <c r="P300" s="756"/>
      <c r="Q300" s="315">
        <f>Produzione!$K$18</f>
        <v>0</v>
      </c>
      <c r="R300" s="315">
        <f>Produzione!$L$18</f>
        <v>0</v>
      </c>
      <c r="S300" s="759"/>
      <c r="T300" s="756"/>
      <c r="U300" s="325"/>
      <c r="V300" s="325"/>
      <c r="W300" s="756"/>
      <c r="X300" s="315">
        <f>Produzione!$K$32</f>
        <v>0</v>
      </c>
      <c r="Y300" s="315">
        <f>Produzione!$L$32</f>
        <v>0</v>
      </c>
      <c r="Z300" s="759"/>
      <c r="AA300" s="756"/>
      <c r="AB300" s="325"/>
      <c r="AC300" s="325"/>
      <c r="AD300" s="756"/>
      <c r="AE300" s="315">
        <f>Produzione!$K$46</f>
        <v>0</v>
      </c>
      <c r="AF300" s="315">
        <f>Produzione!$L$46</f>
        <v>0</v>
      </c>
      <c r="AG300" s="759"/>
      <c r="AH300" s="756"/>
      <c r="AI300" s="325"/>
      <c r="AJ300" s="325"/>
      <c r="AK300" s="756"/>
      <c r="AL300" s="315">
        <f>Produzione!$K$60</f>
        <v>0</v>
      </c>
      <c r="AM300" s="315">
        <f>Produzione!$L$60</f>
        <v>0</v>
      </c>
    </row>
    <row r="301" spans="1:39">
      <c r="A301" s="757">
        <v>292</v>
      </c>
      <c r="B301" s="759"/>
      <c r="C301" s="833"/>
      <c r="D301" s="759"/>
      <c r="E301" s="759"/>
      <c r="F301" s="817"/>
      <c r="G301" s="759"/>
      <c r="H301" s="759"/>
      <c r="I301" s="759"/>
      <c r="J301" s="759"/>
      <c r="Q301" s="761" t="str">
        <f>IF(AND(Q300&lt;&gt;0,Q299=0),"",IF(Q300&gt;Q299,"tasso troppo alto",""))</f>
        <v/>
      </c>
      <c r="S301" s="759"/>
      <c r="X301" s="761" t="str">
        <f>IF(AND(X300&lt;&gt;0,X299=0),"",IF(X300&gt;X299,"tasso troppo alto",""))</f>
        <v/>
      </c>
      <c r="Z301" s="759"/>
      <c r="AE301" s="761" t="str">
        <f>IF(AND(AE300&lt;&gt;0,AE299=0),"",IF(AE300&gt;AE299,"tasso troppo alto",""))</f>
        <v/>
      </c>
      <c r="AG301" s="759"/>
      <c r="AL301" s="761" t="str">
        <f>IF(AND(AL300&lt;&gt;0,AL299=0),"",IF(AL300&gt;AL299,"tasso troppo alto",""))</f>
        <v/>
      </c>
    </row>
    <row r="302" spans="1:39">
      <c r="A302" s="757">
        <v>293</v>
      </c>
      <c r="B302" s="755"/>
      <c r="C302" s="834"/>
      <c r="D302" s="762"/>
      <c r="E302" s="762"/>
      <c r="G302" s="762"/>
      <c r="H302" s="818"/>
      <c r="J302" s="762" t="s">
        <v>1620</v>
      </c>
      <c r="N302" s="762"/>
      <c r="O302" s="860"/>
      <c r="P302" s="759"/>
      <c r="Q302" s="762" t="s">
        <v>1620</v>
      </c>
      <c r="R302" s="759"/>
      <c r="S302" s="759"/>
      <c r="T302" s="759"/>
      <c r="U302" s="762"/>
      <c r="V302" s="769"/>
      <c r="W302" s="759"/>
      <c r="X302" s="762" t="s">
        <v>1620</v>
      </c>
      <c r="Y302" s="759"/>
      <c r="Z302" s="759"/>
      <c r="AA302" s="759"/>
      <c r="AB302" s="762"/>
      <c r="AC302" s="769"/>
      <c r="AD302" s="759"/>
      <c r="AE302" s="762" t="s">
        <v>1620</v>
      </c>
      <c r="AF302" s="759"/>
      <c r="AG302" s="759"/>
      <c r="AH302" s="759"/>
      <c r="AI302" s="762"/>
      <c r="AJ302" s="769"/>
      <c r="AK302" s="759"/>
      <c r="AL302" s="762" t="s">
        <v>1620</v>
      </c>
      <c r="AM302" s="759"/>
    </row>
    <row r="303" spans="1:39">
      <c r="A303" s="757">
        <v>294</v>
      </c>
      <c r="B303" s="772" t="str">
        <f>INDEX(Standardwerte!$V$6:$V$43,Rechnung!$C303,1)</f>
        <v>Pompa di calore, acque di scarico, solo acqua calda</v>
      </c>
      <c r="C303" s="835">
        <v>22</v>
      </c>
      <c r="D303" s="819"/>
      <c r="E303" s="820"/>
      <c r="F303" s="821"/>
      <c r="G303" s="819"/>
      <c r="H303" s="822"/>
      <c r="J303" s="760" t="s">
        <v>525</v>
      </c>
      <c r="K303" s="756" t="s">
        <v>1622</v>
      </c>
      <c r="M303" s="756"/>
      <c r="N303" s="760"/>
      <c r="O303" s="852"/>
      <c r="P303" s="756"/>
      <c r="Q303" s="760" t="s">
        <v>525</v>
      </c>
      <c r="R303" s="756" t="s">
        <v>1622</v>
      </c>
      <c r="S303" s="759"/>
      <c r="T303" s="756"/>
      <c r="U303" s="760"/>
      <c r="V303" s="764"/>
      <c r="W303" s="756"/>
      <c r="X303" s="760" t="s">
        <v>525</v>
      </c>
      <c r="Y303" s="756" t="s">
        <v>1622</v>
      </c>
      <c r="Z303" s="759"/>
      <c r="AA303" s="756"/>
      <c r="AB303" s="760"/>
      <c r="AC303" s="764"/>
      <c r="AD303" s="756"/>
      <c r="AE303" s="760" t="s">
        <v>525</v>
      </c>
      <c r="AF303" s="756" t="s">
        <v>1622</v>
      </c>
      <c r="AG303" s="759"/>
      <c r="AH303" s="756"/>
      <c r="AI303" s="760"/>
      <c r="AJ303" s="764"/>
      <c r="AK303" s="756"/>
      <c r="AL303" s="760" t="s">
        <v>525</v>
      </c>
      <c r="AM303" s="756" t="s">
        <v>1622</v>
      </c>
    </row>
    <row r="304" spans="1:39">
      <c r="A304" s="757">
        <v>295</v>
      </c>
      <c r="B304" s="778" t="s">
        <v>526</v>
      </c>
      <c r="C304" s="830"/>
      <c r="D304" s="779"/>
      <c r="E304" s="312"/>
      <c r="F304" s="313">
        <f>INDEX($M$10:$AM$162,$A$10+(_typ1-1)*14,1)</f>
        <v>0</v>
      </c>
      <c r="G304" s="780"/>
      <c r="H304" s="781"/>
      <c r="J304" s="782">
        <f>INDEX(Standardwerte!$Y$6:$Z$43,$C303,2)</f>
        <v>0</v>
      </c>
      <c r="K304" s="783">
        <f>INDEX(Standardwerte!$Y$6:$Z$43,$C303,1)</f>
        <v>1</v>
      </c>
      <c r="M304" s="315">
        <f>Produzione!$G$8</f>
        <v>0</v>
      </c>
      <c r="N304" s="764"/>
      <c r="O304" s="852"/>
      <c r="P304" s="756"/>
      <c r="Q304" s="756"/>
      <c r="R304" s="756"/>
      <c r="S304" s="759"/>
      <c r="T304" s="315">
        <f>Produzione!$G$22</f>
        <v>0</v>
      </c>
      <c r="U304" s="764"/>
      <c r="V304" s="764"/>
      <c r="W304" s="756"/>
      <c r="X304" s="756"/>
      <c r="Y304" s="756"/>
      <c r="Z304" s="759"/>
      <c r="AA304" s="315">
        <f>Produzione!$G$36</f>
        <v>0</v>
      </c>
      <c r="AB304" s="764"/>
      <c r="AC304" s="764"/>
      <c r="AD304" s="756"/>
      <c r="AE304" s="756"/>
      <c r="AF304" s="756"/>
      <c r="AG304" s="759"/>
      <c r="AH304" s="315">
        <f>Produzione!$G$50</f>
        <v>0</v>
      </c>
      <c r="AI304" s="764"/>
      <c r="AJ304" s="764"/>
      <c r="AK304" s="756"/>
      <c r="AL304" s="756"/>
      <c r="AM304" s="756"/>
    </row>
    <row r="305" spans="1:39">
      <c r="A305" s="757">
        <v>296</v>
      </c>
      <c r="B305" s="784" t="s">
        <v>697</v>
      </c>
      <c r="C305" s="794" t="s">
        <v>776</v>
      </c>
      <c r="E305" s="786"/>
      <c r="F305" s="809">
        <f>INDEX(Standardwerte!$W$6:$W$43,$C303,1)</f>
        <v>0</v>
      </c>
      <c r="G305" s="787"/>
      <c r="H305" s="788"/>
      <c r="J305" s="782"/>
      <c r="K305" s="783"/>
      <c r="M305" s="315">
        <f>Produzione!$G$10</f>
        <v>0</v>
      </c>
      <c r="N305" s="764"/>
      <c r="O305" s="864">
        <f>F305</f>
        <v>0</v>
      </c>
      <c r="P305" s="756"/>
      <c r="Q305" s="756"/>
      <c r="R305" s="756"/>
      <c r="S305" s="759"/>
      <c r="T305" s="315">
        <f>Produzione!$G$24</f>
        <v>0</v>
      </c>
      <c r="U305" s="764"/>
      <c r="V305" s="825">
        <f>F305</f>
        <v>0</v>
      </c>
      <c r="W305" s="756"/>
      <c r="X305" s="756"/>
      <c r="Y305" s="756"/>
      <c r="Z305" s="759"/>
      <c r="AA305" s="315">
        <f>Produzione!$G$38</f>
        <v>0</v>
      </c>
      <c r="AB305" s="764"/>
      <c r="AC305" s="825">
        <f>F305</f>
        <v>0</v>
      </c>
      <c r="AD305" s="756"/>
      <c r="AE305" s="756"/>
      <c r="AF305" s="756"/>
      <c r="AG305" s="759"/>
      <c r="AH305" s="315">
        <f>Produzione!$G$52</f>
        <v>0</v>
      </c>
      <c r="AI305" s="764"/>
      <c r="AJ305" s="825">
        <f>F305</f>
        <v>0</v>
      </c>
      <c r="AK305" s="756"/>
      <c r="AL305" s="756"/>
      <c r="AM305" s="756"/>
    </row>
    <row r="306" spans="1:39">
      <c r="A306" s="757">
        <v>297</v>
      </c>
      <c r="B306" s="789" t="s">
        <v>698</v>
      </c>
      <c r="C306" s="794" t="s">
        <v>776</v>
      </c>
      <c r="D306" s="786"/>
      <c r="E306" s="786"/>
      <c r="F306" s="1344"/>
      <c r="G306" s="792"/>
      <c r="H306" s="793"/>
      <c r="J306" s="782"/>
      <c r="K306" s="783"/>
      <c r="L306" s="770">
        <v>2</v>
      </c>
      <c r="M306" s="756"/>
      <c r="N306" s="766"/>
      <c r="O306" s="854"/>
      <c r="P306" s="756"/>
      <c r="Q306" s="756"/>
      <c r="R306" s="756"/>
      <c r="S306" s="759"/>
      <c r="T306" s="756"/>
      <c r="U306" s="766"/>
      <c r="V306" s="767"/>
      <c r="W306" s="756"/>
      <c r="X306" s="756"/>
      <c r="Y306" s="756"/>
      <c r="Z306" s="759"/>
      <c r="AA306" s="756"/>
      <c r="AB306" s="766"/>
      <c r="AC306" s="767"/>
      <c r="AD306" s="756"/>
      <c r="AE306" s="756"/>
      <c r="AF306" s="756"/>
      <c r="AG306" s="759"/>
      <c r="AH306" s="756"/>
      <c r="AI306" s="766"/>
      <c r="AJ306" s="767"/>
      <c r="AK306" s="756"/>
      <c r="AL306" s="756"/>
      <c r="AM306" s="756"/>
    </row>
    <row r="307" spans="1:39">
      <c r="A307" s="757">
        <v>298</v>
      </c>
      <c r="B307" s="789" t="s">
        <v>699</v>
      </c>
      <c r="C307" s="794" t="s">
        <v>776</v>
      </c>
      <c r="D307" s="786"/>
      <c r="E307" s="786"/>
      <c r="F307" s="791"/>
      <c r="G307" s="303"/>
      <c r="H307" s="316"/>
      <c r="J307" s="782"/>
      <c r="K307" s="783"/>
      <c r="M307" s="756"/>
      <c r="N307" s="321"/>
      <c r="O307" s="855" t="str">
        <f>IF(M305&lt;&gt;0,M305,IF(Produzione!$E$10&lt;&gt;"",Produzione!$E$10,Produzione!$G$9))</f>
        <v/>
      </c>
      <c r="P307" s="756"/>
      <c r="Q307" s="756"/>
      <c r="R307" s="756"/>
      <c r="S307" s="759"/>
      <c r="T307" s="756"/>
      <c r="U307" s="321"/>
      <c r="V307" s="322" t="str">
        <f>IF(T305&lt;&gt;0,T305,IF(Produzione!$E$24&lt;&gt;"",Produzione!$E$24,Produzione!$G$23))</f>
        <v/>
      </c>
      <c r="W307" s="756"/>
      <c r="X307" s="756"/>
      <c r="Y307" s="756"/>
      <c r="Z307" s="759"/>
      <c r="AA307" s="756"/>
      <c r="AB307" s="321"/>
      <c r="AC307" s="322" t="str">
        <f>IF(AA305&lt;&gt;0,AA305,IF(Produzione!$E$38&lt;&gt;"",Produzione!$E$38,Produzione!$G$37))</f>
        <v/>
      </c>
      <c r="AD307" s="756"/>
      <c r="AE307" s="756"/>
      <c r="AF307" s="756"/>
      <c r="AG307" s="759"/>
      <c r="AH307" s="756"/>
      <c r="AI307" s="321"/>
      <c r="AJ307" s="322" t="str">
        <f>IF(AH305&lt;&gt;0,AH305,IF(Produzione!$E$52&lt;&gt;"",Produzione!$E$52,Produzione!$G$51))</f>
        <v/>
      </c>
      <c r="AK307" s="756"/>
      <c r="AL307" s="756"/>
      <c r="AM307" s="756"/>
    </row>
    <row r="308" spans="1:39">
      <c r="A308" s="757">
        <v>299</v>
      </c>
      <c r="B308" s="789" t="s">
        <v>51</v>
      </c>
      <c r="C308" s="790" t="s">
        <v>761</v>
      </c>
      <c r="D308" s="787"/>
      <c r="E308" s="795"/>
      <c r="F308" s="1344"/>
      <c r="G308" s="796"/>
      <c r="H308" s="797"/>
      <c r="J308" s="782"/>
      <c r="K308" s="783"/>
      <c r="L308" s="770">
        <v>1</v>
      </c>
      <c r="M308" s="315">
        <f>Produzione!$G$12</f>
        <v>0</v>
      </c>
      <c r="N308" s="758"/>
      <c r="O308" s="854"/>
      <c r="P308" s="756"/>
      <c r="Q308" s="756"/>
      <c r="R308" s="756"/>
      <c r="S308" s="759"/>
      <c r="T308" s="315">
        <f>Produzione!$G$26</f>
        <v>0</v>
      </c>
      <c r="U308" s="758"/>
      <c r="V308" s="758"/>
      <c r="W308" s="756"/>
      <c r="X308" s="756"/>
      <c r="Y308" s="756"/>
      <c r="Z308" s="759"/>
      <c r="AA308" s="315">
        <f>Produzione!$G$40</f>
        <v>0</v>
      </c>
      <c r="AB308" s="758"/>
      <c r="AC308" s="758"/>
      <c r="AD308" s="756"/>
      <c r="AE308" s="756"/>
      <c r="AF308" s="756"/>
      <c r="AG308" s="759"/>
      <c r="AH308" s="315">
        <f>Produzione!$G$54</f>
        <v>0</v>
      </c>
      <c r="AI308" s="758"/>
      <c r="AJ308" s="758"/>
      <c r="AK308" s="756"/>
      <c r="AL308" s="756"/>
      <c r="AM308" s="756"/>
    </row>
    <row r="309" spans="1:39">
      <c r="A309" s="757">
        <v>300</v>
      </c>
      <c r="B309" s="789" t="str">
        <f>IF(J304=1,"fabbisogno di potenza termica dell'edificio","")</f>
        <v/>
      </c>
      <c r="C309" s="790" t="str">
        <f>IF(J304=1,"kW","")</f>
        <v/>
      </c>
      <c r="D309" s="796"/>
      <c r="E309" s="795"/>
      <c r="F309" s="1344"/>
      <c r="G309" s="787"/>
      <c r="H309" s="798"/>
      <c r="J309" s="782"/>
      <c r="K309" s="783"/>
      <c r="M309" s="315">
        <f>Produzione!$G$13</f>
        <v>0</v>
      </c>
      <c r="N309" s="764"/>
      <c r="O309" s="852"/>
      <c r="P309" s="756"/>
      <c r="Q309" s="756"/>
      <c r="R309" s="756"/>
      <c r="S309" s="759"/>
      <c r="T309" s="315">
        <f>Produzione!$G$27</f>
        <v>0</v>
      </c>
      <c r="U309" s="764"/>
      <c r="V309" s="768"/>
      <c r="W309" s="756"/>
      <c r="X309" s="756"/>
      <c r="Y309" s="756"/>
      <c r="Z309" s="759"/>
      <c r="AA309" s="315">
        <f>Produzione!$G$41</f>
        <v>0</v>
      </c>
      <c r="AB309" s="764"/>
      <c r="AC309" s="768"/>
      <c r="AD309" s="756"/>
      <c r="AE309" s="756"/>
      <c r="AF309" s="756"/>
      <c r="AG309" s="759"/>
      <c r="AH309" s="315">
        <f>Produzione!$G$55</f>
        <v>0</v>
      </c>
      <c r="AI309" s="764"/>
      <c r="AJ309" s="768"/>
      <c r="AK309" s="756"/>
      <c r="AL309" s="756"/>
      <c r="AM309" s="756"/>
    </row>
    <row r="310" spans="1:39">
      <c r="A310" s="757">
        <v>301</v>
      </c>
      <c r="B310" s="799" t="str">
        <f>IF(J304=1,"Temperatura di mandata riscaldamento","")</f>
        <v/>
      </c>
      <c r="C310" s="831" t="str">
        <f>IF(J304=1,"°C","")</f>
        <v/>
      </c>
      <c r="D310" s="786"/>
      <c r="E310" s="786"/>
      <c r="F310" s="1344"/>
      <c r="G310" s="787"/>
      <c r="H310" s="800"/>
      <c r="J310" s="782"/>
      <c r="K310" s="783"/>
      <c r="M310" s="315">
        <f>Produzione!$G$14</f>
        <v>0</v>
      </c>
      <c r="N310" s="764"/>
      <c r="O310" s="852"/>
      <c r="P310" s="756"/>
      <c r="Q310" s="756"/>
      <c r="R310" s="756"/>
      <c r="S310" s="759"/>
      <c r="T310" s="315">
        <f>Produzione!$G$28</f>
        <v>0</v>
      </c>
      <c r="U310" s="764"/>
      <c r="V310" s="764"/>
      <c r="W310" s="756"/>
      <c r="X310" s="756"/>
      <c r="Y310" s="756"/>
      <c r="Z310" s="759"/>
      <c r="AA310" s="315">
        <f>Produzione!$G$42</f>
        <v>0</v>
      </c>
      <c r="AB310" s="764"/>
      <c r="AC310" s="764"/>
      <c r="AD310" s="756"/>
      <c r="AE310" s="756"/>
      <c r="AF310" s="756"/>
      <c r="AG310" s="759"/>
      <c r="AH310" s="315">
        <f>Produzione!$G$56</f>
        <v>0</v>
      </c>
      <c r="AI310" s="764"/>
      <c r="AJ310" s="764"/>
      <c r="AK310" s="756"/>
      <c r="AL310" s="756"/>
      <c r="AM310" s="756"/>
    </row>
    <row r="311" spans="1:39">
      <c r="A311" s="757">
        <v>302</v>
      </c>
      <c r="B311" s="799" t="str">
        <f>IF(AND(Warmwasser,K304=1),"Temperatura acqua calda sanitaria","")</f>
        <v/>
      </c>
      <c r="C311" s="831" t="str">
        <f>IF(AND(Warmwasser,K304=1),"°C","")</f>
        <v/>
      </c>
      <c r="D311" s="786"/>
      <c r="E311" s="786"/>
      <c r="F311" s="1344"/>
      <c r="G311" s="796"/>
      <c r="H311" s="788"/>
      <c r="J311" s="782"/>
      <c r="K311" s="783"/>
      <c r="L311" s="770">
        <v>2</v>
      </c>
      <c r="M311" s="315">
        <f>Produzione!$G$15</f>
        <v>0</v>
      </c>
      <c r="N311" s="758"/>
      <c r="O311" s="853"/>
      <c r="P311" s="756"/>
      <c r="R311" s="756" t="str">
        <f>IF(AND($K304=0,R314&lt;&gt;0),"scelto riscald.",IF(AND($J304=0,Q300&gt;0),"scelta acqua calda",""))</f>
        <v/>
      </c>
      <c r="S311" s="759"/>
      <c r="T311" s="315">
        <f>Produzione!$G$29</f>
        <v>0</v>
      </c>
      <c r="U311" s="758"/>
      <c r="V311" s="765"/>
      <c r="W311" s="756"/>
      <c r="Y311" s="756" t="str">
        <f>IF(AND($K304=0,Y314&lt;&gt;0),"Riscald. ausgewählt",IF(AND($J304=0,X300&gt;0),"Acqua calda ausgewählt",""))</f>
        <v/>
      </c>
      <c r="Z311" s="759"/>
      <c r="AA311" s="315">
        <f>Produzione!$G$43</f>
        <v>0</v>
      </c>
      <c r="AB311" s="758"/>
      <c r="AC311" s="765"/>
      <c r="AD311" s="756"/>
      <c r="AF311" s="756" t="str">
        <f>IF(AND($K304=0,AF314&lt;&gt;0),"Riscald. ausgewählt",IF(AND($J304=0,AE300&gt;0),"Acqua calda ausgewählt",""))</f>
        <v/>
      </c>
      <c r="AG311" s="759"/>
      <c r="AH311" s="315">
        <f>Produzione!$G$57</f>
        <v>0</v>
      </c>
      <c r="AI311" s="758"/>
      <c r="AJ311" s="765"/>
      <c r="AK311" s="756"/>
      <c r="AM311" s="756" t="str">
        <f>IF(AND($K304=0,AM314&lt;&gt;0),"Riscald. ausgewählt",IF(AND($J304=0,AL300&gt;0),"Acqua calda ausgewählt",""))</f>
        <v/>
      </c>
    </row>
    <row r="312" spans="1:39">
      <c r="A312" s="757">
        <v>303</v>
      </c>
      <c r="B312" s="799" t="s">
        <v>1374</v>
      </c>
      <c r="C312" s="813" t="s">
        <v>410</v>
      </c>
      <c r="D312" s="795"/>
      <c r="E312" s="795"/>
      <c r="F312" s="791"/>
      <c r="G312" s="303"/>
      <c r="H312" s="317"/>
      <c r="J312" s="801"/>
      <c r="K312" s="802"/>
      <c r="M312" s="756"/>
      <c r="N312" s="321"/>
      <c r="O312" s="849">
        <f>IF(O307="",,R312/100*qw/O307+Q312/100*qh/3.6/O307)</f>
        <v>0</v>
      </c>
      <c r="P312" s="756"/>
      <c r="Q312" s="756">
        <f>IF(Q313&lt;&gt;0,Q313,Q314)*J304</f>
        <v>0</v>
      </c>
      <c r="R312" s="756">
        <f>IF(AND(R314&lt;&gt;0,R313=0),R314,IF(R314&lt;&gt;0,MIN(R314,R313),R313))*K304</f>
        <v>0</v>
      </c>
      <c r="S312" s="759"/>
      <c r="T312" s="756"/>
      <c r="U312" s="321"/>
      <c r="V312" s="847">
        <f>IF(V307="",,Y312/100*qw/V307+X312/100*qh/3.6/V307)</f>
        <v>0</v>
      </c>
      <c r="W312" s="756"/>
      <c r="X312" s="756">
        <f>IF(X313&lt;&gt;0,X313,X314)*J304</f>
        <v>0</v>
      </c>
      <c r="Y312" s="756">
        <f>IF(AND(Y314&lt;&gt;0,Y313=0),Y314,IF(Y314&lt;&gt;0,MIN(Y314,Y313),Y313))*K304</f>
        <v>0</v>
      </c>
      <c r="Z312" s="759"/>
      <c r="AA312" s="756"/>
      <c r="AB312" s="321"/>
      <c r="AC312" s="847">
        <f>IF(AC307="",,AF312/100*qw/AC307+AE312/100*qh/3.6/AC307)</f>
        <v>0</v>
      </c>
      <c r="AD312" s="756"/>
      <c r="AE312" s="756">
        <f>IF(AE313&lt;&gt;0,AE313,AE314)*J304</f>
        <v>0</v>
      </c>
      <c r="AF312" s="756">
        <f>IF(AND(AF314&lt;&gt;0,AF313=0),AF314,IF(AF314&lt;&gt;0,MIN(AF314,AF313),AF313))*K304</f>
        <v>0</v>
      </c>
      <c r="AG312" s="759"/>
      <c r="AH312" s="756"/>
      <c r="AI312" s="321"/>
      <c r="AJ312" s="847">
        <f>IF(AJ307="",,AM312/100*qw/AJ307+AL312/100*qh/3.6/AJ307)</f>
        <v>0</v>
      </c>
      <c r="AK312" s="756"/>
      <c r="AL312" s="756">
        <f>IF(AL313&lt;&gt;0,AL313,AL314)*J304</f>
        <v>0</v>
      </c>
      <c r="AM312" s="756">
        <f>IF(AND(AM314&lt;&gt;0,AM313=0),AM314,IF(AM314&lt;&gt;0,MIN(AM314,AM313),AM313))*K304</f>
        <v>0</v>
      </c>
    </row>
    <row r="313" spans="1:39">
      <c r="A313" s="757">
        <v>304</v>
      </c>
      <c r="B313" s="789" t="s">
        <v>652</v>
      </c>
      <c r="C313" s="813" t="s">
        <v>410</v>
      </c>
      <c r="D313" s="795"/>
      <c r="E313" s="786"/>
      <c r="F313" s="792"/>
      <c r="G313" s="303"/>
      <c r="H313" s="318"/>
      <c r="J313" s="803"/>
      <c r="K313" s="804"/>
      <c r="M313" s="758"/>
      <c r="N313" s="321"/>
      <c r="O313" s="845">
        <f>IF(O305=0,,(Q312/100*qh/3.6+R312/100*qw))</f>
        <v>0</v>
      </c>
      <c r="P313" s="756"/>
      <c r="Q313" s="756"/>
      <c r="R313" s="756"/>
      <c r="S313" s="759"/>
      <c r="T313" s="756"/>
      <c r="U313" s="321"/>
      <c r="V313" s="845">
        <f>IF(V305=0,,(X312/100*qh/3.6+Y312/100*qw))</f>
        <v>0</v>
      </c>
      <c r="W313" s="756"/>
      <c r="X313" s="756"/>
      <c r="Y313" s="756"/>
      <c r="Z313" s="759"/>
      <c r="AA313" s="758"/>
      <c r="AB313" s="321"/>
      <c r="AC313" s="845">
        <f>IF(AC305=0,,(AE312/100*qh/3.6+AF312/100*qw))</f>
        <v>0</v>
      </c>
      <c r="AD313" s="756"/>
      <c r="AE313" s="756"/>
      <c r="AF313" s="756"/>
      <c r="AG313" s="759"/>
      <c r="AH313" s="758"/>
      <c r="AI313" s="321"/>
      <c r="AJ313" s="845">
        <f>IF(AJ305=0,,(AL312/100*qh/3.6+AM312/100*qw))</f>
        <v>0</v>
      </c>
      <c r="AK313" s="756"/>
      <c r="AL313" s="756"/>
      <c r="AM313" s="756"/>
    </row>
    <row r="314" spans="1:39">
      <c r="A314" s="757">
        <v>305</v>
      </c>
      <c r="B314" s="824"/>
      <c r="C314" s="836"/>
      <c r="D314" s="806"/>
      <c r="E314" s="806"/>
      <c r="F314" s="774"/>
      <c r="G314" s="319"/>
      <c r="H314" s="320"/>
      <c r="J314" s="807"/>
      <c r="K314" s="808"/>
      <c r="M314" s="756"/>
      <c r="N314" s="325"/>
      <c r="O314" s="858"/>
      <c r="P314" s="756"/>
      <c r="Q314" s="315">
        <f>Produzione!$K$18</f>
        <v>0</v>
      </c>
      <c r="R314" s="315">
        <f>Produzione!$L$18</f>
        <v>0</v>
      </c>
      <c r="S314" s="759"/>
      <c r="T314" s="756"/>
      <c r="U314" s="325"/>
      <c r="V314" s="325"/>
      <c r="W314" s="756"/>
      <c r="X314" s="315">
        <f>Produzione!$K$32</f>
        <v>0</v>
      </c>
      <c r="Y314" s="315">
        <f>Produzione!$L$32</f>
        <v>0</v>
      </c>
      <c r="Z314" s="759"/>
      <c r="AA314" s="756"/>
      <c r="AB314" s="325"/>
      <c r="AC314" s="325"/>
      <c r="AD314" s="756"/>
      <c r="AE314" s="315">
        <f>Produzione!$K$46</f>
        <v>0</v>
      </c>
      <c r="AF314" s="315">
        <f>Produzione!$L$46</f>
        <v>0</v>
      </c>
      <c r="AG314" s="759"/>
      <c r="AH314" s="756"/>
      <c r="AI314" s="325"/>
      <c r="AJ314" s="325"/>
      <c r="AK314" s="756"/>
      <c r="AL314" s="315">
        <f>Produzione!$K$60</f>
        <v>0</v>
      </c>
      <c r="AM314" s="315">
        <f>Produzione!$L$60</f>
        <v>0</v>
      </c>
    </row>
    <row r="315" spans="1:39">
      <c r="A315" s="757">
        <v>306</v>
      </c>
      <c r="B315" s="759"/>
      <c r="C315" s="833"/>
      <c r="D315" s="759"/>
      <c r="E315" s="759"/>
      <c r="F315" s="817"/>
      <c r="G315" s="759"/>
      <c r="H315" s="759"/>
      <c r="I315" s="759"/>
      <c r="J315" s="759"/>
      <c r="Q315" s="761" t="str">
        <f>IF(AND(R314&lt;&gt;0,R313=0),"",IF(R314&gt;R313,"tasso troppo alto",""))</f>
        <v/>
      </c>
      <c r="S315" s="759"/>
      <c r="X315" s="761" t="str">
        <f>IF(AND(Y314&lt;&gt;0,Y313=0),"",IF(Y314&gt;Y313,"tasso troppo alto",""))</f>
        <v/>
      </c>
      <c r="Z315" s="759"/>
      <c r="AE315" s="761" t="str">
        <f>IF(AND(AF314&lt;&gt;0,AF313=0),"",IF(AF314&gt;AF313,"tasso troppo alto",""))</f>
        <v/>
      </c>
      <c r="AG315" s="759"/>
      <c r="AL315" s="761" t="str">
        <f>IF(AND(AM314&lt;&gt;0,AM313=0),"",IF(AM314&gt;AM313,"tasso troppo alto",""))</f>
        <v/>
      </c>
    </row>
    <row r="316" spans="1:39">
      <c r="A316" s="757">
        <v>307</v>
      </c>
      <c r="B316" s="755"/>
      <c r="C316" s="834"/>
      <c r="D316" s="762"/>
      <c r="E316" s="762"/>
      <c r="G316" s="762"/>
      <c r="H316" s="818"/>
      <c r="J316" s="762" t="s">
        <v>1620</v>
      </c>
      <c r="M316" s="759"/>
      <c r="N316" s="762"/>
      <c r="O316" s="860"/>
      <c r="P316" s="759"/>
      <c r="Q316" s="762" t="s">
        <v>1620</v>
      </c>
      <c r="R316" s="759"/>
      <c r="S316" s="759"/>
      <c r="T316" s="759"/>
      <c r="U316" s="762"/>
      <c r="V316" s="769"/>
      <c r="W316" s="759"/>
      <c r="X316" s="762" t="s">
        <v>1620</v>
      </c>
      <c r="Y316" s="759"/>
      <c r="Z316" s="759"/>
      <c r="AA316" s="759"/>
      <c r="AB316" s="762"/>
      <c r="AC316" s="769"/>
      <c r="AD316" s="759"/>
      <c r="AE316" s="762" t="s">
        <v>1620</v>
      </c>
      <c r="AF316" s="759"/>
      <c r="AG316" s="759"/>
      <c r="AH316" s="759"/>
      <c r="AI316" s="762"/>
      <c r="AJ316" s="769"/>
      <c r="AK316" s="759"/>
      <c r="AL316" s="762" t="s">
        <v>1620</v>
      </c>
      <c r="AM316" s="759"/>
    </row>
    <row r="317" spans="1:39">
      <c r="A317" s="757">
        <v>308</v>
      </c>
      <c r="B317" s="772" t="str">
        <f>INDEX(Standardwerte!$V$6:$V$43,Rechnung!$C317,1)</f>
        <v>Pompa di calore ad acqua, solo riscaldamento</v>
      </c>
      <c r="C317" s="835">
        <v>23</v>
      </c>
      <c r="D317" s="819"/>
      <c r="E317" s="820"/>
      <c r="F317" s="821"/>
      <c r="G317" s="819"/>
      <c r="H317" s="822"/>
      <c r="J317" s="760" t="s">
        <v>525</v>
      </c>
      <c r="K317" s="756" t="s">
        <v>1622</v>
      </c>
      <c r="M317" s="756"/>
      <c r="N317" s="760"/>
      <c r="O317" s="852"/>
      <c r="P317" s="756"/>
      <c r="Q317" s="760" t="s">
        <v>525</v>
      </c>
      <c r="R317" s="756" t="s">
        <v>1622</v>
      </c>
      <c r="S317" s="759"/>
      <c r="T317" s="756"/>
      <c r="U317" s="760"/>
      <c r="V317" s="764"/>
      <c r="W317" s="756"/>
      <c r="X317" s="760" t="s">
        <v>525</v>
      </c>
      <c r="Y317" s="756" t="s">
        <v>1622</v>
      </c>
      <c r="Z317" s="759"/>
      <c r="AA317" s="756"/>
      <c r="AB317" s="760"/>
      <c r="AC317" s="764"/>
      <c r="AD317" s="756"/>
      <c r="AE317" s="760" t="s">
        <v>525</v>
      </c>
      <c r="AF317" s="756" t="s">
        <v>1622</v>
      </c>
      <c r="AG317" s="759"/>
      <c r="AH317" s="756"/>
      <c r="AI317" s="760"/>
      <c r="AJ317" s="764"/>
      <c r="AK317" s="756"/>
      <c r="AL317" s="760" t="s">
        <v>525</v>
      </c>
      <c r="AM317" s="756" t="s">
        <v>1622</v>
      </c>
    </row>
    <row r="318" spans="1:39">
      <c r="A318" s="757">
        <v>309</v>
      </c>
      <c r="B318" s="778" t="s">
        <v>526</v>
      </c>
      <c r="C318" s="830"/>
      <c r="D318" s="779"/>
      <c r="E318" s="312"/>
      <c r="F318" s="313">
        <f>INDEX($M$10:$AM$162,$A$10+(_typ1-1)*14,1)</f>
        <v>0</v>
      </c>
      <c r="G318" s="780"/>
      <c r="H318" s="781"/>
      <c r="J318" s="782">
        <f>INDEX(Standardwerte!$Y$6:$Z$43,$C317,2)</f>
        <v>1</v>
      </c>
      <c r="K318" s="783">
        <f>INDEX(Standardwerte!$Y$6:$Z$43,$C317,1)</f>
        <v>0</v>
      </c>
      <c r="M318" s="315">
        <f>Produzione!$G$8</f>
        <v>0</v>
      </c>
      <c r="N318" s="764"/>
      <c r="O318" s="852"/>
      <c r="P318" s="756"/>
      <c r="Q318" s="756"/>
      <c r="R318" s="756"/>
      <c r="S318" s="759"/>
      <c r="T318" s="315">
        <f>Produzione!$G$22</f>
        <v>0</v>
      </c>
      <c r="U318" s="764"/>
      <c r="V318" s="764"/>
      <c r="W318" s="756"/>
      <c r="X318" s="756"/>
      <c r="Y318" s="756"/>
      <c r="Z318" s="759"/>
      <c r="AA318" s="315">
        <f>Produzione!$G$36</f>
        <v>0</v>
      </c>
      <c r="AB318" s="764"/>
      <c r="AC318" s="764"/>
      <c r="AD318" s="756"/>
      <c r="AE318" s="756"/>
      <c r="AF318" s="756"/>
      <c r="AG318" s="759"/>
      <c r="AH318" s="315">
        <f>Produzione!$G$50</f>
        <v>0</v>
      </c>
      <c r="AI318" s="764"/>
      <c r="AJ318" s="764"/>
      <c r="AK318" s="756"/>
      <c r="AL318" s="756"/>
      <c r="AM318" s="756"/>
    </row>
    <row r="319" spans="1:39">
      <c r="A319" s="757">
        <v>310</v>
      </c>
      <c r="B319" s="784" t="s">
        <v>697</v>
      </c>
      <c r="C319" s="794" t="s">
        <v>776</v>
      </c>
      <c r="E319" s="786"/>
      <c r="F319" s="809">
        <f>INDEX(Standardwerte!$W$6:$W$43,$C317,1)</f>
        <v>2.7</v>
      </c>
      <c r="G319" s="787"/>
      <c r="H319" s="788"/>
      <c r="J319" s="782"/>
      <c r="K319" s="783"/>
      <c r="M319" s="315">
        <f>Produzione!$G$10</f>
        <v>0</v>
      </c>
      <c r="N319" s="764"/>
      <c r="O319" s="863">
        <f>$F$319</f>
        <v>2.7</v>
      </c>
      <c r="P319" s="756"/>
      <c r="Q319" s="756"/>
      <c r="R319" s="756"/>
      <c r="S319" s="759"/>
      <c r="T319" s="315">
        <f>Produzione!$G$24</f>
        <v>0</v>
      </c>
      <c r="U319" s="764"/>
      <c r="V319" s="863">
        <f>$F$319</f>
        <v>2.7</v>
      </c>
      <c r="W319" s="756"/>
      <c r="X319" s="756"/>
      <c r="Y319" s="756"/>
      <c r="Z319" s="759"/>
      <c r="AA319" s="315">
        <f>Produzione!$G$38</f>
        <v>0</v>
      </c>
      <c r="AB319" s="764"/>
      <c r="AC319" s="863">
        <f>$F$319</f>
        <v>2.7</v>
      </c>
      <c r="AD319" s="756"/>
      <c r="AE319" s="756"/>
      <c r="AF319" s="756"/>
      <c r="AG319" s="759"/>
      <c r="AH319" s="315">
        <f>Produzione!$G$52</f>
        <v>0</v>
      </c>
      <c r="AI319" s="764"/>
      <c r="AJ319" s="863">
        <f>$F$319</f>
        <v>2.7</v>
      </c>
      <c r="AK319" s="756"/>
      <c r="AL319" s="756"/>
      <c r="AM319" s="756"/>
    </row>
    <row r="320" spans="1:39">
      <c r="A320" s="757">
        <v>311</v>
      </c>
      <c r="B320" s="789" t="s">
        <v>698</v>
      </c>
      <c r="C320" s="794" t="s">
        <v>776</v>
      </c>
      <c r="D320" s="786"/>
      <c r="E320" s="786"/>
      <c r="F320" s="1344"/>
      <c r="G320" s="792"/>
      <c r="H320" s="793"/>
      <c r="J320" s="782"/>
      <c r="K320" s="783"/>
      <c r="L320" s="770">
        <v>1</v>
      </c>
      <c r="M320" s="756"/>
      <c r="N320" s="766"/>
      <c r="O320" s="854"/>
      <c r="P320" s="756"/>
      <c r="Q320" s="756"/>
      <c r="R320" s="756"/>
      <c r="S320" s="759"/>
      <c r="T320" s="756"/>
      <c r="U320" s="766"/>
      <c r="V320" s="767"/>
      <c r="W320" s="756"/>
      <c r="X320" s="756"/>
      <c r="Y320" s="756"/>
      <c r="Z320" s="759"/>
      <c r="AA320" s="756"/>
      <c r="AB320" s="766"/>
      <c r="AC320" s="767"/>
      <c r="AD320" s="756"/>
      <c r="AE320" s="756"/>
      <c r="AF320" s="756"/>
      <c r="AG320" s="759"/>
      <c r="AH320" s="756"/>
      <c r="AI320" s="766"/>
      <c r="AJ320" s="767"/>
      <c r="AK320" s="756"/>
      <c r="AL320" s="756"/>
      <c r="AM320" s="756"/>
    </row>
    <row r="321" spans="1:39">
      <c r="A321" s="757">
        <v>312</v>
      </c>
      <c r="B321" s="789" t="s">
        <v>699</v>
      </c>
      <c r="C321" s="794" t="s">
        <v>776</v>
      </c>
      <c r="D321" s="786"/>
      <c r="E321" s="786"/>
      <c r="F321" s="791"/>
      <c r="G321" s="303"/>
      <c r="H321" s="316"/>
      <c r="J321" s="782"/>
      <c r="K321" s="783"/>
      <c r="M321" s="756"/>
      <c r="N321" s="321"/>
      <c r="O321" s="855" t="str">
        <f>IF(M319&lt;&gt;0,M319,IF(Produzione!$E$10&lt;&gt;"",Produzione!$E$10,Produzione!$G$9))</f>
        <v/>
      </c>
      <c r="P321" s="756"/>
      <c r="Q321" s="756"/>
      <c r="R321" s="756"/>
      <c r="S321" s="759"/>
      <c r="T321" s="756"/>
      <c r="U321" s="321"/>
      <c r="V321" s="322" t="str">
        <f>IF(T319&lt;&gt;0,T319,IF(Produzione!$E$24&lt;&gt;"",Produzione!$E$24,Produzione!$G$23))</f>
        <v/>
      </c>
      <c r="W321" s="756"/>
      <c r="X321" s="756"/>
      <c r="Y321" s="756"/>
      <c r="Z321" s="759"/>
      <c r="AA321" s="756"/>
      <c r="AB321" s="321"/>
      <c r="AC321" s="322" t="str">
        <f>IF(AA319&lt;&gt;0,AA319,IF(Produzione!$E$38&lt;&gt;"",Produzione!$E$38,Produzione!$G$37))</f>
        <v/>
      </c>
      <c r="AD321" s="756"/>
      <c r="AE321" s="756"/>
      <c r="AF321" s="756"/>
      <c r="AG321" s="759"/>
      <c r="AH321" s="756"/>
      <c r="AI321" s="321"/>
      <c r="AJ321" s="322" t="str">
        <f>IF(AH319&lt;&gt;0,AH319,IF(Produzione!$E$52&lt;&gt;"",Produzione!$E$52,Produzione!$G$51))</f>
        <v/>
      </c>
      <c r="AK321" s="756"/>
      <c r="AL321" s="756"/>
      <c r="AM321" s="756"/>
    </row>
    <row r="322" spans="1:39">
      <c r="A322" s="757">
        <v>313</v>
      </c>
      <c r="B322" s="789" t="s">
        <v>51</v>
      </c>
      <c r="C322" s="790" t="s">
        <v>761</v>
      </c>
      <c r="D322" s="787"/>
      <c r="E322" s="795"/>
      <c r="F322" s="1344"/>
      <c r="G322" s="796"/>
      <c r="H322" s="797"/>
      <c r="J322" s="782"/>
      <c r="K322" s="783"/>
      <c r="L322" s="770">
        <v>1</v>
      </c>
      <c r="M322" s="315">
        <f>Produzione!$G$12</f>
        <v>0</v>
      </c>
      <c r="N322" s="758"/>
      <c r="O322" s="854"/>
      <c r="P322" s="756"/>
      <c r="Q322" s="756"/>
      <c r="R322" s="756"/>
      <c r="S322" s="759"/>
      <c r="T322" s="315">
        <f>Produzione!$G$26</f>
        <v>0</v>
      </c>
      <c r="U322" s="758"/>
      <c r="V322" s="758"/>
      <c r="W322" s="756"/>
      <c r="X322" s="756"/>
      <c r="Y322" s="756"/>
      <c r="Z322" s="759"/>
      <c r="AA322" s="315">
        <f>Produzione!$G$40</f>
        <v>0</v>
      </c>
      <c r="AB322" s="758"/>
      <c r="AC322" s="758"/>
      <c r="AD322" s="756"/>
      <c r="AE322" s="756"/>
      <c r="AF322" s="756"/>
      <c r="AG322" s="759"/>
      <c r="AH322" s="315">
        <f>Produzione!$G$54</f>
        <v>0</v>
      </c>
      <c r="AI322" s="758"/>
      <c r="AJ322" s="758"/>
      <c r="AK322" s="756"/>
      <c r="AL322" s="756"/>
      <c r="AM322" s="756"/>
    </row>
    <row r="323" spans="1:39">
      <c r="A323" s="757">
        <v>314</v>
      </c>
      <c r="B323" s="789" t="str">
        <f>IF(J318=1,"fabbisogno di potenza termica dell'edificio","")</f>
        <v>fabbisogno di potenza termica dell'edificio</v>
      </c>
      <c r="C323" s="790" t="str">
        <f>IF(J318=1,"kW","")</f>
        <v>kW</v>
      </c>
      <c r="D323" s="796"/>
      <c r="E323" s="795"/>
      <c r="F323" s="1344"/>
      <c r="G323" s="787"/>
      <c r="H323" s="798"/>
      <c r="J323" s="782"/>
      <c r="K323" s="783"/>
      <c r="L323" s="770">
        <v>1</v>
      </c>
      <c r="M323" s="315">
        <f>Produzione!$G$13</f>
        <v>0</v>
      </c>
      <c r="N323" s="764"/>
      <c r="O323" s="852"/>
      <c r="P323" s="756"/>
      <c r="Q323" s="756"/>
      <c r="R323" s="756"/>
      <c r="S323" s="759"/>
      <c r="T323" s="315">
        <f>Produzione!$G$27</f>
        <v>0</v>
      </c>
      <c r="U323" s="764"/>
      <c r="V323" s="768"/>
      <c r="W323" s="756"/>
      <c r="X323" s="756"/>
      <c r="Y323" s="756"/>
      <c r="Z323" s="759"/>
      <c r="AA323" s="315">
        <f>Produzione!$G$41</f>
        <v>0</v>
      </c>
      <c r="AB323" s="764"/>
      <c r="AC323" s="768"/>
      <c r="AD323" s="756"/>
      <c r="AE323" s="756"/>
      <c r="AF323" s="756"/>
      <c r="AG323" s="759"/>
      <c r="AH323" s="315">
        <f>Produzione!$G$55</f>
        <v>0</v>
      </c>
      <c r="AI323" s="764"/>
      <c r="AJ323" s="768"/>
      <c r="AK323" s="756"/>
      <c r="AL323" s="756"/>
      <c r="AM323" s="756"/>
    </row>
    <row r="324" spans="1:39">
      <c r="A324" s="757">
        <v>315</v>
      </c>
      <c r="B324" s="799" t="str">
        <f>IF(J318=1,"Temperatura di mandata riscaldamento","")</f>
        <v>Temperatura di mandata riscaldamento</v>
      </c>
      <c r="C324" s="831" t="str">
        <f>IF(J318=1,"°C","")</f>
        <v>°C</v>
      </c>
      <c r="D324" s="786"/>
      <c r="E324" s="786"/>
      <c r="F324" s="1344"/>
      <c r="G324" s="787"/>
      <c r="H324" s="800"/>
      <c r="J324" s="782"/>
      <c r="K324" s="783"/>
      <c r="L324" s="770">
        <v>2</v>
      </c>
      <c r="M324" s="315">
        <f>Produzione!$G$14</f>
        <v>0</v>
      </c>
      <c r="N324" s="764"/>
      <c r="P324" s="756"/>
      <c r="Q324" s="756"/>
      <c r="R324" s="756"/>
      <c r="S324" s="759"/>
      <c r="T324" s="315">
        <f>Produzione!$G$28</f>
        <v>0</v>
      </c>
      <c r="U324" s="764"/>
      <c r="V324" s="764"/>
      <c r="W324" s="756"/>
      <c r="X324" s="764">
        <f>IF(V324=0,0,IF(V324&lt;=35,4,IF(V324&lt;=45,3.5,0)))</f>
        <v>0</v>
      </c>
      <c r="Y324" s="756"/>
      <c r="Z324" s="759"/>
      <c r="AA324" s="315">
        <f>Produzione!$G$42</f>
        <v>0</v>
      </c>
      <c r="AB324" s="764"/>
      <c r="AD324" s="756"/>
      <c r="AE324" s="756"/>
      <c r="AF324" s="756"/>
      <c r="AG324" s="759"/>
      <c r="AH324" s="315">
        <f>Produzione!$G$56</f>
        <v>0</v>
      </c>
      <c r="AI324" s="764"/>
      <c r="AK324" s="756"/>
      <c r="AL324" s="756"/>
      <c r="AM324" s="756"/>
    </row>
    <row r="325" spans="1:39">
      <c r="A325" s="757">
        <v>316</v>
      </c>
      <c r="B325" s="799" t="str">
        <f>IF(AND(Warmwasser,K318=1),"Temperatura acqua calda sanitaria","")</f>
        <v/>
      </c>
      <c r="C325" s="831" t="str">
        <f>IF(AND(Warmwasser,K318=1),"°C","")</f>
        <v/>
      </c>
      <c r="D325" s="786"/>
      <c r="E325" s="786"/>
      <c r="F325" s="1344"/>
      <c r="G325" s="796"/>
      <c r="H325" s="788"/>
      <c r="J325" s="782"/>
      <c r="K325" s="783"/>
      <c r="M325" s="315">
        <f>Produzione!$G$15</f>
        <v>0</v>
      </c>
      <c r="N325" s="758"/>
      <c r="O325" s="853"/>
      <c r="P325" s="756"/>
      <c r="Q325" s="756"/>
      <c r="R325" s="756" t="str">
        <f>IF(AND($K318=0,R328&lt;&gt;0),"Riscald. ausgewählt",IF(AND($J318=0,Q314&gt;0),"Acqua calda ausgewählt",""))</f>
        <v/>
      </c>
      <c r="S325" s="759"/>
      <c r="T325" s="315">
        <f>Produzione!$G$29</f>
        <v>0</v>
      </c>
      <c r="U325" s="758"/>
      <c r="V325" s="765"/>
      <c r="W325" s="756"/>
      <c r="X325" s="756"/>
      <c r="Y325" s="756" t="str">
        <f>IF(AND($K318=0,Y328&lt;&gt;0),"Riscald. ausgewählt",IF(AND($J318=0,X314&gt;0),"Acqua calda ausgewählt",""))</f>
        <v/>
      </c>
      <c r="Z325" s="759"/>
      <c r="AA325" s="315">
        <f>Produzione!$G$43</f>
        <v>0</v>
      </c>
      <c r="AB325" s="758"/>
      <c r="AC325" s="765"/>
      <c r="AD325" s="756"/>
      <c r="AE325" s="756"/>
      <c r="AF325" s="756" t="str">
        <f>IF(AND($K318=0,AF328&lt;&gt;0),"Riscald. ausgewählt",IF(AND($J318=0,AE314&gt;0),"Acqua calda ausgewählt",""))</f>
        <v/>
      </c>
      <c r="AG325" s="759"/>
      <c r="AH325" s="315">
        <f>Produzione!$G$57</f>
        <v>0</v>
      </c>
      <c r="AI325" s="758"/>
      <c r="AJ325" s="765"/>
      <c r="AK325" s="756"/>
      <c r="AL325" s="756"/>
      <c r="AM325" s="756" t="str">
        <f>IF(AND($K318=0,AM328&lt;&gt;0),"Riscald. ausgewählt",IF(AND($J318=0,AL314&gt;0),"Acqua calda ausgewählt",""))</f>
        <v/>
      </c>
    </row>
    <row r="326" spans="1:39">
      <c r="A326" s="757">
        <v>317</v>
      </c>
      <c r="B326" s="799" t="s">
        <v>1374</v>
      </c>
      <c r="C326" s="813" t="s">
        <v>410</v>
      </c>
      <c r="D326" s="795"/>
      <c r="E326" s="795"/>
      <c r="F326" s="791"/>
      <c r="G326" s="303"/>
      <c r="H326" s="317"/>
      <c r="J326" s="801"/>
      <c r="K326" s="802"/>
      <c r="M326" s="756"/>
      <c r="N326" s="321"/>
      <c r="O326" s="849">
        <f>IF(O321="",,R326/100*qw/O321+Q326/100*qh/3.6/O321)</f>
        <v>0</v>
      </c>
      <c r="P326" s="756"/>
      <c r="Q326" s="756">
        <f>IF(AND(Q328&lt;&gt;0,Q327=0),Q328,IF(Q328&lt;&gt;0,MIN(Q328,Q327),Q327))*J318</f>
        <v>0</v>
      </c>
      <c r="R326" s="756">
        <f>IF(R327&lt;&gt;0,R327,R328)*K318</f>
        <v>0</v>
      </c>
      <c r="S326" s="759"/>
      <c r="T326" s="756"/>
      <c r="U326" s="321"/>
      <c r="V326" s="847">
        <f>IF(V321="",,Y326/100*qw/V321+X326/100*qh/3.6/V321)</f>
        <v>0</v>
      </c>
      <c r="W326" s="756"/>
      <c r="X326" s="756">
        <f>IF(AND(X328&lt;&gt;0,X327=0),X328,IF(X328&lt;&gt;0,MIN(X328,X327),X327))*J318</f>
        <v>0</v>
      </c>
      <c r="Y326" s="756">
        <f>IF(Y327&lt;&gt;0,Y327,Y328)*K318</f>
        <v>0</v>
      </c>
      <c r="Z326" s="759"/>
      <c r="AA326" s="756"/>
      <c r="AB326" s="321"/>
      <c r="AC326" s="847">
        <f>IF(AC321="",,AF326/100*qw/AC321+AE326/100*qh/3.6/AC321)</f>
        <v>0</v>
      </c>
      <c r="AD326" s="756"/>
      <c r="AE326" s="756">
        <f>IF(AND(AE328&lt;&gt;0,AE327=0),AE328,IF(AE328&lt;&gt;0,MIN(AE328,AE327),AE327))*J318</f>
        <v>0</v>
      </c>
      <c r="AF326" s="756">
        <f>IF(AF327&lt;&gt;0,AF327,AF328)*K318</f>
        <v>0</v>
      </c>
      <c r="AG326" s="759"/>
      <c r="AH326" s="756"/>
      <c r="AI326" s="321"/>
      <c r="AJ326" s="847">
        <f>IF(AJ321="",,AM326/100*qw/AJ321+AL326/100*qh/3.6/AJ321)</f>
        <v>0</v>
      </c>
      <c r="AK326" s="756"/>
      <c r="AL326" s="756">
        <f>IF(AND(AL328&lt;&gt;0,AL327=0),AL328,IF(AL328&lt;&gt;0,MIN(AL328,AL327),AL327))*J318</f>
        <v>0</v>
      </c>
      <c r="AM326" s="756">
        <f>IF(AM327&lt;&gt;0,AM327,AM328)*K318</f>
        <v>0</v>
      </c>
    </row>
    <row r="327" spans="1:39">
      <c r="A327" s="757">
        <v>318</v>
      </c>
      <c r="B327" s="789" t="s">
        <v>652</v>
      </c>
      <c r="C327" s="813" t="s">
        <v>410</v>
      </c>
      <c r="D327" s="795"/>
      <c r="E327" s="786"/>
      <c r="F327" s="792"/>
      <c r="G327" s="303"/>
      <c r="H327" s="318"/>
      <c r="J327" s="803"/>
      <c r="K327" s="804"/>
      <c r="M327" s="758"/>
      <c r="N327" s="321"/>
      <c r="O327" s="845">
        <f>IF(O321=0,,(Q326/100*qh/3.6+R326/100*qw))</f>
        <v>0</v>
      </c>
      <c r="P327" s="756"/>
      <c r="Q327" s="756"/>
      <c r="R327" s="756"/>
      <c r="S327" s="759"/>
      <c r="T327" s="756"/>
      <c r="U327" s="321"/>
      <c r="V327" s="845">
        <f>IF(V321=0,,(X326/100*qh/3.6+Y326/100*qw))</f>
        <v>0</v>
      </c>
      <c r="W327" s="756"/>
      <c r="X327" s="756"/>
      <c r="Y327" s="756"/>
      <c r="Z327" s="759"/>
      <c r="AA327" s="758"/>
      <c r="AB327" s="321"/>
      <c r="AC327" s="845">
        <f>IF(AC321=0,,(AE326/100*qh/3.6+AF326/100*qw))</f>
        <v>0</v>
      </c>
      <c r="AD327" s="756"/>
      <c r="AE327" s="756"/>
      <c r="AF327" s="756"/>
      <c r="AG327" s="759"/>
      <c r="AH327" s="758"/>
      <c r="AI327" s="321"/>
      <c r="AJ327" s="845">
        <f>IF(AJ321=0,,(AL326/100*qh/3.6+AM326/100*qw))</f>
        <v>0</v>
      </c>
      <c r="AK327" s="756"/>
      <c r="AL327" s="756"/>
      <c r="AM327" s="756"/>
    </row>
    <row r="328" spans="1:39">
      <c r="A328" s="757">
        <v>319</v>
      </c>
      <c r="B328" s="824"/>
      <c r="C328" s="836"/>
      <c r="D328" s="806"/>
      <c r="E328" s="806"/>
      <c r="F328" s="774"/>
      <c r="G328" s="319"/>
      <c r="H328" s="320"/>
      <c r="J328" s="807"/>
      <c r="K328" s="808"/>
      <c r="M328" s="756"/>
      <c r="N328" s="325"/>
      <c r="O328" s="858"/>
      <c r="P328" s="756"/>
      <c r="Q328" s="315">
        <f>Produzione!$K$18</f>
        <v>0</v>
      </c>
      <c r="R328" s="315">
        <f>Produzione!$L$18</f>
        <v>0</v>
      </c>
      <c r="S328" s="759"/>
      <c r="T328" s="756"/>
      <c r="U328" s="325"/>
      <c r="V328" s="325"/>
      <c r="W328" s="756"/>
      <c r="X328" s="315">
        <f>Produzione!$K$32</f>
        <v>0</v>
      </c>
      <c r="Y328" s="315">
        <f>Produzione!$L$32</f>
        <v>0</v>
      </c>
      <c r="Z328" s="759"/>
      <c r="AA328" s="756"/>
      <c r="AB328" s="325"/>
      <c r="AC328" s="325"/>
      <c r="AD328" s="756"/>
      <c r="AE328" s="315">
        <f>Produzione!$K$46</f>
        <v>0</v>
      </c>
      <c r="AF328" s="315">
        <f>Produzione!$L$46</f>
        <v>0</v>
      </c>
      <c r="AG328" s="759"/>
      <c r="AH328" s="756"/>
      <c r="AI328" s="325"/>
      <c r="AJ328" s="325"/>
      <c r="AK328" s="756"/>
      <c r="AL328" s="315">
        <f>Produzione!$K$60</f>
        <v>0</v>
      </c>
      <c r="AM328" s="315">
        <f>Produzione!$L$60</f>
        <v>0</v>
      </c>
    </row>
    <row r="329" spans="1:39">
      <c r="A329" s="757">
        <v>320</v>
      </c>
      <c r="B329" s="759"/>
      <c r="C329" s="833"/>
      <c r="D329" s="759"/>
      <c r="E329" s="759"/>
      <c r="F329" s="817"/>
      <c r="G329" s="759"/>
      <c r="H329" s="759"/>
      <c r="I329" s="759"/>
      <c r="J329" s="759"/>
      <c r="Q329" s="761" t="str">
        <f>IF(AND(Q328&lt;&gt;0,Q327=0),"",IF(Q328&gt;Q327,"tasso troppo alto",""))</f>
        <v/>
      </c>
      <c r="S329" s="759"/>
      <c r="X329" s="761" t="str">
        <f>IF(AND(X328&lt;&gt;0,X327=0),"",IF(X328&gt;X327,"tasso troppo alto",""))</f>
        <v/>
      </c>
      <c r="Z329" s="759"/>
      <c r="AE329" s="761" t="str">
        <f>IF(AND(AE328&lt;&gt;0,AE327=0),"",IF(AE328&gt;AE327,"tasso troppo alto",""))</f>
        <v/>
      </c>
      <c r="AG329" s="759"/>
      <c r="AL329" s="761" t="str">
        <f>IF(AND(AL328&lt;&gt;0,AL327=0),"",IF(AL328&gt;AL327,"tasso troppo alto",""))</f>
        <v/>
      </c>
    </row>
    <row r="330" spans="1:39">
      <c r="A330" s="757">
        <v>321</v>
      </c>
      <c r="B330" s="755"/>
      <c r="C330" s="834"/>
      <c r="D330" s="762"/>
      <c r="E330" s="762"/>
      <c r="G330" s="762"/>
      <c r="H330" s="818"/>
      <c r="J330" s="762" t="s">
        <v>1620</v>
      </c>
      <c r="N330" s="762"/>
      <c r="O330" s="860"/>
      <c r="P330" s="759"/>
      <c r="Q330" s="762" t="s">
        <v>1620</v>
      </c>
      <c r="R330" s="759"/>
      <c r="S330" s="759"/>
      <c r="T330" s="759"/>
      <c r="U330" s="762"/>
      <c r="V330" s="769"/>
      <c r="W330" s="759"/>
      <c r="X330" s="762" t="s">
        <v>1620</v>
      </c>
      <c r="Y330" s="759"/>
      <c r="Z330" s="759"/>
      <c r="AA330" s="759"/>
      <c r="AB330" s="762"/>
      <c r="AC330" s="769"/>
      <c r="AD330" s="759"/>
      <c r="AE330" s="762" t="s">
        <v>1620</v>
      </c>
      <c r="AF330" s="759"/>
      <c r="AG330" s="759"/>
      <c r="AH330" s="759"/>
      <c r="AI330" s="762"/>
      <c r="AJ330" s="769"/>
      <c r="AK330" s="759"/>
      <c r="AL330" s="762" t="s">
        <v>1620</v>
      </c>
      <c r="AM330" s="759"/>
    </row>
    <row r="331" spans="1:39">
      <c r="A331" s="757">
        <v>322</v>
      </c>
      <c r="B331" s="772" t="str">
        <f>INDEX(Standardwerte!$V$6:$V$43,Rechnung!$C331,1)</f>
        <v>Pompa di calore ad acqua, solo acqua calda</v>
      </c>
      <c r="C331" s="835">
        <v>24</v>
      </c>
      <c r="D331" s="819"/>
      <c r="E331" s="820"/>
      <c r="F331" s="821"/>
      <c r="G331" s="819"/>
      <c r="H331" s="822"/>
      <c r="J331" s="760" t="s">
        <v>525</v>
      </c>
      <c r="K331" s="756" t="s">
        <v>1622</v>
      </c>
      <c r="M331" s="756"/>
      <c r="N331" s="760"/>
      <c r="O331" s="852"/>
      <c r="P331" s="756"/>
      <c r="Q331" s="760" t="s">
        <v>525</v>
      </c>
      <c r="R331" s="756" t="s">
        <v>1622</v>
      </c>
      <c r="S331" s="759"/>
      <c r="T331" s="756"/>
      <c r="U331" s="760"/>
      <c r="V331" s="764"/>
      <c r="W331" s="756"/>
      <c r="X331" s="760" t="s">
        <v>525</v>
      </c>
      <c r="Y331" s="756" t="s">
        <v>1622</v>
      </c>
      <c r="Z331" s="759"/>
      <c r="AA331" s="756"/>
      <c r="AB331" s="760"/>
      <c r="AC331" s="764"/>
      <c r="AD331" s="756"/>
      <c r="AE331" s="760" t="s">
        <v>525</v>
      </c>
      <c r="AF331" s="756" t="s">
        <v>1622</v>
      </c>
      <c r="AG331" s="759"/>
      <c r="AH331" s="756"/>
      <c r="AI331" s="760"/>
      <c r="AJ331" s="764"/>
      <c r="AK331" s="756"/>
      <c r="AL331" s="760" t="s">
        <v>525</v>
      </c>
      <c r="AM331" s="756" t="s">
        <v>1622</v>
      </c>
    </row>
    <row r="332" spans="1:39">
      <c r="A332" s="757">
        <v>323</v>
      </c>
      <c r="B332" s="778" t="s">
        <v>526</v>
      </c>
      <c r="C332" s="830"/>
      <c r="D332" s="779"/>
      <c r="E332" s="312"/>
      <c r="F332" s="313"/>
      <c r="G332" s="780"/>
      <c r="H332" s="781"/>
      <c r="J332" s="782">
        <f>INDEX(Standardwerte!$Y$6:$Z$43,$C331,2)</f>
        <v>0</v>
      </c>
      <c r="K332" s="783">
        <f>INDEX(Standardwerte!$Y$6:$Z$43,$C331,1)</f>
        <v>1</v>
      </c>
      <c r="M332" s="315">
        <f>Produzione!$G$8</f>
        <v>0</v>
      </c>
      <c r="N332" s="764"/>
      <c r="O332" s="852"/>
      <c r="P332" s="756"/>
      <c r="Q332" s="756"/>
      <c r="R332" s="756"/>
      <c r="S332" s="759"/>
      <c r="T332" s="315">
        <f>Produzione!$G$22</f>
        <v>0</v>
      </c>
      <c r="U332" s="764"/>
      <c r="V332" s="764"/>
      <c r="W332" s="756"/>
      <c r="X332" s="756"/>
      <c r="Y332" s="756"/>
      <c r="Z332" s="759"/>
      <c r="AA332" s="315">
        <f>Produzione!$G$36</f>
        <v>0</v>
      </c>
      <c r="AB332" s="764"/>
      <c r="AC332" s="764"/>
      <c r="AD332" s="756"/>
      <c r="AE332" s="756"/>
      <c r="AF332" s="756"/>
      <c r="AG332" s="759"/>
      <c r="AH332" s="315">
        <f>Produzione!$G$50</f>
        <v>0</v>
      </c>
      <c r="AI332" s="764"/>
      <c r="AJ332" s="764"/>
      <c r="AK332" s="756"/>
      <c r="AL332" s="756"/>
      <c r="AM332" s="756"/>
    </row>
    <row r="333" spans="1:39">
      <c r="A333" s="757">
        <v>324</v>
      </c>
      <c r="B333" s="784" t="s">
        <v>697</v>
      </c>
      <c r="C333" s="794" t="s">
        <v>776</v>
      </c>
      <c r="E333" s="786"/>
      <c r="F333" s="809">
        <f>INDEX(Standardwerte!$W$6:$W$43,$C331,1)</f>
        <v>2.8</v>
      </c>
      <c r="G333" s="787"/>
      <c r="H333" s="788"/>
      <c r="J333" s="782"/>
      <c r="K333" s="783"/>
      <c r="M333" s="315">
        <f>Produzione!$G$10</f>
        <v>0</v>
      </c>
      <c r="N333" s="764"/>
      <c r="O333" s="861">
        <f>F333</f>
        <v>2.8</v>
      </c>
      <c r="P333" s="756"/>
      <c r="Q333" s="756"/>
      <c r="R333" s="756"/>
      <c r="S333" s="759"/>
      <c r="T333" s="315">
        <f>Produzione!$G$24</f>
        <v>0</v>
      </c>
      <c r="U333" s="764"/>
      <c r="V333" s="28">
        <f>F333</f>
        <v>2.8</v>
      </c>
      <c r="W333" s="756"/>
      <c r="X333" s="756"/>
      <c r="Y333" s="756"/>
      <c r="Z333" s="759"/>
      <c r="AA333" s="315">
        <f>Produzione!$G$38</f>
        <v>0</v>
      </c>
      <c r="AB333" s="764"/>
      <c r="AC333" s="28">
        <f>F333</f>
        <v>2.8</v>
      </c>
      <c r="AD333" s="756"/>
      <c r="AE333" s="756"/>
      <c r="AF333" s="756"/>
      <c r="AG333" s="759"/>
      <c r="AH333" s="315">
        <f>Produzione!$G$52</f>
        <v>0</v>
      </c>
      <c r="AI333" s="764"/>
      <c r="AJ333" s="28">
        <f>F333</f>
        <v>2.8</v>
      </c>
      <c r="AK333" s="756"/>
      <c r="AL333" s="756"/>
      <c r="AM333" s="756"/>
    </row>
    <row r="334" spans="1:39">
      <c r="A334" s="757">
        <v>325</v>
      </c>
      <c r="B334" s="789" t="s">
        <v>698</v>
      </c>
      <c r="C334" s="794" t="s">
        <v>776</v>
      </c>
      <c r="D334" s="786"/>
      <c r="E334" s="786"/>
      <c r="F334" s="1344"/>
      <c r="G334" s="792"/>
      <c r="H334" s="793"/>
      <c r="J334" s="782"/>
      <c r="K334" s="783"/>
      <c r="L334" s="770">
        <v>1</v>
      </c>
      <c r="M334" s="756"/>
      <c r="N334" s="766"/>
      <c r="O334" s="854"/>
      <c r="P334" s="756"/>
      <c r="Q334" s="756"/>
      <c r="R334" s="756"/>
      <c r="S334" s="759"/>
      <c r="T334" s="756"/>
      <c r="U334" s="766"/>
      <c r="V334" s="767"/>
      <c r="W334" s="756"/>
      <c r="X334" s="756"/>
      <c r="Y334" s="756"/>
      <c r="Z334" s="759"/>
      <c r="AA334" s="756"/>
      <c r="AB334" s="766"/>
      <c r="AC334" s="767"/>
      <c r="AD334" s="756"/>
      <c r="AE334" s="756"/>
      <c r="AF334" s="756"/>
      <c r="AG334" s="759"/>
      <c r="AH334" s="756"/>
      <c r="AI334" s="766"/>
      <c r="AJ334" s="767"/>
      <c r="AK334" s="756"/>
      <c r="AL334" s="756"/>
      <c r="AM334" s="756"/>
    </row>
    <row r="335" spans="1:39">
      <c r="A335" s="757">
        <v>326</v>
      </c>
      <c r="B335" s="789" t="s">
        <v>699</v>
      </c>
      <c r="C335" s="794" t="s">
        <v>776</v>
      </c>
      <c r="D335" s="786"/>
      <c r="E335" s="786"/>
      <c r="F335" s="791"/>
      <c r="G335" s="303"/>
      <c r="H335" s="316"/>
      <c r="J335" s="782"/>
      <c r="K335" s="783"/>
      <c r="M335" s="756"/>
      <c r="N335" s="321"/>
      <c r="O335" s="855" t="str">
        <f>IF(M333&lt;&gt;0,M333,IF(Produzione!$E$10&lt;&gt;"",Produzione!$E$10,Produzione!$G$9))</f>
        <v/>
      </c>
      <c r="P335" s="756"/>
      <c r="Q335" s="756"/>
      <c r="R335" s="756"/>
      <c r="S335" s="759"/>
      <c r="T335" s="756"/>
      <c r="U335" s="321"/>
      <c r="V335" s="322" t="str">
        <f>IF(T333&lt;&gt;0,T333,IF(Produzione!$E$24&lt;&gt;"",Produzione!$E$24,Produzione!$G$23))</f>
        <v/>
      </c>
      <c r="W335" s="756"/>
      <c r="X335" s="756"/>
      <c r="Y335" s="756"/>
      <c r="Z335" s="759"/>
      <c r="AA335" s="756"/>
      <c r="AB335" s="321"/>
      <c r="AC335" s="322" t="str">
        <f>IF(AA333&lt;&gt;0,AA333,IF(Produzione!$E$38&lt;&gt;"",Produzione!$E$38,Produzione!$G$37))</f>
        <v/>
      </c>
      <c r="AD335" s="756"/>
      <c r="AE335" s="756"/>
      <c r="AF335" s="756"/>
      <c r="AG335" s="759"/>
      <c r="AH335" s="756"/>
      <c r="AI335" s="321"/>
      <c r="AJ335" s="322" t="str">
        <f>IF(AH333&lt;&gt;0,AH333,IF(Produzione!$E$52&lt;&gt;"",Produzione!$E$52,Produzione!$G$51))</f>
        <v/>
      </c>
      <c r="AK335" s="756"/>
      <c r="AL335" s="756"/>
      <c r="AM335" s="756"/>
    </row>
    <row r="336" spans="1:39">
      <c r="A336" s="757">
        <v>327</v>
      </c>
      <c r="B336" s="789" t="s">
        <v>51</v>
      </c>
      <c r="C336" s="790" t="s">
        <v>761</v>
      </c>
      <c r="D336" s="787"/>
      <c r="E336" s="795"/>
      <c r="F336" s="1344"/>
      <c r="G336" s="796"/>
      <c r="H336" s="797"/>
      <c r="J336" s="782"/>
      <c r="K336" s="783"/>
      <c r="L336" s="770">
        <v>1</v>
      </c>
      <c r="M336" s="315">
        <f>Produzione!$G$12</f>
        <v>0</v>
      </c>
      <c r="N336" s="758"/>
      <c r="O336" s="854"/>
      <c r="P336" s="756"/>
      <c r="Q336" s="756"/>
      <c r="R336" s="756"/>
      <c r="S336" s="759"/>
      <c r="T336" s="315">
        <f>Produzione!$G$26</f>
        <v>0</v>
      </c>
      <c r="U336" s="758"/>
      <c r="V336" s="758"/>
      <c r="W336" s="756"/>
      <c r="X336" s="756"/>
      <c r="Y336" s="756"/>
      <c r="Z336" s="759"/>
      <c r="AA336" s="315">
        <f>Produzione!$G$40</f>
        <v>0</v>
      </c>
      <c r="AB336" s="758"/>
      <c r="AC336" s="758"/>
      <c r="AD336" s="756"/>
      <c r="AE336" s="756"/>
      <c r="AF336" s="756"/>
      <c r="AG336" s="759"/>
      <c r="AH336" s="315">
        <f>Produzione!$G$54</f>
        <v>0</v>
      </c>
      <c r="AI336" s="758"/>
      <c r="AJ336" s="758"/>
      <c r="AK336" s="756"/>
      <c r="AL336" s="756"/>
      <c r="AM336" s="756"/>
    </row>
    <row r="337" spans="1:39">
      <c r="A337" s="757">
        <v>328</v>
      </c>
      <c r="B337" s="789" t="str">
        <f>IF(J332=1,"fabbisogno di potenza termica dell'edificio","")</f>
        <v/>
      </c>
      <c r="C337" s="790" t="str">
        <f>IF(J332=1,"kW","")</f>
        <v/>
      </c>
      <c r="D337" s="796"/>
      <c r="E337" s="795"/>
      <c r="F337" s="1344"/>
      <c r="G337" s="787"/>
      <c r="H337" s="798"/>
      <c r="J337" s="782"/>
      <c r="K337" s="783"/>
      <c r="L337" s="770">
        <v>1</v>
      </c>
      <c r="M337" s="315">
        <f>Produzione!$G$13</f>
        <v>0</v>
      </c>
      <c r="N337" s="764"/>
      <c r="O337" s="852"/>
      <c r="P337" s="756"/>
      <c r="Q337" s="756"/>
      <c r="R337" s="756"/>
      <c r="S337" s="759"/>
      <c r="T337" s="315">
        <f>Produzione!$G$27</f>
        <v>0</v>
      </c>
      <c r="U337" s="764"/>
      <c r="V337" s="768"/>
      <c r="W337" s="756"/>
      <c r="X337" s="756"/>
      <c r="Y337" s="756"/>
      <c r="Z337" s="759"/>
      <c r="AA337" s="315">
        <f>Produzione!$G$41</f>
        <v>0</v>
      </c>
      <c r="AB337" s="764"/>
      <c r="AC337" s="768"/>
      <c r="AD337" s="756"/>
      <c r="AE337" s="756"/>
      <c r="AF337" s="756"/>
      <c r="AG337" s="759"/>
      <c r="AH337" s="315">
        <f>Produzione!$G$55</f>
        <v>0</v>
      </c>
      <c r="AI337" s="764"/>
      <c r="AJ337" s="768"/>
      <c r="AK337" s="756"/>
      <c r="AL337" s="756"/>
      <c r="AM337" s="756"/>
    </row>
    <row r="338" spans="1:39">
      <c r="A338" s="757">
        <v>329</v>
      </c>
      <c r="B338" s="799" t="str">
        <f>IF(J332=1,"Temperatura di mandata riscaldamento","")</f>
        <v/>
      </c>
      <c r="C338" s="831" t="str">
        <f>IF(J332=1,"°C","")</f>
        <v/>
      </c>
      <c r="D338" s="786"/>
      <c r="E338" s="786"/>
      <c r="F338" s="1344"/>
      <c r="G338" s="787"/>
      <c r="H338" s="800"/>
      <c r="J338" s="782"/>
      <c r="K338" s="783"/>
      <c r="M338" s="315">
        <f>Produzione!$G$14</f>
        <v>0</v>
      </c>
      <c r="N338" s="764"/>
      <c r="O338" s="852"/>
      <c r="P338" s="756"/>
      <c r="Q338" s="756"/>
      <c r="R338" s="756"/>
      <c r="S338" s="759"/>
      <c r="T338" s="315">
        <f>Produzione!$G$28</f>
        <v>0</v>
      </c>
      <c r="U338" s="764"/>
      <c r="V338" s="764"/>
      <c r="W338" s="756"/>
      <c r="X338" s="756"/>
      <c r="Y338" s="756"/>
      <c r="Z338" s="759"/>
      <c r="AA338" s="315">
        <f>Produzione!$G$42</f>
        <v>0</v>
      </c>
      <c r="AB338" s="764"/>
      <c r="AC338" s="764"/>
      <c r="AD338" s="756"/>
      <c r="AE338" s="756"/>
      <c r="AF338" s="756"/>
      <c r="AG338" s="759"/>
      <c r="AH338" s="315">
        <f>Produzione!$G$56</f>
        <v>0</v>
      </c>
      <c r="AI338" s="764"/>
      <c r="AJ338" s="764"/>
      <c r="AK338" s="756"/>
      <c r="AL338" s="756"/>
      <c r="AM338" s="756"/>
    </row>
    <row r="339" spans="1:39">
      <c r="A339" s="757">
        <v>330</v>
      </c>
      <c r="B339" s="799" t="str">
        <f>IF(AND(Warmwasser,K332=1),"Temperatura acqua calda sanitaria","")</f>
        <v/>
      </c>
      <c r="C339" s="831" t="str">
        <f>IF(AND(Warmwasser,K332=1),"°C","")</f>
        <v/>
      </c>
      <c r="D339" s="786"/>
      <c r="E339" s="786"/>
      <c r="F339" s="1344"/>
      <c r="G339" s="796"/>
      <c r="H339" s="788"/>
      <c r="J339" s="782"/>
      <c r="K339" s="783"/>
      <c r="L339" s="770">
        <v>2</v>
      </c>
      <c r="M339" s="315">
        <f>Produzione!$G$15</f>
        <v>0</v>
      </c>
      <c r="N339" s="758"/>
      <c r="O339" s="853"/>
      <c r="P339" s="756"/>
      <c r="R339" s="756" t="str">
        <f>IF(AND($K332=0,R342&lt;&gt;0),"scelto riscald.",IF(AND($J332=0,Q328&gt;0),"scelta acqua calda",""))</f>
        <v/>
      </c>
      <c r="S339" s="759"/>
      <c r="T339" s="315">
        <f>Produzione!$G$29</f>
        <v>0</v>
      </c>
      <c r="U339" s="758"/>
      <c r="V339" s="765"/>
      <c r="W339" s="756"/>
      <c r="Y339" s="756" t="str">
        <f>IF(AND($K332=0,Y342&lt;&gt;0),"Riscald. ausgewählt",IF(AND($J332=0,X328&gt;0),"Acqua calda ausgewählt",""))</f>
        <v/>
      </c>
      <c r="Z339" s="759"/>
      <c r="AA339" s="315">
        <f>Produzione!$G$43</f>
        <v>0</v>
      </c>
      <c r="AB339" s="758"/>
      <c r="AC339" s="765"/>
      <c r="AD339" s="756"/>
      <c r="AF339" s="756" t="str">
        <f>IF(AND($K332=0,AF342&lt;&gt;0),"Riscald. ausgewählt",IF(AND($J332=0,AE328&gt;0),"Acqua calda ausgewählt",""))</f>
        <v/>
      </c>
      <c r="AG339" s="759"/>
      <c r="AH339" s="315">
        <f>Produzione!$G$57</f>
        <v>0</v>
      </c>
      <c r="AI339" s="758"/>
      <c r="AJ339" s="765"/>
      <c r="AK339" s="756"/>
      <c r="AM339" s="756" t="str">
        <f>IF(AND($K332=0,AM342&lt;&gt;0),"Riscald. ausgewählt",IF(AND($J332=0,AL328&gt;0),"Acqua calda ausgewählt",""))</f>
        <v/>
      </c>
    </row>
    <row r="340" spans="1:39">
      <c r="A340" s="757">
        <v>331</v>
      </c>
      <c r="B340" s="799" t="s">
        <v>1374</v>
      </c>
      <c r="C340" s="813" t="s">
        <v>410</v>
      </c>
      <c r="D340" s="795"/>
      <c r="E340" s="795"/>
      <c r="F340" s="791"/>
      <c r="G340" s="303"/>
      <c r="H340" s="317"/>
      <c r="J340" s="801"/>
      <c r="K340" s="802"/>
      <c r="M340" s="756"/>
      <c r="N340" s="321"/>
      <c r="O340" s="849">
        <f>IF(O335="",,R340/100*qw/O335+Q340/100*qh/3.6/O335)</f>
        <v>0</v>
      </c>
      <c r="P340" s="756"/>
      <c r="Q340" s="756">
        <f>IF(Q341&lt;&gt;0,Q341,Q342)*J332</f>
        <v>0</v>
      </c>
      <c r="R340" s="756">
        <f>IF(AND(R342&lt;&gt;0,R341=0),R342,IF(R342&lt;&gt;0,MIN(R342,R341),R341))*K332</f>
        <v>0</v>
      </c>
      <c r="S340" s="759"/>
      <c r="T340" s="756"/>
      <c r="U340" s="321"/>
      <c r="V340" s="847">
        <f>IF(V335="",,Y340/100*qw/V335+X340/100*qh/3.6/V335)</f>
        <v>0</v>
      </c>
      <c r="W340" s="756"/>
      <c r="X340" s="756">
        <f>IF(X341&lt;&gt;0,X341,X342)*J332</f>
        <v>0</v>
      </c>
      <c r="Y340" s="756">
        <f>IF(AND(Y342&lt;&gt;0,Y341=0),Y342,IF(Y342&lt;&gt;0,MIN(Y342,Y341),Y341))*K332</f>
        <v>0</v>
      </c>
      <c r="Z340" s="759"/>
      <c r="AA340" s="756"/>
      <c r="AB340" s="321"/>
      <c r="AC340" s="847">
        <f>IF(AC335="",,AF340/100*qw/AC335+AE340/100*qh/3.6/AC335)</f>
        <v>0</v>
      </c>
      <c r="AD340" s="756"/>
      <c r="AE340" s="756">
        <f>IF(AE341&lt;&gt;0,AE341,AE342)*J332</f>
        <v>0</v>
      </c>
      <c r="AF340" s="756">
        <f>IF(AND(AF342&lt;&gt;0,AF341=0),AF342,IF(AF342&lt;&gt;0,MIN(AF342,AF341),AF341))*K332</f>
        <v>0</v>
      </c>
      <c r="AG340" s="759"/>
      <c r="AH340" s="756"/>
      <c r="AI340" s="321"/>
      <c r="AJ340" s="847">
        <f>IF(AJ335="",,AM340/100*qw/AJ335+AL340/100*qh/3.6/AJ335)</f>
        <v>0</v>
      </c>
      <c r="AK340" s="756"/>
      <c r="AL340" s="756">
        <f>IF(AL341&lt;&gt;0,AL341,AL342)*J332</f>
        <v>0</v>
      </c>
      <c r="AM340" s="756">
        <f>IF(AND(AM342&lt;&gt;0,AM341=0),AM342,IF(AM342&lt;&gt;0,MIN(AM342,AM341),AM341))*K332</f>
        <v>0</v>
      </c>
    </row>
    <row r="341" spans="1:39">
      <c r="A341" s="757">
        <v>332</v>
      </c>
      <c r="B341" s="789" t="s">
        <v>652</v>
      </c>
      <c r="C341" s="813" t="s">
        <v>410</v>
      </c>
      <c r="D341" s="795"/>
      <c r="E341" s="786"/>
      <c r="F341" s="792"/>
      <c r="G341" s="303"/>
      <c r="H341" s="318"/>
      <c r="J341" s="803"/>
      <c r="K341" s="804"/>
      <c r="M341" s="758"/>
      <c r="N341" s="321"/>
      <c r="O341" s="845">
        <f>IF(O333=0,,(Q340/100*qh/3.6+R340/100*qw))</f>
        <v>0</v>
      </c>
      <c r="P341" s="756"/>
      <c r="Q341" s="756"/>
      <c r="R341" s="756"/>
      <c r="S341" s="759"/>
      <c r="T341" s="756"/>
      <c r="U341" s="321"/>
      <c r="V341" s="845">
        <f>IF(V333=0,,(X340/100*qh/3.6+Y340/100*qw))</f>
        <v>0</v>
      </c>
      <c r="W341" s="756"/>
      <c r="X341" s="756"/>
      <c r="Y341" s="756"/>
      <c r="Z341" s="759"/>
      <c r="AA341" s="758"/>
      <c r="AB341" s="321"/>
      <c r="AC341" s="845">
        <f>IF(AC333=0,,(AE340/100*qh/3.6+AF340/100*qw))</f>
        <v>0</v>
      </c>
      <c r="AD341" s="756"/>
      <c r="AE341" s="756"/>
      <c r="AF341" s="756"/>
      <c r="AG341" s="759"/>
      <c r="AH341" s="758"/>
      <c r="AI341" s="321"/>
      <c r="AJ341" s="845">
        <f>IF(AJ333=0,,(AL340/100*qh/3.6+AM340/100*qw))</f>
        <v>0</v>
      </c>
      <c r="AK341" s="756"/>
      <c r="AL341" s="756"/>
      <c r="AM341" s="756"/>
    </row>
    <row r="342" spans="1:39">
      <c r="A342" s="757">
        <v>333</v>
      </c>
      <c r="B342" s="824"/>
      <c r="C342" s="836"/>
      <c r="D342" s="806"/>
      <c r="E342" s="806"/>
      <c r="F342" s="774"/>
      <c r="G342" s="319"/>
      <c r="H342" s="320"/>
      <c r="J342" s="807"/>
      <c r="K342" s="808"/>
      <c r="M342" s="756"/>
      <c r="N342" s="325"/>
      <c r="O342" s="858"/>
      <c r="P342" s="756"/>
      <c r="Q342" s="315">
        <f>Produzione!$K$18</f>
        <v>0</v>
      </c>
      <c r="R342" s="315">
        <f>Produzione!$L$18</f>
        <v>0</v>
      </c>
      <c r="S342" s="759"/>
      <c r="T342" s="756"/>
      <c r="U342" s="325"/>
      <c r="V342" s="325"/>
      <c r="W342" s="756"/>
      <c r="X342" s="315">
        <f>Produzione!$K$32</f>
        <v>0</v>
      </c>
      <c r="Y342" s="315">
        <f>Produzione!$L$32</f>
        <v>0</v>
      </c>
      <c r="Z342" s="759"/>
      <c r="AA342" s="756"/>
      <c r="AB342" s="325"/>
      <c r="AC342" s="325"/>
      <c r="AD342" s="756"/>
      <c r="AE342" s="315">
        <f>Produzione!$K$46</f>
        <v>0</v>
      </c>
      <c r="AF342" s="315">
        <f>Produzione!$L$46</f>
        <v>0</v>
      </c>
      <c r="AG342" s="759"/>
      <c r="AH342" s="756"/>
      <c r="AI342" s="325"/>
      <c r="AJ342" s="325"/>
      <c r="AK342" s="756"/>
      <c r="AL342" s="315">
        <f>Produzione!$K$60</f>
        <v>0</v>
      </c>
      <c r="AM342" s="315">
        <f>Produzione!$L$60</f>
        <v>0</v>
      </c>
    </row>
    <row r="343" spans="1:39">
      <c r="A343" s="757">
        <v>334</v>
      </c>
      <c r="B343" s="759"/>
      <c r="C343" s="833"/>
      <c r="D343" s="759"/>
      <c r="E343" s="759"/>
      <c r="F343" s="817"/>
      <c r="G343" s="759"/>
      <c r="H343" s="759"/>
      <c r="I343" s="759"/>
      <c r="J343" s="759"/>
      <c r="K343" s="759"/>
      <c r="Q343" s="761" t="str">
        <f>IF(AND(R342&lt;&gt;0,R341=0),"",IF(R342&gt;R341,"tasso troppo alto",""))</f>
        <v/>
      </c>
      <c r="S343" s="759"/>
      <c r="X343" s="761" t="str">
        <f>IF(AND(Y342&lt;&gt;0,Y341=0),"",IF(Y342&gt;Y341,"tasso troppo alto",""))</f>
        <v/>
      </c>
      <c r="Z343" s="759"/>
      <c r="AE343" s="761" t="str">
        <f>IF(AND(AF342&lt;&gt;0,AF341=0),"",IF(AF342&gt;AF341,"tasso troppo alto",""))</f>
        <v/>
      </c>
      <c r="AG343" s="759"/>
      <c r="AL343" s="761" t="str">
        <f>IF(AND(AM342&lt;&gt;0,AM341=0),"",IF(AM342&gt;AM341,"tasso troppo alto",""))</f>
        <v/>
      </c>
    </row>
    <row r="344" spans="1:39">
      <c r="A344" s="757">
        <v>335</v>
      </c>
      <c r="B344" s="755"/>
      <c r="C344" s="834"/>
      <c r="D344" s="762"/>
      <c r="E344" s="762"/>
      <c r="G344" s="762"/>
      <c r="H344" s="818"/>
      <c r="J344" s="762" t="s">
        <v>1620</v>
      </c>
      <c r="M344" s="759"/>
      <c r="N344" s="762"/>
      <c r="O344" s="860"/>
      <c r="P344" s="759"/>
      <c r="Q344" s="762" t="s">
        <v>1620</v>
      </c>
      <c r="R344" s="759"/>
      <c r="S344" s="759"/>
      <c r="T344" s="759"/>
      <c r="U344" s="762"/>
      <c r="V344" s="769"/>
      <c r="W344" s="759"/>
      <c r="X344" s="762" t="s">
        <v>1620</v>
      </c>
      <c r="Y344" s="759"/>
      <c r="Z344" s="759"/>
      <c r="AA344" s="759"/>
      <c r="AB344" s="762"/>
      <c r="AC344" s="769"/>
      <c r="AD344" s="759"/>
      <c r="AE344" s="762" t="s">
        <v>1620</v>
      </c>
      <c r="AF344" s="759"/>
      <c r="AG344" s="759"/>
      <c r="AH344" s="759"/>
      <c r="AI344" s="762"/>
      <c r="AJ344" s="769"/>
      <c r="AK344" s="759"/>
      <c r="AL344" s="762" t="s">
        <v>1620</v>
      </c>
      <c r="AM344" s="759"/>
    </row>
    <row r="345" spans="1:39">
      <c r="A345" s="757">
        <v>336</v>
      </c>
      <c r="B345" s="772" t="str">
        <f>INDEX(Standardwerte!$V$6:$V$43,Rechnung!$C345,1)</f>
        <v>Pompa di calore, acqua sotterranea, diretta, solo risc.</v>
      </c>
      <c r="C345" s="835">
        <v>25</v>
      </c>
      <c r="D345" s="819"/>
      <c r="E345" s="820"/>
      <c r="F345" s="821"/>
      <c r="G345" s="819"/>
      <c r="H345" s="822"/>
      <c r="J345" s="760" t="s">
        <v>525</v>
      </c>
      <c r="K345" s="756" t="s">
        <v>1622</v>
      </c>
      <c r="M345" s="756"/>
      <c r="N345" s="760"/>
      <c r="O345" s="852"/>
      <c r="P345" s="756"/>
      <c r="Q345" s="760" t="s">
        <v>525</v>
      </c>
      <c r="R345" s="756" t="s">
        <v>1622</v>
      </c>
      <c r="S345" s="759"/>
      <c r="T345" s="756"/>
      <c r="U345" s="760"/>
      <c r="V345" s="764"/>
      <c r="W345" s="756"/>
      <c r="X345" s="760" t="s">
        <v>525</v>
      </c>
      <c r="Y345" s="756" t="s">
        <v>1622</v>
      </c>
      <c r="Z345" s="759"/>
      <c r="AA345" s="756"/>
      <c r="AB345" s="760"/>
      <c r="AC345" s="764"/>
      <c r="AD345" s="756"/>
      <c r="AE345" s="760" t="s">
        <v>525</v>
      </c>
      <c r="AF345" s="756" t="s">
        <v>1622</v>
      </c>
      <c r="AG345" s="759"/>
      <c r="AH345" s="756"/>
      <c r="AI345" s="760"/>
      <c r="AJ345" s="764"/>
      <c r="AK345" s="756"/>
      <c r="AL345" s="760" t="s">
        <v>525</v>
      </c>
      <c r="AM345" s="756" t="s">
        <v>1622</v>
      </c>
    </row>
    <row r="346" spans="1:39">
      <c r="A346" s="757">
        <v>337</v>
      </c>
      <c r="B346" s="778" t="s">
        <v>526</v>
      </c>
      <c r="C346" s="830"/>
      <c r="D346" s="779"/>
      <c r="E346" s="312"/>
      <c r="F346" s="313">
        <f>INDEX($M$10:$AM$162,$A$10+(_typ1-1)*14,1)</f>
        <v>0</v>
      </c>
      <c r="G346" s="780"/>
      <c r="H346" s="781"/>
      <c r="J346" s="782">
        <f>INDEX(Standardwerte!$Y$6:$Z$43,$C345,2)</f>
        <v>1</v>
      </c>
      <c r="K346" s="783">
        <f>INDEX(Standardwerte!$Y$6:$Z$43,$C345,1)</f>
        <v>0</v>
      </c>
      <c r="M346" s="315">
        <f>Produzione!$G$8</f>
        <v>0</v>
      </c>
      <c r="N346" s="764"/>
      <c r="O346" s="852"/>
      <c r="P346" s="756"/>
      <c r="Q346" s="756"/>
      <c r="R346" s="756"/>
      <c r="S346" s="759"/>
      <c r="T346" s="315">
        <f>Produzione!$G$22</f>
        <v>0</v>
      </c>
      <c r="U346" s="764"/>
      <c r="V346" s="764"/>
      <c r="W346" s="756"/>
      <c r="X346" s="756"/>
      <c r="Y346" s="756"/>
      <c r="Z346" s="759"/>
      <c r="AA346" s="315">
        <f>Produzione!$G$36</f>
        <v>0</v>
      </c>
      <c r="AB346" s="764"/>
      <c r="AC346" s="764"/>
      <c r="AD346" s="756"/>
      <c r="AE346" s="756"/>
      <c r="AF346" s="756"/>
      <c r="AG346" s="759"/>
      <c r="AH346" s="315">
        <f>Produzione!$G$50</f>
        <v>0</v>
      </c>
      <c r="AI346" s="764"/>
      <c r="AJ346" s="764"/>
      <c r="AK346" s="756"/>
      <c r="AL346" s="756"/>
      <c r="AM346" s="756"/>
    </row>
    <row r="347" spans="1:39">
      <c r="A347" s="757">
        <v>338</v>
      </c>
      <c r="B347" s="784" t="s">
        <v>697</v>
      </c>
      <c r="C347" s="794" t="s">
        <v>776</v>
      </c>
      <c r="E347" s="786"/>
      <c r="F347" s="809">
        <f>INDEX(Standardwerte!$W$6:$W$43,$C345,1)</f>
        <v>3.2</v>
      </c>
      <c r="G347" s="787"/>
      <c r="H347" s="788"/>
      <c r="J347" s="782"/>
      <c r="K347" s="783"/>
      <c r="M347" s="315">
        <f>Produzione!$G$10</f>
        <v>0</v>
      </c>
      <c r="N347" s="764"/>
      <c r="O347" s="863">
        <f>$F$347</f>
        <v>3.2</v>
      </c>
      <c r="P347" s="756"/>
      <c r="Q347" s="756"/>
      <c r="R347" s="756"/>
      <c r="S347" s="759"/>
      <c r="T347" s="315">
        <f>Produzione!$G$24</f>
        <v>0</v>
      </c>
      <c r="U347" s="764"/>
      <c r="V347" s="863">
        <f>$F$347</f>
        <v>3.2</v>
      </c>
      <c r="W347" s="756"/>
      <c r="X347" s="756"/>
      <c r="Y347" s="756"/>
      <c r="Z347" s="759"/>
      <c r="AA347" s="315">
        <f>Produzione!$G$38</f>
        <v>0</v>
      </c>
      <c r="AB347" s="764"/>
      <c r="AC347" s="863">
        <f>$F$347</f>
        <v>3.2</v>
      </c>
      <c r="AD347" s="756"/>
      <c r="AE347" s="756"/>
      <c r="AF347" s="756"/>
      <c r="AG347" s="759"/>
      <c r="AH347" s="315">
        <f>Produzione!$G$52</f>
        <v>0</v>
      </c>
      <c r="AI347" s="764"/>
      <c r="AJ347" s="863">
        <f>$F$347</f>
        <v>3.2</v>
      </c>
      <c r="AK347" s="756"/>
      <c r="AL347" s="756"/>
      <c r="AM347" s="756"/>
    </row>
    <row r="348" spans="1:39">
      <c r="A348" s="757">
        <v>339</v>
      </c>
      <c r="B348" s="789" t="s">
        <v>698</v>
      </c>
      <c r="C348" s="794" t="s">
        <v>776</v>
      </c>
      <c r="D348" s="786"/>
      <c r="E348" s="786"/>
      <c r="F348" s="1344"/>
      <c r="G348" s="792"/>
      <c r="H348" s="793"/>
      <c r="J348" s="782"/>
      <c r="K348" s="783"/>
      <c r="L348" s="770">
        <v>1</v>
      </c>
      <c r="M348" s="756"/>
      <c r="N348" s="766"/>
      <c r="O348" s="854"/>
      <c r="P348" s="756"/>
      <c r="Q348" s="756"/>
      <c r="R348" s="756"/>
      <c r="S348" s="759"/>
      <c r="T348" s="756"/>
      <c r="U348" s="766"/>
      <c r="V348" s="767"/>
      <c r="W348" s="756"/>
      <c r="X348" s="756"/>
      <c r="Y348" s="756"/>
      <c r="Z348" s="759"/>
      <c r="AA348" s="756"/>
      <c r="AB348" s="766"/>
      <c r="AC348" s="767"/>
      <c r="AD348" s="756"/>
      <c r="AE348" s="756"/>
      <c r="AF348" s="756"/>
      <c r="AG348" s="759"/>
      <c r="AH348" s="756"/>
      <c r="AI348" s="766"/>
      <c r="AJ348" s="767"/>
      <c r="AK348" s="756"/>
      <c r="AL348" s="756"/>
      <c r="AM348" s="756"/>
    </row>
    <row r="349" spans="1:39">
      <c r="A349" s="757">
        <v>340</v>
      </c>
      <c r="B349" s="789" t="s">
        <v>699</v>
      </c>
      <c r="C349" s="794" t="s">
        <v>776</v>
      </c>
      <c r="D349" s="786"/>
      <c r="E349" s="786"/>
      <c r="F349" s="791"/>
      <c r="G349" s="303"/>
      <c r="H349" s="316"/>
      <c r="J349" s="782"/>
      <c r="K349" s="783"/>
      <c r="M349" s="756"/>
      <c r="N349" s="321"/>
      <c r="O349" s="855" t="str">
        <f>IF(M347&lt;&gt;0,M347,IF(Produzione!$E$10&lt;&gt;"",Produzione!$E$10,Produzione!$G$9))</f>
        <v/>
      </c>
      <c r="P349" s="756"/>
      <c r="Q349" s="756"/>
      <c r="R349" s="756"/>
      <c r="S349" s="759"/>
      <c r="T349" s="756"/>
      <c r="U349" s="321"/>
      <c r="V349" s="322" t="str">
        <f>IF(T347&lt;&gt;0,T347,IF(Produzione!$E$24&lt;&gt;"",Produzione!$E$24,Produzione!$G$23))</f>
        <v/>
      </c>
      <c r="W349" s="756"/>
      <c r="X349" s="756"/>
      <c r="Y349" s="756"/>
      <c r="Z349" s="759"/>
      <c r="AA349" s="756"/>
      <c r="AB349" s="321"/>
      <c r="AC349" s="322" t="str">
        <f>IF(AA347&lt;&gt;0,AA347,IF(Produzione!$E$38&lt;&gt;"",Produzione!$E$38,Produzione!$G$37))</f>
        <v/>
      </c>
      <c r="AD349" s="756"/>
      <c r="AE349" s="756"/>
      <c r="AF349" s="756"/>
      <c r="AG349" s="759"/>
      <c r="AH349" s="756"/>
      <c r="AI349" s="321"/>
      <c r="AJ349" s="322" t="str">
        <f>IF(AH347&lt;&gt;0,AH347,IF(Produzione!$E$52&lt;&gt;"",Produzione!$E$52,Produzione!$G$51))</f>
        <v/>
      </c>
      <c r="AK349" s="756"/>
      <c r="AL349" s="756"/>
      <c r="AM349" s="756"/>
    </row>
    <row r="350" spans="1:39">
      <c r="A350" s="757">
        <v>341</v>
      </c>
      <c r="B350" s="789" t="s">
        <v>51</v>
      </c>
      <c r="C350" s="790" t="s">
        <v>761</v>
      </c>
      <c r="D350" s="787"/>
      <c r="E350" s="795"/>
      <c r="F350" s="1344"/>
      <c r="G350" s="796"/>
      <c r="H350" s="797"/>
      <c r="J350" s="782"/>
      <c r="K350" s="783"/>
      <c r="L350" s="770">
        <v>1</v>
      </c>
      <c r="M350" s="315">
        <f>Produzione!$G$12</f>
        <v>0</v>
      </c>
      <c r="N350" s="758"/>
      <c r="O350" s="854"/>
      <c r="P350" s="756"/>
      <c r="Q350" s="756"/>
      <c r="R350" s="756"/>
      <c r="S350" s="759"/>
      <c r="T350" s="315">
        <f>Produzione!$G$26</f>
        <v>0</v>
      </c>
      <c r="U350" s="758"/>
      <c r="V350" s="758"/>
      <c r="W350" s="756"/>
      <c r="X350" s="756"/>
      <c r="Y350" s="756"/>
      <c r="Z350" s="759"/>
      <c r="AA350" s="315">
        <f>Produzione!$G$40</f>
        <v>0</v>
      </c>
      <c r="AB350" s="758"/>
      <c r="AC350" s="758"/>
      <c r="AD350" s="756"/>
      <c r="AE350" s="756"/>
      <c r="AF350" s="756"/>
      <c r="AG350" s="759"/>
      <c r="AH350" s="315">
        <f>Produzione!$G$54</f>
        <v>0</v>
      </c>
      <c r="AI350" s="758"/>
      <c r="AJ350" s="758"/>
      <c r="AK350" s="756"/>
      <c r="AL350" s="756"/>
      <c r="AM350" s="756"/>
    </row>
    <row r="351" spans="1:39">
      <c r="A351" s="757">
        <v>342</v>
      </c>
      <c r="B351" s="789" t="str">
        <f>IF(J346=1,"fabbisogno di potenza termica dell'edificio","")</f>
        <v>fabbisogno di potenza termica dell'edificio</v>
      </c>
      <c r="C351" s="790" t="str">
        <f>IF(J346=1,"kW","")</f>
        <v>kW</v>
      </c>
      <c r="D351" s="796"/>
      <c r="E351" s="795"/>
      <c r="F351" s="1344"/>
      <c r="G351" s="787"/>
      <c r="H351" s="798"/>
      <c r="J351" s="782"/>
      <c r="K351" s="783"/>
      <c r="L351" s="770">
        <v>1</v>
      </c>
      <c r="M351" s="315">
        <f>Produzione!$G$13</f>
        <v>0</v>
      </c>
      <c r="N351" s="764"/>
      <c r="O351" s="852"/>
      <c r="P351" s="756"/>
      <c r="Q351" s="756"/>
      <c r="R351" s="756"/>
      <c r="S351" s="759"/>
      <c r="T351" s="315">
        <f>Produzione!$G$27</f>
        <v>0</v>
      </c>
      <c r="U351" s="764"/>
      <c r="V351" s="768"/>
      <c r="W351" s="756"/>
      <c r="X351" s="756"/>
      <c r="Y351" s="756"/>
      <c r="Z351" s="759"/>
      <c r="AA351" s="315">
        <f>Produzione!$G$41</f>
        <v>0</v>
      </c>
      <c r="AB351" s="764"/>
      <c r="AC351" s="768"/>
      <c r="AD351" s="756"/>
      <c r="AE351" s="756"/>
      <c r="AF351" s="756"/>
      <c r="AG351" s="759"/>
      <c r="AH351" s="315">
        <f>Produzione!$G$55</f>
        <v>0</v>
      </c>
      <c r="AI351" s="764"/>
      <c r="AJ351" s="768"/>
      <c r="AK351" s="756"/>
      <c r="AL351" s="756"/>
      <c r="AM351" s="756"/>
    </row>
    <row r="352" spans="1:39">
      <c r="A352" s="757">
        <v>343</v>
      </c>
      <c r="B352" s="799" t="str">
        <f>IF(J346=1,"Temperatura di mandata riscaldamento","")</f>
        <v>Temperatura di mandata riscaldamento</v>
      </c>
      <c r="C352" s="831" t="str">
        <f>IF(J346=1,"°C","")</f>
        <v>°C</v>
      </c>
      <c r="D352" s="786"/>
      <c r="E352" s="786"/>
      <c r="F352" s="1344"/>
      <c r="G352" s="787"/>
      <c r="H352" s="800"/>
      <c r="J352" s="782"/>
      <c r="K352" s="783"/>
      <c r="L352" s="770">
        <v>2</v>
      </c>
      <c r="M352" s="315">
        <f>Produzione!$G$14</f>
        <v>0</v>
      </c>
      <c r="N352" s="764"/>
      <c r="P352" s="756"/>
      <c r="Q352" s="756"/>
      <c r="R352" s="756"/>
      <c r="S352" s="759"/>
      <c r="T352" s="315">
        <f>Produzione!$G$28</f>
        <v>0</v>
      </c>
      <c r="U352" s="764"/>
      <c r="V352" s="764"/>
      <c r="W352" s="756"/>
      <c r="X352" s="764">
        <f>IF(V352=0,0,IF(V352&lt;=35,4,IF(V352&lt;=45,3.5,0)))</f>
        <v>0</v>
      </c>
      <c r="Y352" s="756"/>
      <c r="Z352" s="759"/>
      <c r="AA352" s="315">
        <f>Produzione!$G$42</f>
        <v>0</v>
      </c>
      <c r="AB352" s="764"/>
      <c r="AD352" s="756"/>
      <c r="AE352" s="756"/>
      <c r="AF352" s="756"/>
      <c r="AG352" s="759"/>
      <c r="AH352" s="315">
        <f>Produzione!$G$56</f>
        <v>0</v>
      </c>
      <c r="AI352" s="764"/>
      <c r="AK352" s="756"/>
      <c r="AL352" s="756"/>
      <c r="AM352" s="756"/>
    </row>
    <row r="353" spans="1:39">
      <c r="A353" s="757">
        <v>344</v>
      </c>
      <c r="B353" s="799" t="str">
        <f>IF(AND(Warmwasser,K346=1),"Temperatura acqua calda sanitaria","")</f>
        <v/>
      </c>
      <c r="C353" s="831" t="str">
        <f>IF(AND(Warmwasser,K346=1),"°C","")</f>
        <v/>
      </c>
      <c r="D353" s="786"/>
      <c r="E353" s="786"/>
      <c r="F353" s="1344"/>
      <c r="G353" s="796"/>
      <c r="H353" s="788"/>
      <c r="J353" s="782"/>
      <c r="K353" s="783"/>
      <c r="M353" s="315">
        <f>Produzione!$G$15</f>
        <v>0</v>
      </c>
      <c r="N353" s="758"/>
      <c r="O353" s="853"/>
      <c r="P353" s="756"/>
      <c r="Q353" s="756"/>
      <c r="R353" s="756" t="str">
        <f>IF(AND($K346=0,R356&lt;&gt;0),"Riscald. ausgewählt",IF(AND($J346=0,Q342&gt;0),"Acqua calda ausgewählt",""))</f>
        <v/>
      </c>
      <c r="S353" s="759"/>
      <c r="T353" s="315">
        <f>Produzione!$G$29</f>
        <v>0</v>
      </c>
      <c r="U353" s="758"/>
      <c r="V353" s="765"/>
      <c r="W353" s="756"/>
      <c r="X353" s="756"/>
      <c r="Y353" s="756" t="str">
        <f>IF(AND($K346=0,Y356&lt;&gt;0),"Riscald. ausgewählt",IF(AND($J346=0,X342&gt;0),"Acqua calda ausgewählt",""))</f>
        <v/>
      </c>
      <c r="Z353" s="759"/>
      <c r="AA353" s="315">
        <f>Produzione!$G$43</f>
        <v>0</v>
      </c>
      <c r="AB353" s="758"/>
      <c r="AC353" s="765"/>
      <c r="AD353" s="756"/>
      <c r="AE353" s="756"/>
      <c r="AF353" s="756" t="str">
        <f>IF(AND($K346=0,AF356&lt;&gt;0),"Riscald. ausgewählt",IF(AND($J346=0,AE342&gt;0),"Acqua calda ausgewählt",""))</f>
        <v/>
      </c>
      <c r="AG353" s="759"/>
      <c r="AH353" s="315">
        <f>Produzione!$G$57</f>
        <v>0</v>
      </c>
      <c r="AI353" s="758"/>
      <c r="AJ353" s="765"/>
      <c r="AK353" s="756"/>
      <c r="AL353" s="756"/>
      <c r="AM353" s="756" t="str">
        <f>IF(AND($K346=0,AM356&lt;&gt;0),"Riscald. ausgewählt",IF(AND($J346=0,AL342&gt;0),"Acqua calda ausgewählt",""))</f>
        <v/>
      </c>
    </row>
    <row r="354" spans="1:39">
      <c r="A354" s="757">
        <v>345</v>
      </c>
      <c r="B354" s="799" t="s">
        <v>1374</v>
      </c>
      <c r="C354" s="813" t="s">
        <v>410</v>
      </c>
      <c r="D354" s="795"/>
      <c r="E354" s="795"/>
      <c r="F354" s="791"/>
      <c r="G354" s="303"/>
      <c r="H354" s="317"/>
      <c r="J354" s="801"/>
      <c r="K354" s="802"/>
      <c r="M354" s="756"/>
      <c r="N354" s="321"/>
      <c r="O354" s="849">
        <f>IF(O349="",,R354/100*qw/O349+Q354/100*qh/3.6/O349)</f>
        <v>0</v>
      </c>
      <c r="P354" s="756"/>
      <c r="Q354" s="756">
        <f>IF(AND(Q356&lt;&gt;0,Q355=0),Q356,IF(Q356&lt;&gt;0,MIN(Q356,Q355),Q355))*J346</f>
        <v>0</v>
      </c>
      <c r="R354" s="756">
        <f>IF(R355&lt;&gt;0,R355,R356)*K346</f>
        <v>0</v>
      </c>
      <c r="S354" s="759"/>
      <c r="T354" s="756"/>
      <c r="U354" s="321"/>
      <c r="V354" s="847">
        <f>IF(V349="",,Y354/100*qw/V349+X354/100*qh/3.6/V349)</f>
        <v>0</v>
      </c>
      <c r="W354" s="756"/>
      <c r="X354" s="756">
        <f>IF(AND(X356&lt;&gt;0,X355=0),X356,IF(X356&lt;&gt;0,MIN(X356,X355),X355))*J346</f>
        <v>0</v>
      </c>
      <c r="Y354" s="756">
        <f>IF(Y355&lt;&gt;0,Y355,Y356)*K346</f>
        <v>0</v>
      </c>
      <c r="Z354" s="759"/>
      <c r="AA354" s="756"/>
      <c r="AB354" s="321"/>
      <c r="AC354" s="847">
        <f>IF(AC349="",,AF354/100*qw/AC349+AE354/100*qh/3.6/AC349)</f>
        <v>0</v>
      </c>
      <c r="AD354" s="756"/>
      <c r="AE354" s="756">
        <f>IF(AND(AE356&lt;&gt;0,AE355=0),AE356,IF(AE356&lt;&gt;0,MIN(AE356,AE355),AE355))*J346</f>
        <v>0</v>
      </c>
      <c r="AF354" s="756">
        <f>IF(AF355&lt;&gt;0,AF355,AF356)*K346</f>
        <v>0</v>
      </c>
      <c r="AG354" s="759"/>
      <c r="AH354" s="756"/>
      <c r="AI354" s="321"/>
      <c r="AJ354" s="847">
        <f>IF(AJ349="",,AM354/100*qw/AJ349+AL354/100*qh/3.6/AJ349)</f>
        <v>0</v>
      </c>
      <c r="AK354" s="756"/>
      <c r="AL354" s="756">
        <f>IF(AND(AL356&lt;&gt;0,AL355=0),AL356,IF(AL356&lt;&gt;0,MIN(AL356,AL355),AL355))*J346</f>
        <v>0</v>
      </c>
      <c r="AM354" s="756">
        <f>IF(AM355&lt;&gt;0,AM355,AM356)*K346</f>
        <v>0</v>
      </c>
    </row>
    <row r="355" spans="1:39">
      <c r="A355" s="757">
        <v>346</v>
      </c>
      <c r="B355" s="789" t="s">
        <v>652</v>
      </c>
      <c r="C355" s="813" t="s">
        <v>410</v>
      </c>
      <c r="D355" s="795"/>
      <c r="E355" s="786"/>
      <c r="F355" s="792"/>
      <c r="G355" s="303"/>
      <c r="H355" s="318"/>
      <c r="J355" s="803"/>
      <c r="K355" s="804"/>
      <c r="M355" s="758"/>
      <c r="N355" s="321"/>
      <c r="O355" s="845">
        <f>IF(O349=0,,(Q354/100*qh/3.6+R354/100*qw))</f>
        <v>0</v>
      </c>
      <c r="P355" s="756"/>
      <c r="Q355" s="756"/>
      <c r="R355" s="756"/>
      <c r="S355" s="759"/>
      <c r="T355" s="756"/>
      <c r="U355" s="321"/>
      <c r="V355" s="845">
        <f>IF(V349=0,,(X354/100*qh/3.6+Y354/100*qw))</f>
        <v>0</v>
      </c>
      <c r="W355" s="756"/>
      <c r="X355" s="756"/>
      <c r="Y355" s="756"/>
      <c r="Z355" s="759"/>
      <c r="AA355" s="758"/>
      <c r="AB355" s="321"/>
      <c r="AC355" s="845">
        <f>IF(AC349=0,,(AE354/100*qh/3.6+AF354/100*qw))</f>
        <v>0</v>
      </c>
      <c r="AD355" s="756"/>
      <c r="AE355" s="756"/>
      <c r="AF355" s="756"/>
      <c r="AG355" s="759"/>
      <c r="AH355" s="758"/>
      <c r="AI355" s="321"/>
      <c r="AJ355" s="845">
        <f>IF(AJ349=0,,(AL354/100*qh/3.6+AM354/100*qw))</f>
        <v>0</v>
      </c>
      <c r="AK355" s="756"/>
      <c r="AL355" s="756"/>
      <c r="AM355" s="756"/>
    </row>
    <row r="356" spans="1:39">
      <c r="A356" s="757">
        <v>347</v>
      </c>
      <c r="B356" s="824"/>
      <c r="C356" s="836"/>
      <c r="D356" s="806"/>
      <c r="E356" s="806"/>
      <c r="F356" s="774"/>
      <c r="G356" s="319"/>
      <c r="H356" s="320"/>
      <c r="J356" s="807"/>
      <c r="K356" s="808"/>
      <c r="M356" s="756"/>
      <c r="N356" s="325"/>
      <c r="O356" s="858"/>
      <c r="P356" s="756"/>
      <c r="Q356" s="315">
        <f>Produzione!$K$18</f>
        <v>0</v>
      </c>
      <c r="R356" s="315">
        <f>Produzione!$L$18</f>
        <v>0</v>
      </c>
      <c r="S356" s="759"/>
      <c r="T356" s="756"/>
      <c r="U356" s="325"/>
      <c r="V356" s="325"/>
      <c r="W356" s="756"/>
      <c r="X356" s="315">
        <f>Produzione!$K$32</f>
        <v>0</v>
      </c>
      <c r="Y356" s="315">
        <f>Produzione!$L$32</f>
        <v>0</v>
      </c>
      <c r="Z356" s="759"/>
      <c r="AA356" s="756"/>
      <c r="AB356" s="325"/>
      <c r="AC356" s="325"/>
      <c r="AD356" s="756"/>
      <c r="AE356" s="315">
        <f>Produzione!$K$46</f>
        <v>0</v>
      </c>
      <c r="AF356" s="315">
        <f>Produzione!$L$46</f>
        <v>0</v>
      </c>
      <c r="AG356" s="759"/>
      <c r="AH356" s="756"/>
      <c r="AI356" s="325"/>
      <c r="AJ356" s="325"/>
      <c r="AK356" s="756"/>
      <c r="AL356" s="315">
        <f>Produzione!$K$60</f>
        <v>0</v>
      </c>
      <c r="AM356" s="315">
        <f>Produzione!$L$60</f>
        <v>0</v>
      </c>
    </row>
    <row r="357" spans="1:39">
      <c r="A357" s="757">
        <v>348</v>
      </c>
      <c r="B357" s="759"/>
      <c r="C357" s="833"/>
      <c r="D357" s="759"/>
      <c r="E357" s="759"/>
      <c r="F357" s="817"/>
      <c r="G357" s="759"/>
      <c r="H357" s="759"/>
      <c r="I357" s="759"/>
      <c r="J357" s="759"/>
      <c r="Q357" s="761" t="str">
        <f>IF(AND(Q356&lt;&gt;0,Q355=0),"",IF(Q356&gt;Q355,"tasso troppo alto",""))</f>
        <v/>
      </c>
      <c r="S357" s="759"/>
      <c r="X357" s="761" t="str">
        <f>IF(AND(X356&lt;&gt;0,X355=0),"",IF(X356&gt;X355,"tasso troppo alto",""))</f>
        <v/>
      </c>
      <c r="Z357" s="759"/>
      <c r="AE357" s="761" t="str">
        <f>IF(AND(AE356&lt;&gt;0,AE355=0),"",IF(AE356&gt;AE355,"tasso troppo alto",""))</f>
        <v/>
      </c>
      <c r="AG357" s="759"/>
      <c r="AL357" s="761" t="str">
        <f>IF(AND(AL356&lt;&gt;0,AL355=0),"",IF(AL356&gt;AL355,"tasso troppo alto",""))</f>
        <v/>
      </c>
    </row>
    <row r="358" spans="1:39">
      <c r="A358" s="757">
        <v>349</v>
      </c>
      <c r="B358" s="755"/>
      <c r="C358" s="834"/>
      <c r="D358" s="762"/>
      <c r="E358" s="762"/>
      <c r="G358" s="762"/>
      <c r="H358" s="818"/>
      <c r="J358" s="762" t="s">
        <v>1620</v>
      </c>
      <c r="N358" s="762"/>
      <c r="O358" s="860"/>
      <c r="P358" s="759"/>
      <c r="Q358" s="762" t="s">
        <v>1620</v>
      </c>
      <c r="R358" s="759"/>
      <c r="S358" s="759"/>
      <c r="T358" s="759"/>
      <c r="U358" s="762"/>
      <c r="V358" s="769"/>
      <c r="W358" s="759"/>
      <c r="X358" s="762" t="s">
        <v>1620</v>
      </c>
      <c r="Y358" s="759"/>
      <c r="Z358" s="759"/>
      <c r="AA358" s="759"/>
      <c r="AB358" s="762"/>
      <c r="AC358" s="769"/>
      <c r="AD358" s="759"/>
      <c r="AE358" s="762" t="s">
        <v>1620</v>
      </c>
      <c r="AF358" s="759"/>
      <c r="AG358" s="759"/>
      <c r="AH358" s="759"/>
      <c r="AI358" s="762"/>
      <c r="AJ358" s="769"/>
      <c r="AK358" s="759"/>
      <c r="AL358" s="762" t="s">
        <v>1620</v>
      </c>
      <c r="AM358" s="759"/>
    </row>
    <row r="359" spans="1:39">
      <c r="A359" s="757">
        <v>350</v>
      </c>
      <c r="B359" s="772" t="str">
        <f>INDEX(Standardwerte!$V$6:$V$43,Rechnung!$C359,1)</f>
        <v>Pompa di calore, acqua sotterranea, diretta, solo AC</v>
      </c>
      <c r="C359" s="835">
        <v>26</v>
      </c>
      <c r="D359" s="819"/>
      <c r="E359" s="820"/>
      <c r="F359" s="821"/>
      <c r="G359" s="819"/>
      <c r="H359" s="822"/>
      <c r="J359" s="760" t="s">
        <v>525</v>
      </c>
      <c r="K359" s="756" t="s">
        <v>1622</v>
      </c>
      <c r="M359" s="756"/>
      <c r="N359" s="760"/>
      <c r="O359" s="852"/>
      <c r="P359" s="756"/>
      <c r="Q359" s="760" t="s">
        <v>525</v>
      </c>
      <c r="R359" s="756" t="s">
        <v>1622</v>
      </c>
      <c r="S359" s="759"/>
      <c r="T359" s="756"/>
      <c r="U359" s="760"/>
      <c r="V359" s="764"/>
      <c r="W359" s="756"/>
      <c r="X359" s="760" t="s">
        <v>525</v>
      </c>
      <c r="Y359" s="756" t="s">
        <v>1622</v>
      </c>
      <c r="Z359" s="759"/>
      <c r="AA359" s="756"/>
      <c r="AB359" s="760"/>
      <c r="AC359" s="764"/>
      <c r="AD359" s="756"/>
      <c r="AE359" s="760" t="s">
        <v>525</v>
      </c>
      <c r="AF359" s="756" t="s">
        <v>1622</v>
      </c>
      <c r="AG359" s="759"/>
      <c r="AH359" s="756"/>
      <c r="AI359" s="760"/>
      <c r="AJ359" s="764"/>
      <c r="AK359" s="756"/>
      <c r="AL359" s="760" t="s">
        <v>525</v>
      </c>
      <c r="AM359" s="756" t="s">
        <v>1622</v>
      </c>
    </row>
    <row r="360" spans="1:39">
      <c r="A360" s="757">
        <v>351</v>
      </c>
      <c r="B360" s="778" t="s">
        <v>526</v>
      </c>
      <c r="C360" s="830"/>
      <c r="D360" s="779"/>
      <c r="E360" s="312"/>
      <c r="F360" s="313">
        <f>INDEX($M$10:$AM$162,$A$10+(_typ1-1)*14,1)</f>
        <v>0</v>
      </c>
      <c r="G360" s="780"/>
      <c r="H360" s="781"/>
      <c r="J360" s="782">
        <f>INDEX(Standardwerte!$Y$6:$Z$43,$C359,2)</f>
        <v>0</v>
      </c>
      <c r="K360" s="783">
        <f>INDEX(Standardwerte!$Y$6:$Z$43,$C359,1)</f>
        <v>1</v>
      </c>
      <c r="M360" s="315">
        <f>Produzione!$G$8</f>
        <v>0</v>
      </c>
      <c r="N360" s="764"/>
      <c r="O360" s="852"/>
      <c r="P360" s="756"/>
      <c r="Q360" s="756"/>
      <c r="R360" s="756"/>
      <c r="S360" s="759"/>
      <c r="T360" s="315">
        <f>Produzione!$G$22</f>
        <v>0</v>
      </c>
      <c r="U360" s="764"/>
      <c r="V360" s="764"/>
      <c r="W360" s="756"/>
      <c r="X360" s="756"/>
      <c r="Y360" s="756"/>
      <c r="Z360" s="759"/>
      <c r="AA360" s="315">
        <f>Produzione!$G$36</f>
        <v>0</v>
      </c>
      <c r="AB360" s="764"/>
      <c r="AC360" s="764"/>
      <c r="AD360" s="756"/>
      <c r="AE360" s="756"/>
      <c r="AF360" s="756"/>
      <c r="AG360" s="759"/>
      <c r="AH360" s="315">
        <f>Produzione!$G$50</f>
        <v>0</v>
      </c>
      <c r="AI360" s="764"/>
      <c r="AJ360" s="764"/>
      <c r="AK360" s="756"/>
      <c r="AL360" s="756"/>
      <c r="AM360" s="756"/>
    </row>
    <row r="361" spans="1:39">
      <c r="A361" s="757">
        <v>352</v>
      </c>
      <c r="B361" s="784" t="s">
        <v>697</v>
      </c>
      <c r="C361" s="794" t="s">
        <v>776</v>
      </c>
      <c r="E361" s="786"/>
      <c r="F361" s="809">
        <f>INDEX(Standardwerte!$W$6:$W$43,$C359,1)</f>
        <v>2.9</v>
      </c>
      <c r="G361" s="787"/>
      <c r="H361" s="788"/>
      <c r="J361" s="782"/>
      <c r="K361" s="783"/>
      <c r="M361" s="315">
        <f>Produzione!$G$10</f>
        <v>0</v>
      </c>
      <c r="N361" s="764"/>
      <c r="O361" s="861">
        <f>F361</f>
        <v>2.9</v>
      </c>
      <c r="P361" s="756"/>
      <c r="Q361" s="756"/>
      <c r="R361" s="756"/>
      <c r="S361" s="759"/>
      <c r="T361" s="315">
        <f>Produzione!$G$24</f>
        <v>0</v>
      </c>
      <c r="U361" s="764"/>
      <c r="V361" s="28">
        <f>F361</f>
        <v>2.9</v>
      </c>
      <c r="W361" s="756"/>
      <c r="X361" s="756"/>
      <c r="Y361" s="756"/>
      <c r="Z361" s="759"/>
      <c r="AA361" s="315">
        <f>Produzione!$G$38</f>
        <v>0</v>
      </c>
      <c r="AB361" s="764"/>
      <c r="AC361" s="28">
        <f>F361</f>
        <v>2.9</v>
      </c>
      <c r="AD361" s="756"/>
      <c r="AE361" s="756"/>
      <c r="AF361" s="756"/>
      <c r="AG361" s="759"/>
      <c r="AH361" s="315">
        <f>Produzione!$G$52</f>
        <v>0</v>
      </c>
      <c r="AI361" s="764"/>
      <c r="AJ361" s="28">
        <f>F361</f>
        <v>2.9</v>
      </c>
      <c r="AK361" s="756"/>
      <c r="AL361" s="756"/>
      <c r="AM361" s="756"/>
    </row>
    <row r="362" spans="1:39">
      <c r="A362" s="757">
        <v>353</v>
      </c>
      <c r="B362" s="789" t="s">
        <v>698</v>
      </c>
      <c r="C362" s="794" t="s">
        <v>776</v>
      </c>
      <c r="D362" s="786"/>
      <c r="E362" s="786"/>
      <c r="F362" s="1344"/>
      <c r="G362" s="792"/>
      <c r="H362" s="793"/>
      <c r="J362" s="782"/>
      <c r="K362" s="783"/>
      <c r="L362" s="770">
        <v>1</v>
      </c>
      <c r="M362" s="756"/>
      <c r="N362" s="766"/>
      <c r="O362" s="854"/>
      <c r="P362" s="756"/>
      <c r="Q362" s="756"/>
      <c r="R362" s="756"/>
      <c r="S362" s="759"/>
      <c r="T362" s="756"/>
      <c r="U362" s="766"/>
      <c r="V362" s="767"/>
      <c r="W362" s="756"/>
      <c r="X362" s="756"/>
      <c r="Y362" s="756"/>
      <c r="Z362" s="759"/>
      <c r="AA362" s="756"/>
      <c r="AB362" s="766"/>
      <c r="AC362" s="767"/>
      <c r="AD362" s="756"/>
      <c r="AE362" s="756"/>
      <c r="AF362" s="756"/>
      <c r="AG362" s="759"/>
      <c r="AH362" s="756"/>
      <c r="AI362" s="766"/>
      <c r="AJ362" s="767"/>
      <c r="AK362" s="756"/>
      <c r="AL362" s="756"/>
      <c r="AM362" s="756"/>
    </row>
    <row r="363" spans="1:39">
      <c r="A363" s="757">
        <v>354</v>
      </c>
      <c r="B363" s="789" t="s">
        <v>699</v>
      </c>
      <c r="C363" s="794" t="s">
        <v>776</v>
      </c>
      <c r="D363" s="786"/>
      <c r="E363" s="786"/>
      <c r="F363" s="791"/>
      <c r="G363" s="303"/>
      <c r="H363" s="316"/>
      <c r="J363" s="782"/>
      <c r="K363" s="783"/>
      <c r="M363" s="756"/>
      <c r="N363" s="321"/>
      <c r="O363" s="855" t="str">
        <f>IF(M361&lt;&gt;0,M361,IF(Produzione!$E$10&lt;&gt;"",Produzione!$E$10,Produzione!$G$9))</f>
        <v/>
      </c>
      <c r="P363" s="756"/>
      <c r="Q363" s="756"/>
      <c r="R363" s="756"/>
      <c r="S363" s="759"/>
      <c r="T363" s="756"/>
      <c r="U363" s="321"/>
      <c r="V363" s="322" t="str">
        <f>IF(T361&lt;&gt;0,T361,IF(Produzione!$E$24&lt;&gt;"",Produzione!$E$24,Produzione!$G$23))</f>
        <v/>
      </c>
      <c r="W363" s="756"/>
      <c r="X363" s="756"/>
      <c r="Y363" s="756"/>
      <c r="Z363" s="759"/>
      <c r="AA363" s="756"/>
      <c r="AB363" s="321"/>
      <c r="AC363" s="322" t="str">
        <f>IF(AA361&lt;&gt;0,AA361,IF(Produzione!$E$38&lt;&gt;"",Produzione!$E$38,Produzione!$G$37))</f>
        <v/>
      </c>
      <c r="AD363" s="756"/>
      <c r="AE363" s="756"/>
      <c r="AF363" s="756"/>
      <c r="AG363" s="759"/>
      <c r="AH363" s="756"/>
      <c r="AI363" s="321"/>
      <c r="AJ363" s="322" t="str">
        <f>IF(AH361&lt;&gt;0,AH361,IF(Produzione!$E$52&lt;&gt;"",Produzione!$E$52,Produzione!$G$51))</f>
        <v/>
      </c>
      <c r="AK363" s="756"/>
      <c r="AL363" s="756"/>
      <c r="AM363" s="756"/>
    </row>
    <row r="364" spans="1:39">
      <c r="A364" s="757">
        <v>355</v>
      </c>
      <c r="B364" s="789" t="s">
        <v>51</v>
      </c>
      <c r="C364" s="790" t="s">
        <v>761</v>
      </c>
      <c r="D364" s="787"/>
      <c r="E364" s="795"/>
      <c r="F364" s="1344"/>
      <c r="G364" s="796"/>
      <c r="H364" s="797"/>
      <c r="J364" s="782"/>
      <c r="K364" s="783"/>
      <c r="L364" s="770">
        <v>1</v>
      </c>
      <c r="M364" s="315">
        <f>Produzione!$G$12</f>
        <v>0</v>
      </c>
      <c r="N364" s="758"/>
      <c r="O364" s="854"/>
      <c r="P364" s="756"/>
      <c r="Q364" s="756"/>
      <c r="R364" s="756"/>
      <c r="S364" s="759"/>
      <c r="T364" s="315">
        <f>Produzione!$G$26</f>
        <v>0</v>
      </c>
      <c r="U364" s="758"/>
      <c r="V364" s="758"/>
      <c r="W364" s="756"/>
      <c r="X364" s="756"/>
      <c r="Y364" s="756"/>
      <c r="Z364" s="759"/>
      <c r="AA364" s="315">
        <f>Produzione!$G$40</f>
        <v>0</v>
      </c>
      <c r="AB364" s="758"/>
      <c r="AC364" s="758"/>
      <c r="AD364" s="756"/>
      <c r="AE364" s="756"/>
      <c r="AF364" s="756"/>
      <c r="AG364" s="759"/>
      <c r="AH364" s="315">
        <f>Produzione!$G$54</f>
        <v>0</v>
      </c>
      <c r="AI364" s="758"/>
      <c r="AJ364" s="758"/>
      <c r="AK364" s="756"/>
      <c r="AL364" s="756"/>
      <c r="AM364" s="756"/>
    </row>
    <row r="365" spans="1:39">
      <c r="A365" s="757">
        <v>356</v>
      </c>
      <c r="B365" s="789" t="str">
        <f>IF(J360=1,"fabbisogno di potenza termica dell'edificio","")</f>
        <v/>
      </c>
      <c r="C365" s="790" t="str">
        <f>IF(J360=1,"kW","")</f>
        <v/>
      </c>
      <c r="D365" s="796"/>
      <c r="E365" s="795"/>
      <c r="F365" s="1344"/>
      <c r="G365" s="787"/>
      <c r="H365" s="798"/>
      <c r="J365" s="782"/>
      <c r="K365" s="783"/>
      <c r="M365" s="315">
        <f>Produzione!$G$13</f>
        <v>0</v>
      </c>
      <c r="N365" s="764"/>
      <c r="O365" s="852"/>
      <c r="P365" s="756"/>
      <c r="Q365" s="756"/>
      <c r="R365" s="756"/>
      <c r="S365" s="759"/>
      <c r="T365" s="315">
        <f>Produzione!$G$27</f>
        <v>0</v>
      </c>
      <c r="U365" s="764"/>
      <c r="V365" s="768"/>
      <c r="W365" s="756"/>
      <c r="X365" s="756"/>
      <c r="Y365" s="756"/>
      <c r="Z365" s="759"/>
      <c r="AA365" s="315">
        <f>Produzione!$G$41</f>
        <v>0</v>
      </c>
      <c r="AB365" s="764"/>
      <c r="AC365" s="768"/>
      <c r="AD365" s="756"/>
      <c r="AE365" s="756"/>
      <c r="AF365" s="756"/>
      <c r="AG365" s="759"/>
      <c r="AH365" s="315">
        <f>Produzione!$G$55</f>
        <v>0</v>
      </c>
      <c r="AI365" s="764"/>
      <c r="AJ365" s="768"/>
      <c r="AK365" s="756"/>
      <c r="AL365" s="756"/>
      <c r="AM365" s="756"/>
    </row>
    <row r="366" spans="1:39">
      <c r="A366" s="757">
        <v>357</v>
      </c>
      <c r="B366" s="799" t="str">
        <f>IF(J360=1,"Temperatura di mandata riscaldamento","")</f>
        <v/>
      </c>
      <c r="C366" s="831" t="str">
        <f>IF(J360=1,"°C","")</f>
        <v/>
      </c>
      <c r="D366" s="786"/>
      <c r="E366" s="786"/>
      <c r="F366" s="1344"/>
      <c r="G366" s="787"/>
      <c r="H366" s="800"/>
      <c r="J366" s="782"/>
      <c r="K366" s="783"/>
      <c r="M366" s="315">
        <f>Produzione!$G$14</f>
        <v>0</v>
      </c>
      <c r="N366" s="764"/>
      <c r="O366" s="852"/>
      <c r="P366" s="756"/>
      <c r="Q366" s="756"/>
      <c r="R366" s="756"/>
      <c r="S366" s="759"/>
      <c r="T366" s="315">
        <f>Produzione!$G$28</f>
        <v>0</v>
      </c>
      <c r="U366" s="764"/>
      <c r="V366" s="764"/>
      <c r="W366" s="756"/>
      <c r="X366" s="756"/>
      <c r="Y366" s="756"/>
      <c r="Z366" s="759"/>
      <c r="AA366" s="315">
        <f>Produzione!$G$42</f>
        <v>0</v>
      </c>
      <c r="AB366" s="764"/>
      <c r="AC366" s="764"/>
      <c r="AD366" s="756"/>
      <c r="AE366" s="756"/>
      <c r="AF366" s="756"/>
      <c r="AG366" s="759"/>
      <c r="AH366" s="315">
        <f>Produzione!$G$56</f>
        <v>0</v>
      </c>
      <c r="AI366" s="764"/>
      <c r="AJ366" s="764"/>
      <c r="AK366" s="756"/>
      <c r="AL366" s="756"/>
      <c r="AM366" s="756"/>
    </row>
    <row r="367" spans="1:39">
      <c r="A367" s="757">
        <v>358</v>
      </c>
      <c r="B367" s="799" t="str">
        <f>IF(AND(Warmwasser,K360=1),"Temperatura acqua calda sanitaria","")</f>
        <v/>
      </c>
      <c r="C367" s="831" t="str">
        <f>IF(AND(Warmwasser,K360=1),"°C","")</f>
        <v/>
      </c>
      <c r="D367" s="786"/>
      <c r="E367" s="786"/>
      <c r="F367" s="1344"/>
      <c r="G367" s="796"/>
      <c r="H367" s="788"/>
      <c r="J367" s="782"/>
      <c r="K367" s="783"/>
      <c r="L367" s="770">
        <v>2</v>
      </c>
      <c r="M367" s="315">
        <f>Produzione!$G$15</f>
        <v>0</v>
      </c>
      <c r="N367" s="758"/>
      <c r="O367" s="853"/>
      <c r="P367" s="756"/>
      <c r="R367" s="756" t="str">
        <f>IF(AND($K360=0,R370&lt;&gt;0),"scelto riscald.",IF(AND($J360=0,Q356&gt;0),"scelta acqua calda",""))</f>
        <v/>
      </c>
      <c r="S367" s="759"/>
      <c r="T367" s="315">
        <f>Produzione!$G$29</f>
        <v>0</v>
      </c>
      <c r="U367" s="758"/>
      <c r="V367" s="765"/>
      <c r="W367" s="756"/>
      <c r="Y367" s="756" t="str">
        <f>IF(AND($K360=0,Y370&lt;&gt;0),"Riscald. ausgewählt",IF(AND($J360=0,X356&gt;0),"Acqua calda ausgewählt",""))</f>
        <v/>
      </c>
      <c r="Z367" s="759"/>
      <c r="AA367" s="315">
        <f>Produzione!$G$43</f>
        <v>0</v>
      </c>
      <c r="AB367" s="758"/>
      <c r="AC367" s="765"/>
      <c r="AD367" s="756"/>
      <c r="AF367" s="756" t="str">
        <f>IF(AND($K360=0,AF370&lt;&gt;0),"Riscald. ausgewählt",IF(AND($J360=0,AE356&gt;0),"Acqua calda ausgewählt",""))</f>
        <v/>
      </c>
      <c r="AG367" s="759"/>
      <c r="AH367" s="315">
        <f>Produzione!$G$57</f>
        <v>0</v>
      </c>
      <c r="AI367" s="758"/>
      <c r="AJ367" s="765"/>
      <c r="AK367" s="756"/>
      <c r="AM367" s="756" t="str">
        <f>IF(AND($K360=0,AM370&lt;&gt;0),"Riscald. ausgewählt",IF(AND($J360=0,AL356&gt;0),"Acqua calda ausgewählt",""))</f>
        <v/>
      </c>
    </row>
    <row r="368" spans="1:39">
      <c r="A368" s="757">
        <v>359</v>
      </c>
      <c r="B368" s="799" t="s">
        <v>1374</v>
      </c>
      <c r="C368" s="813" t="s">
        <v>410</v>
      </c>
      <c r="D368" s="795"/>
      <c r="E368" s="795"/>
      <c r="F368" s="791"/>
      <c r="G368" s="303"/>
      <c r="H368" s="317"/>
      <c r="J368" s="801"/>
      <c r="K368" s="802"/>
      <c r="M368" s="756"/>
      <c r="N368" s="321"/>
      <c r="O368" s="849">
        <f>IF(O363="",,R368/100*qw/O363+Q368/100*qh/3.6/O363)</f>
        <v>0</v>
      </c>
      <c r="P368" s="756"/>
      <c r="Q368" s="756">
        <f>IF(Q369&lt;&gt;0,Q369,Q370)*J360</f>
        <v>0</v>
      </c>
      <c r="R368" s="756">
        <f>IF(AND(R370&lt;&gt;0,R369=0),R370,IF(R370&lt;&gt;0,MIN(R370,R369),R369))*K360</f>
        <v>0</v>
      </c>
      <c r="S368" s="759"/>
      <c r="T368" s="756"/>
      <c r="U368" s="321"/>
      <c r="V368" s="847">
        <f>IF(V363="",,Y368/100*qw/V363+X368/100*qh/3.6/V363)</f>
        <v>0</v>
      </c>
      <c r="W368" s="756"/>
      <c r="X368" s="756">
        <f>IF(X369&lt;&gt;0,X369,X370)*J360</f>
        <v>0</v>
      </c>
      <c r="Y368" s="756">
        <f>IF(AND(Y370&lt;&gt;0,Y369=0),Y370,IF(Y370&lt;&gt;0,MIN(Y370,Y369),Y369))*K360</f>
        <v>0</v>
      </c>
      <c r="Z368" s="759"/>
      <c r="AA368" s="756"/>
      <c r="AB368" s="321"/>
      <c r="AC368" s="847">
        <f>IF(AC363="",,AF368/100*qw/AC363+AE368/100*qh/3.6/AC363)</f>
        <v>0</v>
      </c>
      <c r="AD368" s="756"/>
      <c r="AE368" s="756">
        <f>IF(AE369&lt;&gt;0,AE369,AE370)*J360</f>
        <v>0</v>
      </c>
      <c r="AF368" s="756">
        <f>IF(AND(AF370&lt;&gt;0,AF369=0),AF370,IF(AF370&lt;&gt;0,MIN(AF370,AF369),AF369))*K360</f>
        <v>0</v>
      </c>
      <c r="AG368" s="759"/>
      <c r="AH368" s="756"/>
      <c r="AI368" s="321"/>
      <c r="AJ368" s="847">
        <f>IF(AJ363="",,AM368/100*qw/AJ363+AL368/100*qh/3.6/AJ363)</f>
        <v>0</v>
      </c>
      <c r="AK368" s="756"/>
      <c r="AL368" s="756">
        <f>IF(AL369&lt;&gt;0,AL369,AL370)*J360</f>
        <v>0</v>
      </c>
      <c r="AM368" s="756">
        <f>IF(AND(AM370&lt;&gt;0,AM369=0),AM370,IF(AM370&lt;&gt;0,MIN(AM370,AM369),AM369))*K360</f>
        <v>0</v>
      </c>
    </row>
    <row r="369" spans="1:39">
      <c r="A369" s="757">
        <v>360</v>
      </c>
      <c r="B369" s="789" t="s">
        <v>652</v>
      </c>
      <c r="C369" s="813" t="s">
        <v>410</v>
      </c>
      <c r="D369" s="795"/>
      <c r="E369" s="786"/>
      <c r="F369" s="792"/>
      <c r="G369" s="303"/>
      <c r="H369" s="318"/>
      <c r="J369" s="803"/>
      <c r="K369" s="804"/>
      <c r="M369" s="758"/>
      <c r="N369" s="321"/>
      <c r="O369" s="845">
        <f>IF(O361=0,,(Q368/100*qh/3.6+R368/100*qw))</f>
        <v>0</v>
      </c>
      <c r="P369" s="756"/>
      <c r="Q369" s="756"/>
      <c r="R369" s="756"/>
      <c r="S369" s="759"/>
      <c r="T369" s="756"/>
      <c r="U369" s="321"/>
      <c r="V369" s="845">
        <f>IF(V361=0,,(X368/100*qh/3.6+Y368/100*qw))</f>
        <v>0</v>
      </c>
      <c r="W369" s="756"/>
      <c r="X369" s="756"/>
      <c r="Y369" s="756"/>
      <c r="Z369" s="759"/>
      <c r="AA369" s="758"/>
      <c r="AB369" s="321"/>
      <c r="AC369" s="845">
        <f>IF(AC361=0,,(AE368/100*qh/3.6+AF368/100*qw))</f>
        <v>0</v>
      </c>
      <c r="AD369" s="756"/>
      <c r="AE369" s="756"/>
      <c r="AF369" s="756"/>
      <c r="AG369" s="759"/>
      <c r="AH369" s="758"/>
      <c r="AI369" s="321"/>
      <c r="AJ369" s="845">
        <f>IF(AJ361=0,,(AL368/100*qh/3.6+AM368/100*qw))</f>
        <v>0</v>
      </c>
      <c r="AK369" s="756"/>
      <c r="AL369" s="756"/>
      <c r="AM369" s="756"/>
    </row>
    <row r="370" spans="1:39">
      <c r="A370" s="757">
        <v>361</v>
      </c>
      <c r="B370" s="824"/>
      <c r="C370" s="836"/>
      <c r="D370" s="806"/>
      <c r="E370" s="806"/>
      <c r="F370" s="774"/>
      <c r="G370" s="319"/>
      <c r="H370" s="320"/>
      <c r="J370" s="807"/>
      <c r="K370" s="808"/>
      <c r="M370" s="756"/>
      <c r="N370" s="325"/>
      <c r="O370" s="858"/>
      <c r="P370" s="756"/>
      <c r="Q370" s="315">
        <f>Produzione!$K$18</f>
        <v>0</v>
      </c>
      <c r="R370" s="315">
        <f>Produzione!$L$18</f>
        <v>0</v>
      </c>
      <c r="S370" s="759"/>
      <c r="T370" s="756"/>
      <c r="U370" s="325"/>
      <c r="V370" s="325"/>
      <c r="W370" s="756"/>
      <c r="X370" s="315">
        <f>Produzione!$K$32</f>
        <v>0</v>
      </c>
      <c r="Y370" s="315">
        <f>Produzione!$L$32</f>
        <v>0</v>
      </c>
      <c r="Z370" s="759"/>
      <c r="AA370" s="756"/>
      <c r="AB370" s="325"/>
      <c r="AC370" s="325"/>
      <c r="AD370" s="756"/>
      <c r="AE370" s="315">
        <f>Produzione!$K$46</f>
        <v>0</v>
      </c>
      <c r="AF370" s="315">
        <f>Produzione!$L$46</f>
        <v>0</v>
      </c>
      <c r="AG370" s="759"/>
      <c r="AH370" s="756"/>
      <c r="AI370" s="325"/>
      <c r="AJ370" s="325"/>
      <c r="AK370" s="756"/>
      <c r="AL370" s="315">
        <f>Produzione!$K$60</f>
        <v>0</v>
      </c>
      <c r="AM370" s="315">
        <f>Produzione!$L$60</f>
        <v>0</v>
      </c>
    </row>
    <row r="371" spans="1:39">
      <c r="A371" s="757">
        <v>362</v>
      </c>
      <c r="B371" s="759"/>
      <c r="C371" s="833"/>
      <c r="D371" s="759"/>
      <c r="E371" s="759"/>
      <c r="F371" s="817"/>
      <c r="G371" s="759"/>
      <c r="H371" s="759"/>
      <c r="I371" s="759"/>
      <c r="J371" s="759"/>
      <c r="Q371" s="761" t="str">
        <f>IF(AND(R370&lt;&gt;0,R369=0),"",IF(R370&gt;R369,"tasso troppo alto",""))</f>
        <v/>
      </c>
      <c r="S371" s="759"/>
      <c r="X371" s="761" t="str">
        <f>IF(AND(Y370&lt;&gt;0,Y369=0),"",IF(Y370&gt;Y369,"tasso troppo alto",""))</f>
        <v/>
      </c>
      <c r="Z371" s="759"/>
      <c r="AE371" s="761" t="str">
        <f>IF(AND(AF370&lt;&gt;0,AF369=0),"",IF(AF370&gt;AF369,"tasso troppo alto",""))</f>
        <v/>
      </c>
      <c r="AG371" s="759"/>
      <c r="AL371" s="761" t="str">
        <f>IF(AND(AM370&lt;&gt;0,AM369=0),"",IF(AM370&gt;AM369,"tasso troppo alto",""))</f>
        <v/>
      </c>
    </row>
    <row r="372" spans="1:39">
      <c r="A372" s="757">
        <v>363</v>
      </c>
      <c r="B372" s="755"/>
      <c r="C372" s="834"/>
      <c r="D372" s="762"/>
      <c r="E372" s="762"/>
      <c r="G372" s="762"/>
      <c r="H372" s="818"/>
      <c r="J372" s="762" t="s">
        <v>1620</v>
      </c>
      <c r="N372" s="762"/>
      <c r="O372" s="860"/>
      <c r="P372" s="759"/>
      <c r="Q372" s="762" t="s">
        <v>1620</v>
      </c>
      <c r="R372" s="759"/>
      <c r="S372" s="759"/>
      <c r="T372" s="759"/>
      <c r="U372" s="762"/>
      <c r="V372" s="769"/>
      <c r="W372" s="759"/>
      <c r="X372" s="762" t="s">
        <v>1620</v>
      </c>
      <c r="Y372" s="759"/>
      <c r="Z372" s="759"/>
      <c r="AA372" s="759"/>
      <c r="AB372" s="762"/>
      <c r="AC372" s="769"/>
      <c r="AD372" s="759"/>
      <c r="AE372" s="762" t="s">
        <v>1620</v>
      </c>
      <c r="AF372" s="759"/>
      <c r="AG372" s="759"/>
      <c r="AH372" s="759"/>
      <c r="AI372" s="762"/>
      <c r="AJ372" s="769"/>
      <c r="AK372" s="759"/>
      <c r="AL372" s="762" t="s">
        <v>1620</v>
      </c>
      <c r="AM372" s="759"/>
    </row>
    <row r="373" spans="1:39">
      <c r="A373" s="757">
        <v>364</v>
      </c>
      <c r="B373" s="772" t="str">
        <f>INDEX(Standardwerte!$V$6:$V$43,Rechnung!$C373,1)</f>
        <v>Pompa di calore, acqua sotterranea, indiretta, solo risc.</v>
      </c>
      <c r="C373" s="835">
        <v>27</v>
      </c>
      <c r="D373" s="819"/>
      <c r="E373" s="820"/>
      <c r="F373" s="821"/>
      <c r="G373" s="819"/>
      <c r="H373" s="822"/>
      <c r="J373" s="760" t="s">
        <v>525</v>
      </c>
      <c r="K373" s="756" t="s">
        <v>1622</v>
      </c>
      <c r="M373" s="756"/>
      <c r="N373" s="760"/>
      <c r="O373" s="852"/>
      <c r="P373" s="756"/>
      <c r="Q373" s="760" t="s">
        <v>525</v>
      </c>
      <c r="R373" s="756" t="s">
        <v>1622</v>
      </c>
      <c r="S373" s="759"/>
      <c r="T373" s="756"/>
      <c r="U373" s="760"/>
      <c r="V373" s="764"/>
      <c r="W373" s="756"/>
      <c r="X373" s="760" t="s">
        <v>525</v>
      </c>
      <c r="Y373" s="756" t="s">
        <v>1622</v>
      </c>
      <c r="Z373" s="759"/>
      <c r="AA373" s="756"/>
      <c r="AB373" s="760"/>
      <c r="AC373" s="764"/>
      <c r="AD373" s="756"/>
      <c r="AE373" s="760" t="s">
        <v>525</v>
      </c>
      <c r="AF373" s="756" t="s">
        <v>1622</v>
      </c>
      <c r="AG373" s="759"/>
      <c r="AH373" s="756"/>
      <c r="AI373" s="760"/>
      <c r="AJ373" s="764"/>
      <c r="AK373" s="756"/>
      <c r="AL373" s="760" t="s">
        <v>525</v>
      </c>
      <c r="AM373" s="756" t="s">
        <v>1622</v>
      </c>
    </row>
    <row r="374" spans="1:39">
      <c r="A374" s="757">
        <v>365</v>
      </c>
      <c r="B374" s="778" t="s">
        <v>526</v>
      </c>
      <c r="C374" s="830"/>
      <c r="D374" s="779"/>
      <c r="E374" s="312"/>
      <c r="F374" s="313">
        <f>INDEX($M$10:$AM$162,$A$10+(_typ1-1)*14,1)</f>
        <v>0</v>
      </c>
      <c r="G374" s="780"/>
      <c r="H374" s="781"/>
      <c r="J374" s="782">
        <f>INDEX(Standardwerte!$Y$6:$Z$43,$C373,2)</f>
        <v>1</v>
      </c>
      <c r="K374" s="783">
        <f>INDEX(Standardwerte!$Y$6:$Z$43,$C373,1)</f>
        <v>0</v>
      </c>
      <c r="M374" s="315">
        <f>Produzione!$G$8</f>
        <v>0</v>
      </c>
      <c r="N374" s="764"/>
      <c r="O374" s="852"/>
      <c r="P374" s="756"/>
      <c r="Q374" s="756"/>
      <c r="R374" s="756"/>
      <c r="S374" s="759"/>
      <c r="T374" s="315">
        <f>Produzione!$G$22</f>
        <v>0</v>
      </c>
      <c r="U374" s="764"/>
      <c r="V374" s="764"/>
      <c r="W374" s="756"/>
      <c r="X374" s="756"/>
      <c r="Y374" s="756"/>
      <c r="Z374" s="759"/>
      <c r="AA374" s="315">
        <f>Produzione!$G$36</f>
        <v>0</v>
      </c>
      <c r="AB374" s="764"/>
      <c r="AC374" s="764"/>
      <c r="AD374" s="756"/>
      <c r="AE374" s="756"/>
      <c r="AF374" s="756"/>
      <c r="AG374" s="759"/>
      <c r="AH374" s="315">
        <f>Produzione!$G$50</f>
        <v>0</v>
      </c>
      <c r="AI374" s="764"/>
      <c r="AJ374" s="764"/>
      <c r="AK374" s="756"/>
      <c r="AL374" s="756"/>
      <c r="AM374" s="756"/>
    </row>
    <row r="375" spans="1:39">
      <c r="A375" s="757">
        <v>366</v>
      </c>
      <c r="B375" s="784" t="s">
        <v>697</v>
      </c>
      <c r="C375" s="794" t="s">
        <v>776</v>
      </c>
      <c r="E375" s="786"/>
      <c r="F375" s="809">
        <f>INDEX(Standardwerte!$W$6:$W$43,$C373,1)</f>
        <v>2.7</v>
      </c>
      <c r="G375" s="787"/>
      <c r="H375" s="788"/>
      <c r="J375" s="782"/>
      <c r="K375" s="783"/>
      <c r="M375" s="315">
        <f>Produzione!$G$10</f>
        <v>0</v>
      </c>
      <c r="N375" s="764"/>
      <c r="O375" s="861">
        <f>F375</f>
        <v>2.7</v>
      </c>
      <c r="P375" s="756"/>
      <c r="Q375" s="756"/>
      <c r="R375" s="756"/>
      <c r="S375" s="759"/>
      <c r="T375" s="315">
        <f>Produzione!$G$24</f>
        <v>0</v>
      </c>
      <c r="U375" s="764"/>
      <c r="V375" s="28">
        <f>F375</f>
        <v>2.7</v>
      </c>
      <c r="W375" s="756"/>
      <c r="X375" s="756"/>
      <c r="Y375" s="756"/>
      <c r="Z375" s="759"/>
      <c r="AA375" s="315">
        <f>Produzione!$G$38</f>
        <v>0</v>
      </c>
      <c r="AB375" s="764"/>
      <c r="AC375" s="28">
        <f>F375</f>
        <v>2.7</v>
      </c>
      <c r="AD375" s="756"/>
      <c r="AE375" s="756"/>
      <c r="AF375" s="756"/>
      <c r="AG375" s="759"/>
      <c r="AH375" s="315">
        <f>Produzione!$G$52</f>
        <v>0</v>
      </c>
      <c r="AI375" s="764"/>
      <c r="AJ375" s="28">
        <f>F375</f>
        <v>2.7</v>
      </c>
      <c r="AK375" s="756"/>
      <c r="AL375" s="756"/>
      <c r="AM375" s="756"/>
    </row>
    <row r="376" spans="1:39">
      <c r="A376" s="757">
        <v>367</v>
      </c>
      <c r="B376" s="789" t="s">
        <v>698</v>
      </c>
      <c r="C376" s="794" t="s">
        <v>776</v>
      </c>
      <c r="D376" s="786"/>
      <c r="E376" s="786"/>
      <c r="F376" s="1344"/>
      <c r="G376" s="792"/>
      <c r="H376" s="793"/>
      <c r="J376" s="782"/>
      <c r="K376" s="783"/>
      <c r="L376" s="770">
        <v>1</v>
      </c>
      <c r="M376" s="756"/>
      <c r="N376" s="766"/>
      <c r="O376" s="854"/>
      <c r="P376" s="756"/>
      <c r="Q376" s="756"/>
      <c r="R376" s="756"/>
      <c r="S376" s="759"/>
      <c r="T376" s="756"/>
      <c r="U376" s="766"/>
      <c r="V376" s="767"/>
      <c r="W376" s="756"/>
      <c r="X376" s="756"/>
      <c r="Y376" s="756"/>
      <c r="Z376" s="759"/>
      <c r="AA376" s="756"/>
      <c r="AB376" s="766"/>
      <c r="AC376" s="767"/>
      <c r="AD376" s="756"/>
      <c r="AE376" s="756"/>
      <c r="AF376" s="756"/>
      <c r="AG376" s="759"/>
      <c r="AH376" s="756"/>
      <c r="AI376" s="766"/>
      <c r="AJ376" s="767"/>
      <c r="AK376" s="756"/>
      <c r="AL376" s="756"/>
      <c r="AM376" s="756"/>
    </row>
    <row r="377" spans="1:39">
      <c r="A377" s="757">
        <v>368</v>
      </c>
      <c r="B377" s="789" t="s">
        <v>699</v>
      </c>
      <c r="C377" s="794" t="s">
        <v>776</v>
      </c>
      <c r="D377" s="786"/>
      <c r="E377" s="786"/>
      <c r="F377" s="791"/>
      <c r="G377" s="303"/>
      <c r="H377" s="316"/>
      <c r="J377" s="782"/>
      <c r="K377" s="783"/>
      <c r="M377" s="756"/>
      <c r="N377" s="321"/>
      <c r="O377" s="855" t="str">
        <f>IF(M375&lt;&gt;0,M375,IF(Produzione!$E$10&lt;&gt;"",Produzione!$E$10,Produzione!$G$9))</f>
        <v/>
      </c>
      <c r="P377" s="756"/>
      <c r="Q377" s="756"/>
      <c r="R377" s="756"/>
      <c r="S377" s="759"/>
      <c r="T377" s="756"/>
      <c r="U377" s="321"/>
      <c r="V377" s="322" t="str">
        <f>IF(T375&lt;&gt;0,T375,IF(Produzione!$E$24&lt;&gt;"",Produzione!$E$24,Produzione!$G$23))</f>
        <v/>
      </c>
      <c r="W377" s="756"/>
      <c r="X377" s="756"/>
      <c r="Y377" s="756"/>
      <c r="Z377" s="759"/>
      <c r="AA377" s="756"/>
      <c r="AB377" s="321"/>
      <c r="AC377" s="322" t="str">
        <f>IF(AA375&lt;&gt;0,AA375,IF(Produzione!$E$38&lt;&gt;"",Produzione!$E$38,Produzione!$G$37))</f>
        <v/>
      </c>
      <c r="AD377" s="756"/>
      <c r="AE377" s="756"/>
      <c r="AF377" s="756"/>
      <c r="AG377" s="759"/>
      <c r="AH377" s="756"/>
      <c r="AI377" s="321"/>
      <c r="AJ377" s="322" t="str">
        <f>IF(AH375&lt;&gt;0,AH375,IF(Produzione!$E$52&lt;&gt;"",Produzione!$E$52,Produzione!$G$51))</f>
        <v/>
      </c>
      <c r="AK377" s="756"/>
      <c r="AL377" s="756"/>
      <c r="AM377" s="756"/>
    </row>
    <row r="378" spans="1:39">
      <c r="A378" s="757">
        <v>369</v>
      </c>
      <c r="B378" s="789" t="s">
        <v>51</v>
      </c>
      <c r="C378" s="790" t="s">
        <v>761</v>
      </c>
      <c r="D378" s="787"/>
      <c r="E378" s="795"/>
      <c r="F378" s="1344"/>
      <c r="G378" s="796"/>
      <c r="H378" s="797"/>
      <c r="J378" s="782"/>
      <c r="K378" s="783"/>
      <c r="L378" s="770">
        <v>1</v>
      </c>
      <c r="M378" s="315">
        <f>Produzione!$G$12</f>
        <v>0</v>
      </c>
      <c r="N378" s="758"/>
      <c r="O378" s="854"/>
      <c r="P378" s="756"/>
      <c r="Q378" s="756"/>
      <c r="R378" s="756"/>
      <c r="S378" s="759"/>
      <c r="T378" s="315">
        <f>Produzione!$G$26</f>
        <v>0</v>
      </c>
      <c r="U378" s="758"/>
      <c r="V378" s="758"/>
      <c r="W378" s="756"/>
      <c r="X378" s="756"/>
      <c r="Y378" s="756"/>
      <c r="Z378" s="759"/>
      <c r="AA378" s="315">
        <f>Produzione!$G$40</f>
        <v>0</v>
      </c>
      <c r="AB378" s="758"/>
      <c r="AC378" s="758"/>
      <c r="AD378" s="756"/>
      <c r="AE378" s="756"/>
      <c r="AF378" s="756"/>
      <c r="AG378" s="759"/>
      <c r="AH378" s="315">
        <f>Produzione!$G$54</f>
        <v>0</v>
      </c>
      <c r="AI378" s="758"/>
      <c r="AJ378" s="758"/>
      <c r="AK378" s="756"/>
      <c r="AL378" s="756"/>
      <c r="AM378" s="756"/>
    </row>
    <row r="379" spans="1:39">
      <c r="A379" s="757">
        <v>370</v>
      </c>
      <c r="B379" s="789" t="str">
        <f>IF(J374=1,"fabbisogno di potenza termica dell'edificio","")</f>
        <v>fabbisogno di potenza termica dell'edificio</v>
      </c>
      <c r="C379" s="790" t="str">
        <f>IF(J374=1,"kW","")</f>
        <v>kW</v>
      </c>
      <c r="D379" s="796"/>
      <c r="E379" s="795"/>
      <c r="F379" s="1344"/>
      <c r="G379" s="787"/>
      <c r="H379" s="798"/>
      <c r="J379" s="782"/>
      <c r="K379" s="783"/>
      <c r="L379" s="770">
        <v>1</v>
      </c>
      <c r="M379" s="315">
        <f>Produzione!$G$13</f>
        <v>0</v>
      </c>
      <c r="N379" s="764"/>
      <c r="O379" s="852"/>
      <c r="P379" s="756"/>
      <c r="Q379" s="756"/>
      <c r="R379" s="756"/>
      <c r="S379" s="759"/>
      <c r="T379" s="315">
        <f>Produzione!$G$27</f>
        <v>0</v>
      </c>
      <c r="U379" s="764"/>
      <c r="V379" s="768"/>
      <c r="W379" s="756"/>
      <c r="X379" s="756"/>
      <c r="Y379" s="756"/>
      <c r="Z379" s="759"/>
      <c r="AA379" s="315">
        <f>Produzione!$G$41</f>
        <v>0</v>
      </c>
      <c r="AB379" s="764"/>
      <c r="AC379" s="768"/>
      <c r="AD379" s="756"/>
      <c r="AE379" s="756"/>
      <c r="AF379" s="756"/>
      <c r="AG379" s="759"/>
      <c r="AH379" s="315">
        <f>Produzione!$G$55</f>
        <v>0</v>
      </c>
      <c r="AI379" s="764"/>
      <c r="AJ379" s="768"/>
      <c r="AK379" s="756"/>
      <c r="AL379" s="756"/>
      <c r="AM379" s="756"/>
    </row>
    <row r="380" spans="1:39">
      <c r="A380" s="757">
        <v>371</v>
      </c>
      <c r="B380" s="799" t="str">
        <f>IF(J374=1,"Temperatura di mandata riscaldamento","")</f>
        <v>Temperatura di mandata riscaldamento</v>
      </c>
      <c r="C380" s="831" t="str">
        <f>IF(J374=1,"°C","")</f>
        <v>°C</v>
      </c>
      <c r="D380" s="786"/>
      <c r="E380" s="786"/>
      <c r="F380" s="1344"/>
      <c r="G380" s="787"/>
      <c r="H380" s="800"/>
      <c r="J380" s="782"/>
      <c r="K380" s="783"/>
      <c r="L380" s="770">
        <v>2</v>
      </c>
      <c r="M380" s="315">
        <f>Produzione!$G$14</f>
        <v>0</v>
      </c>
      <c r="N380" s="764"/>
      <c r="O380" s="852"/>
      <c r="P380" s="756"/>
      <c r="Q380" s="756"/>
      <c r="R380" s="756"/>
      <c r="S380" s="759"/>
      <c r="T380" s="315">
        <f>Produzione!$G$28</f>
        <v>0</v>
      </c>
      <c r="U380" s="764"/>
      <c r="V380" s="764"/>
      <c r="W380" s="756"/>
      <c r="X380" s="756"/>
      <c r="Y380" s="756"/>
      <c r="Z380" s="759"/>
      <c r="AA380" s="315">
        <f>Produzione!$G$42</f>
        <v>0</v>
      </c>
      <c r="AB380" s="764"/>
      <c r="AC380" s="764"/>
      <c r="AD380" s="756"/>
      <c r="AE380" s="756"/>
      <c r="AF380" s="756"/>
      <c r="AG380" s="759"/>
      <c r="AH380" s="315">
        <f>Produzione!$G$56</f>
        <v>0</v>
      </c>
      <c r="AI380" s="764"/>
      <c r="AJ380" s="764"/>
      <c r="AK380" s="756"/>
      <c r="AL380" s="756"/>
      <c r="AM380" s="756"/>
    </row>
    <row r="381" spans="1:39">
      <c r="A381" s="757">
        <v>372</v>
      </c>
      <c r="B381" s="799" t="str">
        <f>IF(AND(Warmwasser,K374=1),"Temperatura acqua calda sanitaria","")</f>
        <v/>
      </c>
      <c r="C381" s="831" t="str">
        <f>IF(AND(Warmwasser,K374=1),"°C","")</f>
        <v/>
      </c>
      <c r="D381" s="786"/>
      <c r="E381" s="786"/>
      <c r="F381" s="1344"/>
      <c r="G381" s="796"/>
      <c r="H381" s="788"/>
      <c r="J381" s="782"/>
      <c r="K381" s="783"/>
      <c r="M381" s="315">
        <f>Produzione!$G$15</f>
        <v>0</v>
      </c>
      <c r="N381" s="758"/>
      <c r="O381" s="853"/>
      <c r="P381" s="756"/>
      <c r="R381" s="756" t="str">
        <f>IF(AND($K374=0,R384&lt;&gt;0),"Riscald. ausgewählt",IF(AND($J374=0,Q370&gt;0),"Acqua calda ausgewählt",""))</f>
        <v/>
      </c>
      <c r="S381" s="759"/>
      <c r="T381" s="315">
        <f>Produzione!$G$29</f>
        <v>0</v>
      </c>
      <c r="U381" s="758"/>
      <c r="V381" s="765"/>
      <c r="W381" s="756"/>
      <c r="Y381" s="756" t="str">
        <f>IF(AND($K374=0,Y384&lt;&gt;0),"Riscald. ausgewählt",IF(AND($J374=0,X370&gt;0),"Acqua calda ausgewählt",""))</f>
        <v/>
      </c>
      <c r="Z381" s="759"/>
      <c r="AA381" s="315">
        <f>Produzione!$G$43</f>
        <v>0</v>
      </c>
      <c r="AB381" s="758"/>
      <c r="AC381" s="765"/>
      <c r="AD381" s="756"/>
      <c r="AF381" s="756" t="str">
        <f>IF(AND($K374=0,AF384&lt;&gt;0),"Riscald. ausgewählt",IF(AND($J374=0,AE370&gt;0),"Acqua calda ausgewählt",""))</f>
        <v/>
      </c>
      <c r="AG381" s="759"/>
      <c r="AH381" s="315">
        <f>Produzione!$G$57</f>
        <v>0</v>
      </c>
      <c r="AI381" s="758"/>
      <c r="AJ381" s="765"/>
      <c r="AK381" s="756"/>
      <c r="AM381" s="756" t="str">
        <f>IF(AND($K374=0,AM384&lt;&gt;0),"Riscald. ausgewählt",IF(AND($J374=0,AL370&gt;0),"Acqua calda ausgewählt",""))</f>
        <v/>
      </c>
    </row>
    <row r="382" spans="1:39">
      <c r="A382" s="757">
        <v>373</v>
      </c>
      <c r="B382" s="799" t="s">
        <v>1374</v>
      </c>
      <c r="C382" s="813" t="s">
        <v>410</v>
      </c>
      <c r="D382" s="795"/>
      <c r="E382" s="795"/>
      <c r="F382" s="791"/>
      <c r="G382" s="303"/>
      <c r="H382" s="317"/>
      <c r="J382" s="801"/>
      <c r="K382" s="802"/>
      <c r="M382" s="756"/>
      <c r="N382" s="321"/>
      <c r="O382" s="849">
        <f>IF(O377="",,R382/100*qw/O377+Q382/100*qh/3.6/O377)</f>
        <v>0</v>
      </c>
      <c r="P382" s="756"/>
      <c r="Q382" s="756">
        <f>IF(Q383&lt;&gt;0,Q383,Q384)*J374</f>
        <v>0</v>
      </c>
      <c r="R382" s="756">
        <f>IF(AND(R384&lt;&gt;0,R383=0),R384,IF(R384&lt;&gt;0,MIN(R384,R383),R383))*K374</f>
        <v>0</v>
      </c>
      <c r="S382" s="759"/>
      <c r="T382" s="756"/>
      <c r="U382" s="321"/>
      <c r="V382" s="847">
        <f>IF(V377="",,Y382/100*qw/V377+X382/100*qh/3.6/V377)</f>
        <v>0</v>
      </c>
      <c r="W382" s="756"/>
      <c r="X382" s="756">
        <f>IF(X383&lt;&gt;0,X383,X384)*J374</f>
        <v>0</v>
      </c>
      <c r="Y382" s="756">
        <f>IF(AND(Y384&lt;&gt;0,Y383=0),Y384,IF(Y384&lt;&gt;0,MIN(Y384,Y383),Y383))*K374</f>
        <v>0</v>
      </c>
      <c r="Z382" s="759"/>
      <c r="AA382" s="756"/>
      <c r="AB382" s="321"/>
      <c r="AC382" s="847">
        <f>IF(AC377="",,AF382/100*qw/AC377+AE382/100*qh/3.6/AC377)</f>
        <v>0</v>
      </c>
      <c r="AD382" s="756"/>
      <c r="AE382" s="756">
        <f>IF(AE383&lt;&gt;0,AE383,AE384)*J374</f>
        <v>0</v>
      </c>
      <c r="AF382" s="756">
        <f>IF(AND(AF384&lt;&gt;0,AF383=0),AF384,IF(AF384&lt;&gt;0,MIN(AF384,AF383),AF383))*K374</f>
        <v>0</v>
      </c>
      <c r="AG382" s="759"/>
      <c r="AH382" s="756"/>
      <c r="AI382" s="321"/>
      <c r="AJ382" s="847">
        <f>IF(AJ377="",,AM382/100*qw/AJ377+AL382/100*qh/3.6/AJ377)</f>
        <v>0</v>
      </c>
      <c r="AK382" s="756"/>
      <c r="AL382" s="756">
        <f>IF(AL383&lt;&gt;0,AL383,AL384)*J374</f>
        <v>0</v>
      </c>
      <c r="AM382" s="756">
        <f>IF(AND(AM384&lt;&gt;0,AM383=0),AM384,IF(AM384&lt;&gt;0,MIN(AM384,AM383),AM383))*K374</f>
        <v>0</v>
      </c>
    </row>
    <row r="383" spans="1:39">
      <c r="A383" s="757">
        <v>374</v>
      </c>
      <c r="B383" s="789" t="s">
        <v>652</v>
      </c>
      <c r="C383" s="813" t="s">
        <v>410</v>
      </c>
      <c r="D383" s="795"/>
      <c r="E383" s="786"/>
      <c r="F383" s="792"/>
      <c r="G383" s="303"/>
      <c r="H383" s="318"/>
      <c r="J383" s="803"/>
      <c r="K383" s="804"/>
      <c r="M383" s="758"/>
      <c r="N383" s="321"/>
      <c r="O383" s="845">
        <f>IF(O375=0,,(Q382/100*qh/3.6+R382/100*qw))</f>
        <v>0</v>
      </c>
      <c r="P383" s="756"/>
      <c r="Q383" s="756"/>
      <c r="R383" s="756"/>
      <c r="S383" s="759"/>
      <c r="T383" s="756"/>
      <c r="U383" s="321"/>
      <c r="V383" s="845">
        <f>IF(V375=0,,(X382/100*qh/3.6+Y382/100*qw))</f>
        <v>0</v>
      </c>
      <c r="W383" s="756"/>
      <c r="X383" s="756"/>
      <c r="Y383" s="756"/>
      <c r="Z383" s="759"/>
      <c r="AA383" s="758"/>
      <c r="AB383" s="321"/>
      <c r="AC383" s="845">
        <f>IF(AC375=0,,(AE382/100*qh/3.6+AF382/100*qw))</f>
        <v>0</v>
      </c>
      <c r="AD383" s="756"/>
      <c r="AE383" s="756"/>
      <c r="AF383" s="756"/>
      <c r="AG383" s="759"/>
      <c r="AH383" s="758"/>
      <c r="AI383" s="321"/>
      <c r="AJ383" s="845">
        <f>IF(AJ375=0,,(AL382/100*qh/3.6+AM382/100*qw))</f>
        <v>0</v>
      </c>
      <c r="AK383" s="756"/>
      <c r="AL383" s="756"/>
      <c r="AM383" s="756"/>
    </row>
    <row r="384" spans="1:39">
      <c r="A384" s="757">
        <v>375</v>
      </c>
      <c r="B384" s="824"/>
      <c r="C384" s="836"/>
      <c r="D384" s="806"/>
      <c r="E384" s="806"/>
      <c r="F384" s="774"/>
      <c r="G384" s="319"/>
      <c r="H384" s="320"/>
      <c r="J384" s="807"/>
      <c r="K384" s="808"/>
      <c r="M384" s="756"/>
      <c r="N384" s="325"/>
      <c r="O384" s="858"/>
      <c r="P384" s="756"/>
      <c r="Q384" s="315">
        <f>Produzione!$K$18</f>
        <v>0</v>
      </c>
      <c r="R384" s="315">
        <f>Produzione!$L$18</f>
        <v>0</v>
      </c>
      <c r="S384" s="759"/>
      <c r="T384" s="756"/>
      <c r="U384" s="325"/>
      <c r="V384" s="325"/>
      <c r="W384" s="756"/>
      <c r="X384" s="315">
        <f>Produzione!$K$32</f>
        <v>0</v>
      </c>
      <c r="Y384" s="315">
        <f>Produzione!$L$32</f>
        <v>0</v>
      </c>
      <c r="Z384" s="759"/>
      <c r="AA384" s="756"/>
      <c r="AB384" s="325"/>
      <c r="AC384" s="325"/>
      <c r="AD384" s="756"/>
      <c r="AE384" s="315">
        <f>Produzione!$K$46</f>
        <v>0</v>
      </c>
      <c r="AF384" s="315">
        <f>Produzione!$L$46</f>
        <v>0</v>
      </c>
      <c r="AG384" s="759"/>
      <c r="AH384" s="756"/>
      <c r="AI384" s="325"/>
      <c r="AJ384" s="325"/>
      <c r="AK384" s="756"/>
      <c r="AL384" s="315">
        <f>Produzione!$K$60</f>
        <v>0</v>
      </c>
      <c r="AM384" s="315">
        <f>Produzione!$L$60</f>
        <v>0</v>
      </c>
    </row>
    <row r="385" spans="1:39">
      <c r="A385" s="757">
        <v>376</v>
      </c>
      <c r="B385" s="759"/>
      <c r="C385" s="833"/>
      <c r="D385" s="759"/>
      <c r="E385" s="759"/>
      <c r="F385" s="817"/>
      <c r="G385" s="759"/>
      <c r="H385" s="759"/>
      <c r="I385" s="759"/>
      <c r="J385" s="759"/>
      <c r="Q385" s="761" t="str">
        <f>IF(AND(R384&lt;&gt;0,R383=0),"",IF(R384&gt;R383,"tasso troppo alto",""))</f>
        <v/>
      </c>
      <c r="S385" s="759"/>
      <c r="X385" s="761" t="str">
        <f>IF(AND(Y384&lt;&gt;0,Y383=0),"",IF(Y384&gt;Y383,"tasso troppo alto",""))</f>
        <v/>
      </c>
      <c r="Z385" s="759"/>
      <c r="AE385" s="761" t="str">
        <f>IF(AND(AF384&lt;&gt;0,AF383=0),"",IF(AF384&gt;AF383,"tasso troppo alto",""))</f>
        <v/>
      </c>
      <c r="AG385" s="759"/>
      <c r="AL385" s="761" t="str">
        <f>IF(AND(AM384&lt;&gt;0,AM383=0),"",IF(AM384&gt;AM383,"tasso troppo alto",""))</f>
        <v/>
      </c>
    </row>
    <row r="386" spans="1:39">
      <c r="A386" s="757">
        <v>377</v>
      </c>
      <c r="B386" s="755"/>
      <c r="C386" s="834"/>
      <c r="D386" s="762"/>
      <c r="E386" s="762"/>
      <c r="G386" s="762"/>
      <c r="H386" s="818"/>
      <c r="J386" s="762" t="s">
        <v>1620</v>
      </c>
      <c r="N386" s="762"/>
      <c r="O386" s="860"/>
      <c r="P386" s="759"/>
      <c r="Q386" s="762" t="s">
        <v>1620</v>
      </c>
      <c r="R386" s="759"/>
      <c r="S386" s="759"/>
      <c r="T386" s="759"/>
      <c r="U386" s="762"/>
      <c r="V386" s="769"/>
      <c r="W386" s="759"/>
      <c r="X386" s="762" t="s">
        <v>1620</v>
      </c>
      <c r="Y386" s="759"/>
      <c r="Z386" s="759"/>
      <c r="AA386" s="759"/>
      <c r="AB386" s="762"/>
      <c r="AC386" s="769"/>
      <c r="AD386" s="759"/>
      <c r="AE386" s="762" t="s">
        <v>1620</v>
      </c>
      <c r="AF386" s="759"/>
      <c r="AG386" s="759"/>
      <c r="AH386" s="759"/>
      <c r="AI386" s="762"/>
      <c r="AJ386" s="769"/>
      <c r="AK386" s="759"/>
      <c r="AL386" s="762" t="s">
        <v>1620</v>
      </c>
      <c r="AM386" s="759"/>
    </row>
    <row r="387" spans="1:39">
      <c r="A387" s="757">
        <v>378</v>
      </c>
      <c r="B387" s="772" t="str">
        <f>INDEX(Standardwerte!$V$6:$V$43,Rechnung!$C387,1)</f>
        <v>Pompa di calore, acqua sotterranea, indiretta, solo AC</v>
      </c>
      <c r="C387" s="835">
        <v>28</v>
      </c>
      <c r="D387" s="819"/>
      <c r="E387" s="820"/>
      <c r="F387" s="821"/>
      <c r="G387" s="819"/>
      <c r="H387" s="822"/>
      <c r="J387" s="760" t="s">
        <v>525</v>
      </c>
      <c r="K387" s="756" t="s">
        <v>1622</v>
      </c>
      <c r="M387" s="756"/>
      <c r="N387" s="760"/>
      <c r="O387" s="852"/>
      <c r="P387" s="756"/>
      <c r="Q387" s="760" t="s">
        <v>525</v>
      </c>
      <c r="R387" s="756" t="s">
        <v>1622</v>
      </c>
      <c r="S387" s="759"/>
      <c r="T387" s="756"/>
      <c r="U387" s="760"/>
      <c r="V387" s="764"/>
      <c r="W387" s="756"/>
      <c r="X387" s="760" t="s">
        <v>525</v>
      </c>
      <c r="Y387" s="756" t="s">
        <v>1622</v>
      </c>
      <c r="Z387" s="759"/>
      <c r="AA387" s="756"/>
      <c r="AB387" s="760"/>
      <c r="AC387" s="764"/>
      <c r="AD387" s="756"/>
      <c r="AE387" s="760" t="s">
        <v>525</v>
      </c>
      <c r="AF387" s="756" t="s">
        <v>1622</v>
      </c>
      <c r="AG387" s="759"/>
      <c r="AH387" s="756"/>
      <c r="AI387" s="760"/>
      <c r="AJ387" s="764"/>
      <c r="AK387" s="756"/>
      <c r="AL387" s="760" t="s">
        <v>525</v>
      </c>
      <c r="AM387" s="756" t="s">
        <v>1622</v>
      </c>
    </row>
    <row r="388" spans="1:39">
      <c r="A388" s="757">
        <v>379</v>
      </c>
      <c r="B388" s="778" t="s">
        <v>526</v>
      </c>
      <c r="C388" s="830"/>
      <c r="D388" s="779"/>
      <c r="E388" s="312"/>
      <c r="F388" s="313">
        <f>INDEX($M$10:$AM$162,$A$10+(_typ1-1)*14,1)</f>
        <v>0</v>
      </c>
      <c r="G388" s="780"/>
      <c r="H388" s="781"/>
      <c r="J388" s="782">
        <f>INDEX(Standardwerte!$Y$6:$Z$43,$C387,2)</f>
        <v>0</v>
      </c>
      <c r="K388" s="783">
        <f>INDEX(Standardwerte!$Y$6:$Z$43,$C387,1)</f>
        <v>1</v>
      </c>
      <c r="M388" s="315">
        <f>Produzione!$G$8</f>
        <v>0</v>
      </c>
      <c r="N388" s="764"/>
      <c r="O388" s="852"/>
      <c r="P388" s="756"/>
      <c r="Q388" s="756"/>
      <c r="R388" s="756"/>
      <c r="S388" s="759"/>
      <c r="T388" s="315">
        <f>Produzione!$G$22</f>
        <v>0</v>
      </c>
      <c r="U388" s="764"/>
      <c r="V388" s="764"/>
      <c r="W388" s="756"/>
      <c r="X388" s="756"/>
      <c r="Y388" s="756"/>
      <c r="Z388" s="759"/>
      <c r="AA388" s="315">
        <f>Produzione!$G$36</f>
        <v>0</v>
      </c>
      <c r="AB388" s="764"/>
      <c r="AC388" s="764"/>
      <c r="AD388" s="756"/>
      <c r="AE388" s="756"/>
      <c r="AF388" s="756"/>
      <c r="AG388" s="759"/>
      <c r="AH388" s="315">
        <f>Produzione!$G$50</f>
        <v>0</v>
      </c>
      <c r="AI388" s="764"/>
      <c r="AJ388" s="764"/>
      <c r="AK388" s="756"/>
      <c r="AL388" s="756"/>
      <c r="AM388" s="756"/>
    </row>
    <row r="389" spans="1:39">
      <c r="A389" s="757">
        <v>380</v>
      </c>
      <c r="B389" s="784" t="s">
        <v>697</v>
      </c>
      <c r="C389" s="794" t="s">
        <v>776</v>
      </c>
      <c r="E389" s="786"/>
      <c r="F389" s="809">
        <f>INDEX(Standardwerte!$W$6:$W$43,$C387,1)</f>
        <v>2.7</v>
      </c>
      <c r="G389" s="787"/>
      <c r="H389" s="788"/>
      <c r="J389" s="782"/>
      <c r="K389" s="783"/>
      <c r="M389" s="315">
        <f>Produzione!$G$10</f>
        <v>0</v>
      </c>
      <c r="N389" s="764"/>
      <c r="O389" s="861">
        <f>F389</f>
        <v>2.7</v>
      </c>
      <c r="P389" s="756"/>
      <c r="Q389" s="756"/>
      <c r="R389" s="756"/>
      <c r="S389" s="759"/>
      <c r="T389" s="315">
        <f>Produzione!$G$24</f>
        <v>0</v>
      </c>
      <c r="U389" s="764"/>
      <c r="V389" s="28">
        <f>F389</f>
        <v>2.7</v>
      </c>
      <c r="W389" s="756"/>
      <c r="X389" s="756"/>
      <c r="Y389" s="756"/>
      <c r="Z389" s="759"/>
      <c r="AA389" s="315">
        <f>Produzione!$G$38</f>
        <v>0</v>
      </c>
      <c r="AB389" s="764"/>
      <c r="AC389" s="28">
        <f>F389</f>
        <v>2.7</v>
      </c>
      <c r="AD389" s="756"/>
      <c r="AE389" s="756"/>
      <c r="AF389" s="756"/>
      <c r="AG389" s="759"/>
      <c r="AH389" s="315">
        <f>Produzione!$G$52</f>
        <v>0</v>
      </c>
      <c r="AI389" s="764"/>
      <c r="AJ389" s="28">
        <f>F389</f>
        <v>2.7</v>
      </c>
      <c r="AK389" s="756"/>
      <c r="AL389" s="756"/>
      <c r="AM389" s="756"/>
    </row>
    <row r="390" spans="1:39">
      <c r="A390" s="757">
        <v>381</v>
      </c>
      <c r="B390" s="789" t="s">
        <v>698</v>
      </c>
      <c r="C390" s="794" t="s">
        <v>776</v>
      </c>
      <c r="D390" s="786"/>
      <c r="E390" s="786"/>
      <c r="F390" s="1344"/>
      <c r="G390" s="792"/>
      <c r="H390" s="793"/>
      <c r="J390" s="782"/>
      <c r="K390" s="783"/>
      <c r="L390" s="770">
        <v>1</v>
      </c>
      <c r="M390" s="756"/>
      <c r="N390" s="766"/>
      <c r="O390" s="854"/>
      <c r="P390" s="756"/>
      <c r="Q390" s="756"/>
      <c r="R390" s="756"/>
      <c r="S390" s="759"/>
      <c r="T390" s="756"/>
      <c r="U390" s="766"/>
      <c r="V390" s="767"/>
      <c r="W390" s="756"/>
      <c r="X390" s="756"/>
      <c r="Y390" s="756"/>
      <c r="Z390" s="759"/>
      <c r="AA390" s="756"/>
      <c r="AB390" s="766"/>
      <c r="AC390" s="767"/>
      <c r="AD390" s="756"/>
      <c r="AE390" s="756"/>
      <c r="AF390" s="756"/>
      <c r="AG390" s="759"/>
      <c r="AH390" s="756"/>
      <c r="AI390" s="766"/>
      <c r="AJ390" s="767"/>
      <c r="AK390" s="756"/>
      <c r="AL390" s="756"/>
      <c r="AM390" s="756"/>
    </row>
    <row r="391" spans="1:39">
      <c r="A391" s="757">
        <v>382</v>
      </c>
      <c r="B391" s="789" t="s">
        <v>699</v>
      </c>
      <c r="C391" s="794" t="s">
        <v>776</v>
      </c>
      <c r="D391" s="786"/>
      <c r="E391" s="786"/>
      <c r="F391" s="791"/>
      <c r="G391" s="303"/>
      <c r="H391" s="316"/>
      <c r="J391" s="782"/>
      <c r="K391" s="783"/>
      <c r="M391" s="756"/>
      <c r="N391" s="321"/>
      <c r="O391" s="855" t="str">
        <f>IF(M389&lt;&gt;0,M389,IF(Produzione!$E$10&lt;&gt;"",Produzione!$E$10,Produzione!$G$9))</f>
        <v/>
      </c>
      <c r="P391" s="756"/>
      <c r="Q391" s="756"/>
      <c r="R391" s="756"/>
      <c r="S391" s="759"/>
      <c r="T391" s="756"/>
      <c r="U391" s="321"/>
      <c r="V391" s="322" t="str">
        <f>IF(T389&lt;&gt;0,T389,IF(Produzione!$E$24&lt;&gt;"",Produzione!$E$24,Produzione!$G$23))</f>
        <v/>
      </c>
      <c r="W391" s="756"/>
      <c r="X391" s="756"/>
      <c r="Y391" s="756"/>
      <c r="Z391" s="759"/>
      <c r="AA391" s="756"/>
      <c r="AB391" s="321"/>
      <c r="AC391" s="322" t="str">
        <f>IF(AA389&lt;&gt;0,AA389,IF(Produzione!$E$38&lt;&gt;"",Produzione!$E$38,Produzione!$G$37))</f>
        <v/>
      </c>
      <c r="AD391" s="756"/>
      <c r="AE391" s="756"/>
      <c r="AF391" s="756"/>
      <c r="AG391" s="759"/>
      <c r="AH391" s="756"/>
      <c r="AI391" s="321"/>
      <c r="AJ391" s="322" t="str">
        <f>IF(AH389&lt;&gt;0,AH389,IF(Produzione!$E$52&lt;&gt;"",Produzione!$E$52,Produzione!$G$51))</f>
        <v/>
      </c>
      <c r="AK391" s="756"/>
      <c r="AL391" s="756"/>
      <c r="AM391" s="756"/>
    </row>
    <row r="392" spans="1:39">
      <c r="A392" s="757">
        <v>383</v>
      </c>
      <c r="B392" s="789" t="s">
        <v>51</v>
      </c>
      <c r="C392" s="790" t="s">
        <v>761</v>
      </c>
      <c r="D392" s="787"/>
      <c r="E392" s="795"/>
      <c r="F392" s="1344"/>
      <c r="G392" s="796"/>
      <c r="H392" s="797"/>
      <c r="J392" s="782"/>
      <c r="K392" s="783"/>
      <c r="L392" s="770">
        <v>1</v>
      </c>
      <c r="M392" s="315">
        <f>Produzione!$G$12</f>
        <v>0</v>
      </c>
      <c r="N392" s="758"/>
      <c r="O392" s="854"/>
      <c r="P392" s="756"/>
      <c r="Q392" s="756"/>
      <c r="R392" s="756"/>
      <c r="S392" s="759"/>
      <c r="T392" s="315">
        <f>Produzione!$G$26</f>
        <v>0</v>
      </c>
      <c r="U392" s="758"/>
      <c r="V392" s="758"/>
      <c r="W392" s="756"/>
      <c r="X392" s="756"/>
      <c r="Y392" s="756"/>
      <c r="Z392" s="759"/>
      <c r="AA392" s="315">
        <f>Produzione!$G$40</f>
        <v>0</v>
      </c>
      <c r="AB392" s="758"/>
      <c r="AC392" s="758"/>
      <c r="AD392" s="756"/>
      <c r="AE392" s="756"/>
      <c r="AF392" s="756"/>
      <c r="AG392" s="759"/>
      <c r="AH392" s="315">
        <f>Produzione!$G$54</f>
        <v>0</v>
      </c>
      <c r="AI392" s="758"/>
      <c r="AJ392" s="758"/>
      <c r="AK392" s="756"/>
      <c r="AL392" s="756"/>
      <c r="AM392" s="756"/>
    </row>
    <row r="393" spans="1:39">
      <c r="A393" s="757">
        <v>384</v>
      </c>
      <c r="B393" s="789" t="str">
        <f>IF(J388=1,"fabbisogno di potenza termica dell'edificio","")</f>
        <v/>
      </c>
      <c r="C393" s="790" t="str">
        <f>IF(J388=1,"kW","")</f>
        <v/>
      </c>
      <c r="D393" s="796"/>
      <c r="E393" s="795"/>
      <c r="F393" s="1344"/>
      <c r="G393" s="787"/>
      <c r="H393" s="798"/>
      <c r="J393" s="782"/>
      <c r="K393" s="783"/>
      <c r="L393" s="770">
        <v>1</v>
      </c>
      <c r="M393" s="315">
        <f>Produzione!$G$13</f>
        <v>0</v>
      </c>
      <c r="N393" s="764"/>
      <c r="O393" s="852"/>
      <c r="P393" s="756"/>
      <c r="Q393" s="756"/>
      <c r="R393" s="756"/>
      <c r="S393" s="759"/>
      <c r="T393" s="315">
        <f>Produzione!$G$27</f>
        <v>0</v>
      </c>
      <c r="U393" s="764"/>
      <c r="V393" s="768"/>
      <c r="W393" s="756"/>
      <c r="X393" s="756"/>
      <c r="Y393" s="756"/>
      <c r="Z393" s="759"/>
      <c r="AA393" s="315">
        <f>Produzione!$G$41</f>
        <v>0</v>
      </c>
      <c r="AB393" s="764"/>
      <c r="AC393" s="768"/>
      <c r="AD393" s="756"/>
      <c r="AE393" s="756"/>
      <c r="AF393" s="756"/>
      <c r="AG393" s="759"/>
      <c r="AH393" s="315">
        <f>Produzione!$G$55</f>
        <v>0</v>
      </c>
      <c r="AI393" s="764"/>
      <c r="AJ393" s="768"/>
      <c r="AK393" s="756"/>
      <c r="AL393" s="756"/>
      <c r="AM393" s="756"/>
    </row>
    <row r="394" spans="1:39">
      <c r="A394" s="757">
        <v>385</v>
      </c>
      <c r="B394" s="799" t="str">
        <f>IF(J388=1,"Temperatura di mandata riscaldamento","")</f>
        <v/>
      </c>
      <c r="C394" s="831" t="str">
        <f>IF(J388=1,"°C","")</f>
        <v/>
      </c>
      <c r="D394" s="786"/>
      <c r="E394" s="786"/>
      <c r="F394" s="1344"/>
      <c r="G394" s="787"/>
      <c r="H394" s="800"/>
      <c r="J394" s="782"/>
      <c r="K394" s="783"/>
      <c r="M394" s="315">
        <f>Produzione!$G$14</f>
        <v>0</v>
      </c>
      <c r="N394" s="764"/>
      <c r="O394" s="852"/>
      <c r="P394" s="756"/>
      <c r="Q394" s="756"/>
      <c r="R394" s="756"/>
      <c r="S394" s="759"/>
      <c r="T394" s="315">
        <f>Produzione!$G$28</f>
        <v>0</v>
      </c>
      <c r="U394" s="764"/>
      <c r="V394" s="764"/>
      <c r="W394" s="756"/>
      <c r="X394" s="756"/>
      <c r="Y394" s="756"/>
      <c r="Z394" s="759"/>
      <c r="AA394" s="315">
        <f>Produzione!$G$42</f>
        <v>0</v>
      </c>
      <c r="AB394" s="764"/>
      <c r="AC394" s="764"/>
      <c r="AD394" s="756"/>
      <c r="AE394" s="756"/>
      <c r="AF394" s="756"/>
      <c r="AG394" s="759"/>
      <c r="AH394" s="315">
        <f>Produzione!$G$56</f>
        <v>0</v>
      </c>
      <c r="AI394" s="764"/>
      <c r="AJ394" s="764"/>
      <c r="AK394" s="756"/>
      <c r="AL394" s="756"/>
      <c r="AM394" s="756"/>
    </row>
    <row r="395" spans="1:39">
      <c r="A395" s="757">
        <v>386</v>
      </c>
      <c r="B395" s="799" t="str">
        <f>IF(AND(Warmwasser,K388=1),"Temperatura acqua calda sanitaria","")</f>
        <v/>
      </c>
      <c r="C395" s="831" t="str">
        <f>IF(AND(Warmwasser,K388=1),"°C","")</f>
        <v/>
      </c>
      <c r="D395" s="786"/>
      <c r="E395" s="786"/>
      <c r="F395" s="1344"/>
      <c r="G395" s="796"/>
      <c r="H395" s="788"/>
      <c r="J395" s="782"/>
      <c r="K395" s="783"/>
      <c r="L395" s="770">
        <v>2</v>
      </c>
      <c r="M395" s="315">
        <f>Produzione!$G$15</f>
        <v>0</v>
      </c>
      <c r="N395" s="758"/>
      <c r="O395" s="853"/>
      <c r="P395" s="756"/>
      <c r="R395" s="756" t="str">
        <f>IF(AND($K388=0,R398&lt;&gt;0),"scelto riscald.",IF(AND($J388=0,Q384&gt;0),"scelta acqua calda",""))</f>
        <v/>
      </c>
      <c r="S395" s="759"/>
      <c r="T395" s="315">
        <f>Produzione!$G$29</f>
        <v>0</v>
      </c>
      <c r="U395" s="758"/>
      <c r="V395" s="765"/>
      <c r="W395" s="756"/>
      <c r="Y395" s="756" t="str">
        <f>IF(AND($K388=0,Y398&lt;&gt;0),"Riscald. ausgewählt",IF(AND($J388=0,X384&gt;0),"Acqua calda ausgewählt",""))</f>
        <v/>
      </c>
      <c r="Z395" s="759"/>
      <c r="AA395" s="315">
        <f>Produzione!$G$43</f>
        <v>0</v>
      </c>
      <c r="AB395" s="758"/>
      <c r="AC395" s="765"/>
      <c r="AD395" s="756"/>
      <c r="AF395" s="756" t="str">
        <f>IF(AND($K388=0,AF398&lt;&gt;0),"Riscald. ausgewählt",IF(AND($J388=0,AE384&gt;0),"Acqua calda ausgewählt",""))</f>
        <v/>
      </c>
      <c r="AG395" s="759"/>
      <c r="AH395" s="315">
        <f>Produzione!$G$57</f>
        <v>0</v>
      </c>
      <c r="AI395" s="758"/>
      <c r="AJ395" s="765"/>
      <c r="AK395" s="756"/>
      <c r="AM395" s="756" t="str">
        <f>IF(AND($K388=0,AM398&lt;&gt;0),"Riscald. ausgewählt",IF(AND($J388=0,AL384&gt;0),"Acqua calda ausgewählt",""))</f>
        <v/>
      </c>
    </row>
    <row r="396" spans="1:39">
      <c r="A396" s="757">
        <v>387</v>
      </c>
      <c r="B396" s="799" t="s">
        <v>1374</v>
      </c>
      <c r="C396" s="813" t="s">
        <v>410</v>
      </c>
      <c r="D396" s="795"/>
      <c r="E396" s="795"/>
      <c r="F396" s="791"/>
      <c r="G396" s="303"/>
      <c r="H396" s="317"/>
      <c r="J396" s="801"/>
      <c r="K396" s="802"/>
      <c r="M396" s="756"/>
      <c r="N396" s="321"/>
      <c r="O396" s="849">
        <f>IF(O391="",,R396/100*qw/O391+Q396/100*qh/3.6/O391)</f>
        <v>0</v>
      </c>
      <c r="P396" s="756"/>
      <c r="Q396" s="756">
        <f>IF(Q397&lt;&gt;0,Q397,Q398)*J388</f>
        <v>0</v>
      </c>
      <c r="R396" s="756">
        <f>IF(AND(R398&lt;&gt;0,R397=0),R398,IF(R398&lt;&gt;0,MIN(R398,R397),R397))*K388</f>
        <v>0</v>
      </c>
      <c r="S396" s="759"/>
      <c r="T396" s="756"/>
      <c r="U396" s="321"/>
      <c r="V396" s="847">
        <f>IF(V391="",,Y396/100*qw/V391+X396/100*qh/3.6/V391)</f>
        <v>0</v>
      </c>
      <c r="W396" s="756"/>
      <c r="X396" s="756">
        <f>IF(X397&lt;&gt;0,X397,X398)*J388</f>
        <v>0</v>
      </c>
      <c r="Y396" s="756">
        <f>IF(AND(Y398&lt;&gt;0,Y397=0),Y398,IF(Y398&lt;&gt;0,MIN(Y398,Y397),Y397))*K388</f>
        <v>0</v>
      </c>
      <c r="Z396" s="759"/>
      <c r="AA396" s="756"/>
      <c r="AB396" s="321"/>
      <c r="AC396" s="847">
        <f>IF(AC391="",,AF396/100*qw/AC391+AE396/100*qh/3.6/AC391)</f>
        <v>0</v>
      </c>
      <c r="AD396" s="756"/>
      <c r="AE396" s="756">
        <f>IF(AE397&lt;&gt;0,AE397,AE398)*J388</f>
        <v>0</v>
      </c>
      <c r="AF396" s="756">
        <f>IF(AND(AF398&lt;&gt;0,AF397=0),AF398,IF(AF398&lt;&gt;0,MIN(AF398,AF397),AF397))*K388</f>
        <v>0</v>
      </c>
      <c r="AG396" s="759"/>
      <c r="AH396" s="756"/>
      <c r="AI396" s="321"/>
      <c r="AJ396" s="847">
        <f>IF(AJ391="",,AM396/100*qw/AJ391+AL396/100*qh/3.6/AJ391)</f>
        <v>0</v>
      </c>
      <c r="AK396" s="756"/>
      <c r="AL396" s="756">
        <f>IF(AL397&lt;&gt;0,AL397,AL398)*J388</f>
        <v>0</v>
      </c>
      <c r="AM396" s="756">
        <f>IF(AND(AM398&lt;&gt;0,AM397=0),AM398,IF(AM398&lt;&gt;0,MIN(AM398,AM397),AM397))*K388</f>
        <v>0</v>
      </c>
    </row>
    <row r="397" spans="1:39">
      <c r="A397" s="757">
        <v>388</v>
      </c>
      <c r="B397" s="789" t="s">
        <v>652</v>
      </c>
      <c r="C397" s="813" t="s">
        <v>410</v>
      </c>
      <c r="D397" s="795"/>
      <c r="E397" s="786"/>
      <c r="F397" s="792"/>
      <c r="G397" s="303"/>
      <c r="H397" s="318"/>
      <c r="J397" s="803"/>
      <c r="K397" s="804"/>
      <c r="M397" s="758"/>
      <c r="N397" s="321"/>
      <c r="O397" s="845">
        <f>IF(O389=0,,(Q396/100*qh/3.6+R396/100*qw))</f>
        <v>0</v>
      </c>
      <c r="P397" s="756"/>
      <c r="Q397" s="756"/>
      <c r="R397" s="756"/>
      <c r="S397" s="759"/>
      <c r="T397" s="756"/>
      <c r="U397" s="321"/>
      <c r="V397" s="845">
        <f>IF(V389=0,,(X396/100*qh/3.6+Y396/100*qw))</f>
        <v>0</v>
      </c>
      <c r="W397" s="756"/>
      <c r="X397" s="756"/>
      <c r="Y397" s="756"/>
      <c r="Z397" s="759"/>
      <c r="AA397" s="758"/>
      <c r="AB397" s="321"/>
      <c r="AC397" s="845">
        <f>IF(AC389=0,,(AE396/100*qh/3.6+AF396/100*qw))</f>
        <v>0</v>
      </c>
      <c r="AD397" s="756"/>
      <c r="AE397" s="756"/>
      <c r="AF397" s="756"/>
      <c r="AG397" s="759"/>
      <c r="AH397" s="758"/>
      <c r="AI397" s="321"/>
      <c r="AJ397" s="845">
        <f>IF(AJ389=0,,(AL396/100*qh/3.6+AM396/100*qw))</f>
        <v>0</v>
      </c>
      <c r="AK397" s="756"/>
      <c r="AL397" s="756"/>
      <c r="AM397" s="756"/>
    </row>
    <row r="398" spans="1:39">
      <c r="A398" s="757">
        <v>389</v>
      </c>
      <c r="B398" s="824"/>
      <c r="C398" s="836"/>
      <c r="D398" s="806"/>
      <c r="E398" s="806"/>
      <c r="F398" s="774"/>
      <c r="G398" s="319"/>
      <c r="H398" s="320"/>
      <c r="J398" s="807"/>
      <c r="K398" s="808"/>
      <c r="M398" s="756"/>
      <c r="N398" s="325"/>
      <c r="O398" s="858"/>
      <c r="P398" s="756"/>
      <c r="Q398" s="315">
        <f>Produzione!$K$18</f>
        <v>0</v>
      </c>
      <c r="R398" s="315">
        <f>Produzione!$L$18</f>
        <v>0</v>
      </c>
      <c r="S398" s="759"/>
      <c r="T398" s="756"/>
      <c r="U398" s="325"/>
      <c r="V398" s="325"/>
      <c r="W398" s="756"/>
      <c r="X398" s="315">
        <f>Produzione!$K$32</f>
        <v>0</v>
      </c>
      <c r="Y398" s="315">
        <f>Produzione!$L$32</f>
        <v>0</v>
      </c>
      <c r="Z398" s="759"/>
      <c r="AA398" s="756"/>
      <c r="AB398" s="325"/>
      <c r="AC398" s="325"/>
      <c r="AD398" s="756"/>
      <c r="AE398" s="315">
        <f>Produzione!$K$46</f>
        <v>0</v>
      </c>
      <c r="AF398" s="315">
        <f>Produzione!$L$46</f>
        <v>0</v>
      </c>
      <c r="AG398" s="759"/>
      <c r="AH398" s="756"/>
      <c r="AI398" s="325"/>
      <c r="AJ398" s="325"/>
      <c r="AK398" s="756"/>
      <c r="AL398" s="315">
        <f>Produzione!$K$60</f>
        <v>0</v>
      </c>
      <c r="AM398" s="315">
        <f>Produzione!$L$60</f>
        <v>0</v>
      </c>
    </row>
    <row r="399" spans="1:39">
      <c r="A399" s="757">
        <v>390</v>
      </c>
      <c r="B399" s="759"/>
      <c r="C399" s="833"/>
      <c r="D399" s="759"/>
      <c r="E399" s="759"/>
      <c r="F399" s="817"/>
      <c r="G399" s="759"/>
      <c r="H399" s="759"/>
      <c r="I399" s="759"/>
      <c r="J399" s="759"/>
      <c r="Q399" s="761" t="str">
        <f>IF(AND(R398&lt;&gt;0,R397=0),"",IF(R398&gt;R397,"tasso troppo alto",""))</f>
        <v/>
      </c>
      <c r="S399" s="759"/>
      <c r="X399" s="761" t="str">
        <f>IF(AND(Y398&lt;&gt;0,Y397=0),"",IF(Y398&gt;Y397,"tasso troppo alto",""))</f>
        <v/>
      </c>
      <c r="Z399" s="759"/>
      <c r="AE399" s="761" t="str">
        <f>IF(AND(AF398&lt;&gt;0,AF397=0),"",IF(AF398&gt;AF397,"tasso troppo alto",""))</f>
        <v/>
      </c>
      <c r="AG399" s="759"/>
      <c r="AL399" s="761" t="str">
        <f>IF(AND(AM398&lt;&gt;0,AM397=0),"",IF(AM398&gt;AM397,"tasso troppo alto",""))</f>
        <v/>
      </c>
    </row>
    <row r="400" spans="1:39">
      <c r="A400" s="757">
        <v>391</v>
      </c>
      <c r="B400" s="755"/>
      <c r="C400" s="834"/>
      <c r="D400" s="762"/>
      <c r="E400" s="762"/>
      <c r="G400" s="762"/>
      <c r="H400" s="818"/>
      <c r="J400" s="762" t="s">
        <v>1620</v>
      </c>
      <c r="N400" s="762"/>
      <c r="O400" s="860"/>
      <c r="P400" s="759"/>
      <c r="Q400" s="762" t="s">
        <v>1620</v>
      </c>
      <c r="R400" s="759"/>
      <c r="S400" s="759"/>
      <c r="T400" s="759"/>
      <c r="U400" s="762"/>
      <c r="V400" s="769"/>
      <c r="W400" s="759"/>
      <c r="X400" s="762" t="s">
        <v>1620</v>
      </c>
      <c r="Y400" s="759"/>
      <c r="Z400" s="759"/>
      <c r="AA400" s="759"/>
      <c r="AB400" s="762"/>
      <c r="AC400" s="769"/>
      <c r="AD400" s="759"/>
      <c r="AE400" s="762" t="s">
        <v>1620</v>
      </c>
      <c r="AF400" s="759"/>
      <c r="AG400" s="759"/>
      <c r="AH400" s="759"/>
      <c r="AI400" s="762"/>
      <c r="AJ400" s="769"/>
      <c r="AK400" s="759"/>
      <c r="AL400" s="762" t="s">
        <v>1620</v>
      </c>
      <c r="AM400" s="759"/>
    </row>
    <row r="401" spans="1:39">
      <c r="A401" s="757">
        <v>392</v>
      </c>
      <c r="B401" s="772" t="str">
        <f>INDEX(Standardwerte!$V$6:$V$43,Rechnung!$C401,1)</f>
        <v>Pompa di calore per scambiatore geotermico, solo risc.</v>
      </c>
      <c r="C401" s="835">
        <v>29</v>
      </c>
      <c r="D401" s="819"/>
      <c r="E401" s="820"/>
      <c r="F401" s="821"/>
      <c r="G401" s="819"/>
      <c r="H401" s="822"/>
      <c r="J401" s="760" t="s">
        <v>525</v>
      </c>
      <c r="K401" s="756" t="s">
        <v>1622</v>
      </c>
      <c r="M401" s="756"/>
      <c r="N401" s="760"/>
      <c r="O401" s="852"/>
      <c r="P401" s="756"/>
      <c r="Q401" s="760" t="s">
        <v>525</v>
      </c>
      <c r="R401" s="756" t="s">
        <v>1622</v>
      </c>
      <c r="S401" s="759"/>
      <c r="T401" s="756"/>
      <c r="U401" s="760"/>
      <c r="V401" s="764"/>
      <c r="W401" s="756"/>
      <c r="X401" s="760" t="s">
        <v>525</v>
      </c>
      <c r="Y401" s="756" t="s">
        <v>1622</v>
      </c>
      <c r="Z401" s="759"/>
      <c r="AA401" s="756"/>
      <c r="AB401" s="760"/>
      <c r="AC401" s="764"/>
      <c r="AD401" s="756"/>
      <c r="AE401" s="760" t="s">
        <v>525</v>
      </c>
      <c r="AF401" s="756" t="s">
        <v>1622</v>
      </c>
      <c r="AG401" s="759"/>
      <c r="AH401" s="756"/>
      <c r="AI401" s="760"/>
      <c r="AJ401" s="764"/>
      <c r="AK401" s="756"/>
      <c r="AL401" s="760" t="s">
        <v>525</v>
      </c>
      <c r="AM401" s="756" t="s">
        <v>1622</v>
      </c>
    </row>
    <row r="402" spans="1:39">
      <c r="A402" s="757">
        <v>393</v>
      </c>
      <c r="B402" s="778" t="s">
        <v>526</v>
      </c>
      <c r="C402" s="830"/>
      <c r="D402" s="779"/>
      <c r="E402" s="312"/>
      <c r="F402" s="313">
        <f>INDEX($M$10:$AM$162,$A$10+(_typ1-1)*14,1)</f>
        <v>0</v>
      </c>
      <c r="G402" s="780"/>
      <c r="H402" s="781"/>
      <c r="J402" s="782">
        <f>INDEX(Standardwerte!$Y$6:$Z$43,$C401,2)</f>
        <v>1</v>
      </c>
      <c r="K402" s="783">
        <f>INDEX(Standardwerte!$Y$6:$Z$43,$C401,1)</f>
        <v>0</v>
      </c>
      <c r="M402" s="315">
        <f>Produzione!$G$8</f>
        <v>0</v>
      </c>
      <c r="N402" s="764"/>
      <c r="O402" s="852"/>
      <c r="P402" s="756"/>
      <c r="Q402" s="756"/>
      <c r="R402" s="756"/>
      <c r="S402" s="759"/>
      <c r="T402" s="315">
        <f>Produzione!$G$22</f>
        <v>0</v>
      </c>
      <c r="U402" s="764"/>
      <c r="V402" s="764"/>
      <c r="W402" s="756"/>
      <c r="X402" s="756"/>
      <c r="Y402" s="756"/>
      <c r="Z402" s="759"/>
      <c r="AA402" s="315">
        <f>Produzione!$G$36</f>
        <v>0</v>
      </c>
      <c r="AB402" s="764"/>
      <c r="AC402" s="764"/>
      <c r="AD402" s="756"/>
      <c r="AE402" s="756"/>
      <c r="AF402" s="756"/>
      <c r="AG402" s="759"/>
      <c r="AH402" s="315">
        <f>Produzione!$G$50</f>
        <v>0</v>
      </c>
      <c r="AI402" s="764"/>
      <c r="AJ402" s="764"/>
      <c r="AK402" s="756"/>
      <c r="AL402" s="756"/>
      <c r="AM402" s="756"/>
    </row>
    <row r="403" spans="1:39">
      <c r="A403" s="757">
        <v>394</v>
      </c>
      <c r="B403" s="784" t="s">
        <v>697</v>
      </c>
      <c r="C403" s="794" t="s">
        <v>776</v>
      </c>
      <c r="E403" s="786"/>
      <c r="F403" s="809">
        <f>INDEX(Standardwerte!$W$6:$W$43,$C401,1)</f>
        <v>2.9</v>
      </c>
      <c r="G403" s="787"/>
      <c r="H403" s="788"/>
      <c r="J403" s="782"/>
      <c r="K403" s="783"/>
      <c r="M403" s="315">
        <f>Produzione!$G$10</f>
        <v>0</v>
      </c>
      <c r="N403" s="764"/>
      <c r="O403" s="861">
        <f>F403</f>
        <v>2.9</v>
      </c>
      <c r="P403" s="756"/>
      <c r="Q403" s="756"/>
      <c r="R403" s="756"/>
      <c r="S403" s="759"/>
      <c r="T403" s="315">
        <f>Produzione!$G$24</f>
        <v>0</v>
      </c>
      <c r="U403" s="764"/>
      <c r="V403" s="28">
        <f>F403</f>
        <v>2.9</v>
      </c>
      <c r="W403" s="756"/>
      <c r="X403" s="756"/>
      <c r="Y403" s="756"/>
      <c r="Z403" s="759"/>
      <c r="AA403" s="315">
        <f>Produzione!$G$38</f>
        <v>0</v>
      </c>
      <c r="AB403" s="764"/>
      <c r="AC403" s="28">
        <f>F403</f>
        <v>2.9</v>
      </c>
      <c r="AD403" s="756"/>
      <c r="AE403" s="756"/>
      <c r="AF403" s="756"/>
      <c r="AG403" s="759"/>
      <c r="AH403" s="315">
        <f>Produzione!$G$52</f>
        <v>0</v>
      </c>
      <c r="AI403" s="764"/>
      <c r="AJ403" s="28">
        <f>F403</f>
        <v>2.9</v>
      </c>
      <c r="AK403" s="756"/>
      <c r="AL403" s="756"/>
      <c r="AM403" s="756"/>
    </row>
    <row r="404" spans="1:39">
      <c r="A404" s="757">
        <v>395</v>
      </c>
      <c r="B404" s="789" t="s">
        <v>698</v>
      </c>
      <c r="C404" s="794" t="s">
        <v>776</v>
      </c>
      <c r="D404" s="786"/>
      <c r="E404" s="786"/>
      <c r="F404" s="1344"/>
      <c r="G404" s="792"/>
      <c r="H404" s="793"/>
      <c r="J404" s="782"/>
      <c r="K404" s="783"/>
      <c r="L404" s="770">
        <v>1</v>
      </c>
      <c r="M404" s="756"/>
      <c r="N404" s="766"/>
      <c r="O404" s="854"/>
      <c r="P404" s="756"/>
      <c r="Q404" s="756"/>
      <c r="R404" s="756"/>
      <c r="S404" s="759"/>
      <c r="T404" s="756"/>
      <c r="U404" s="766"/>
      <c r="V404" s="767"/>
      <c r="W404" s="756"/>
      <c r="X404" s="756"/>
      <c r="Y404" s="756"/>
      <c r="Z404" s="759"/>
      <c r="AA404" s="756"/>
      <c r="AB404" s="766"/>
      <c r="AC404" s="767"/>
      <c r="AD404" s="756"/>
      <c r="AE404" s="756"/>
      <c r="AF404" s="756"/>
      <c r="AG404" s="759"/>
      <c r="AH404" s="756"/>
      <c r="AI404" s="766"/>
      <c r="AJ404" s="767"/>
      <c r="AK404" s="756"/>
      <c r="AL404" s="756"/>
      <c r="AM404" s="756"/>
    </row>
    <row r="405" spans="1:39">
      <c r="A405" s="757">
        <v>396</v>
      </c>
      <c r="B405" s="789" t="s">
        <v>699</v>
      </c>
      <c r="C405" s="794" t="s">
        <v>776</v>
      </c>
      <c r="D405" s="786"/>
      <c r="E405" s="786"/>
      <c r="F405" s="791"/>
      <c r="G405" s="303"/>
      <c r="H405" s="316"/>
      <c r="J405" s="782"/>
      <c r="K405" s="783"/>
      <c r="M405" s="756"/>
      <c r="N405" s="321"/>
      <c r="O405" s="855" t="str">
        <f>IF(M403&lt;&gt;0,M403,IF(Produzione!$E$10&lt;&gt;"",Produzione!$E$10,Produzione!$G$9))</f>
        <v/>
      </c>
      <c r="P405" s="756"/>
      <c r="Q405" s="756"/>
      <c r="R405" s="756"/>
      <c r="S405" s="759"/>
      <c r="T405" s="756"/>
      <c r="U405" s="321"/>
      <c r="V405" s="322" t="str">
        <f>IF(T403&lt;&gt;0,T403,IF(Produzione!$E$24&lt;&gt;"",Produzione!$E$24,Produzione!$G$23))</f>
        <v/>
      </c>
      <c r="W405" s="756"/>
      <c r="X405" s="756"/>
      <c r="Y405" s="756"/>
      <c r="Z405" s="759"/>
      <c r="AA405" s="756"/>
      <c r="AB405" s="321"/>
      <c r="AC405" s="322" t="str">
        <f>IF(AA403&lt;&gt;0,AA403,IF(Produzione!$E$38&lt;&gt;"",Produzione!$E$38,Produzione!$G$37))</f>
        <v/>
      </c>
      <c r="AD405" s="756"/>
      <c r="AE405" s="756"/>
      <c r="AF405" s="756"/>
      <c r="AG405" s="759"/>
      <c r="AH405" s="756"/>
      <c r="AI405" s="321"/>
      <c r="AJ405" s="322" t="str">
        <f>IF(AH403&lt;&gt;0,AH403,IF(Produzione!$E$52&lt;&gt;"",Produzione!$E$52,Produzione!$G$51))</f>
        <v/>
      </c>
      <c r="AK405" s="756"/>
      <c r="AL405" s="756"/>
      <c r="AM405" s="756"/>
    </row>
    <row r="406" spans="1:39">
      <c r="A406" s="757">
        <v>397</v>
      </c>
      <c r="B406" s="789" t="s">
        <v>51</v>
      </c>
      <c r="C406" s="790" t="s">
        <v>761</v>
      </c>
      <c r="D406" s="787"/>
      <c r="E406" s="795"/>
      <c r="F406" s="1344"/>
      <c r="G406" s="796"/>
      <c r="H406" s="797"/>
      <c r="J406" s="782"/>
      <c r="K406" s="783"/>
      <c r="L406" s="770">
        <v>1</v>
      </c>
      <c r="M406" s="315">
        <f>Produzione!$G$12</f>
        <v>0</v>
      </c>
      <c r="N406" s="758"/>
      <c r="O406" s="854"/>
      <c r="P406" s="756"/>
      <c r="Q406" s="756"/>
      <c r="R406" s="756"/>
      <c r="S406" s="759"/>
      <c r="T406" s="315">
        <f>Produzione!$G$26</f>
        <v>0</v>
      </c>
      <c r="U406" s="758"/>
      <c r="V406" s="758"/>
      <c r="W406" s="756"/>
      <c r="X406" s="756"/>
      <c r="Y406" s="756"/>
      <c r="Z406" s="759"/>
      <c r="AA406" s="315">
        <f>Produzione!$G$40</f>
        <v>0</v>
      </c>
      <c r="AB406" s="758"/>
      <c r="AC406" s="758"/>
      <c r="AD406" s="756"/>
      <c r="AE406" s="756"/>
      <c r="AF406" s="756"/>
      <c r="AG406" s="759"/>
      <c r="AH406" s="315">
        <f>Produzione!$G$54</f>
        <v>0</v>
      </c>
      <c r="AI406" s="758"/>
      <c r="AJ406" s="758"/>
      <c r="AK406" s="756"/>
      <c r="AL406" s="756"/>
      <c r="AM406" s="756"/>
    </row>
    <row r="407" spans="1:39">
      <c r="A407" s="757">
        <v>398</v>
      </c>
      <c r="B407" s="789" t="str">
        <f>IF(J402=1,"fabbisogno di potenza termica dell'edificio","")</f>
        <v>fabbisogno di potenza termica dell'edificio</v>
      </c>
      <c r="C407" s="790" t="str">
        <f>IF(J402=1,"kW","")</f>
        <v>kW</v>
      </c>
      <c r="D407" s="796"/>
      <c r="E407" s="795"/>
      <c r="F407" s="1344"/>
      <c r="G407" s="787"/>
      <c r="H407" s="798"/>
      <c r="J407" s="782"/>
      <c r="K407" s="783"/>
      <c r="L407" s="770">
        <v>1</v>
      </c>
      <c r="M407" s="315">
        <f>Produzione!$G$13</f>
        <v>0</v>
      </c>
      <c r="N407" s="764"/>
      <c r="O407" s="852"/>
      <c r="P407" s="756"/>
      <c r="Q407" s="756"/>
      <c r="R407" s="756"/>
      <c r="S407" s="759"/>
      <c r="T407" s="315">
        <f>Produzione!$G$27</f>
        <v>0</v>
      </c>
      <c r="U407" s="764"/>
      <c r="V407" s="768"/>
      <c r="W407" s="756"/>
      <c r="X407" s="756"/>
      <c r="Y407" s="756"/>
      <c r="Z407" s="759"/>
      <c r="AA407" s="315">
        <f>Produzione!$G$41</f>
        <v>0</v>
      </c>
      <c r="AB407" s="764"/>
      <c r="AC407" s="768"/>
      <c r="AD407" s="756"/>
      <c r="AE407" s="756"/>
      <c r="AF407" s="756"/>
      <c r="AG407" s="759"/>
      <c r="AH407" s="315">
        <f>Produzione!$G$55</f>
        <v>0</v>
      </c>
      <c r="AI407" s="764"/>
      <c r="AJ407" s="768"/>
      <c r="AK407" s="756"/>
      <c r="AL407" s="756"/>
      <c r="AM407" s="756"/>
    </row>
    <row r="408" spans="1:39">
      <c r="A408" s="757">
        <v>399</v>
      </c>
      <c r="B408" s="799" t="str">
        <f>IF(J402=1,"Temperatura di mandata riscaldamento","")</f>
        <v>Temperatura di mandata riscaldamento</v>
      </c>
      <c r="C408" s="831" t="str">
        <f>IF(J402=1,"°C","")</f>
        <v>°C</v>
      </c>
      <c r="D408" s="786"/>
      <c r="E408" s="786"/>
      <c r="F408" s="1344"/>
      <c r="G408" s="787"/>
      <c r="H408" s="800"/>
      <c r="J408" s="782"/>
      <c r="K408" s="783"/>
      <c r="L408" s="770">
        <v>2</v>
      </c>
      <c r="M408" s="315">
        <f>Produzione!$G$14</f>
        <v>0</v>
      </c>
      <c r="N408" s="764"/>
      <c r="O408" s="852"/>
      <c r="P408" s="756"/>
      <c r="Q408" s="756"/>
      <c r="R408" s="756"/>
      <c r="S408" s="759"/>
      <c r="T408" s="315">
        <f>Produzione!$G$28</f>
        <v>0</v>
      </c>
      <c r="U408" s="764"/>
      <c r="V408" s="764"/>
      <c r="W408" s="756"/>
      <c r="X408" s="756"/>
      <c r="Y408" s="756"/>
      <c r="Z408" s="759"/>
      <c r="AA408" s="315">
        <f>Produzione!$G$42</f>
        <v>0</v>
      </c>
      <c r="AB408" s="764"/>
      <c r="AC408" s="764"/>
      <c r="AD408" s="756"/>
      <c r="AE408" s="756"/>
      <c r="AF408" s="756"/>
      <c r="AG408" s="759"/>
      <c r="AH408" s="315">
        <f>Produzione!$G$56</f>
        <v>0</v>
      </c>
      <c r="AI408" s="764"/>
      <c r="AJ408" s="764"/>
      <c r="AK408" s="756"/>
      <c r="AL408" s="756"/>
      <c r="AM408" s="756"/>
    </row>
    <row r="409" spans="1:39">
      <c r="A409" s="757">
        <v>400</v>
      </c>
      <c r="B409" s="799" t="str">
        <f>IF(AND(Warmwasser,K402=1),"Temperatura acqua calda sanitaria","")</f>
        <v/>
      </c>
      <c r="C409" s="831" t="str">
        <f>IF(AND(Warmwasser,K402=1),"°C","")</f>
        <v/>
      </c>
      <c r="D409" s="786"/>
      <c r="E409" s="786"/>
      <c r="F409" s="1344"/>
      <c r="G409" s="796"/>
      <c r="H409" s="788"/>
      <c r="J409" s="782"/>
      <c r="K409" s="783"/>
      <c r="M409" s="315">
        <f>Produzione!$G$15</f>
        <v>0</v>
      </c>
      <c r="N409" s="758"/>
      <c r="O409" s="853"/>
      <c r="P409" s="756"/>
      <c r="R409" s="756" t="str">
        <f>IF(AND($K402=0,R412&lt;&gt;0),"Riscald. ausgewählt",IF(AND($J402=0,Q398&gt;0),"Acqua calda ausgewählt",""))</f>
        <v/>
      </c>
      <c r="S409" s="759"/>
      <c r="T409" s="315">
        <f>Produzione!$G$29</f>
        <v>0</v>
      </c>
      <c r="U409" s="758"/>
      <c r="V409" s="765"/>
      <c r="W409" s="756"/>
      <c r="Y409" s="756" t="str">
        <f>IF(AND($K402=0,Y412&lt;&gt;0),"Riscald. ausgewählt",IF(AND($J402=0,X398&gt;0),"Acqua calda ausgewählt",""))</f>
        <v/>
      </c>
      <c r="Z409" s="759"/>
      <c r="AA409" s="315">
        <f>Produzione!$G$43</f>
        <v>0</v>
      </c>
      <c r="AB409" s="758"/>
      <c r="AC409" s="765"/>
      <c r="AD409" s="756"/>
      <c r="AF409" s="756" t="str">
        <f>IF(AND($K402=0,AF412&lt;&gt;0),"Riscald. ausgewählt",IF(AND($J402=0,AE398&gt;0),"Acqua calda ausgewählt",""))</f>
        <v/>
      </c>
      <c r="AG409" s="759"/>
      <c r="AH409" s="315">
        <f>Produzione!$G$57</f>
        <v>0</v>
      </c>
      <c r="AI409" s="758"/>
      <c r="AJ409" s="765"/>
      <c r="AK409" s="756"/>
      <c r="AM409" s="756" t="str">
        <f>IF(AND($K402=0,AM412&lt;&gt;0),"Riscald. ausgewählt",IF(AND($J402=0,AL398&gt;0),"Acqua calda ausgewählt",""))</f>
        <v/>
      </c>
    </row>
    <row r="410" spans="1:39">
      <c r="A410" s="757">
        <v>401</v>
      </c>
      <c r="B410" s="799" t="s">
        <v>1374</v>
      </c>
      <c r="C410" s="813" t="s">
        <v>410</v>
      </c>
      <c r="D410" s="795"/>
      <c r="E410" s="795"/>
      <c r="F410" s="791"/>
      <c r="G410" s="303"/>
      <c r="H410" s="317"/>
      <c r="J410" s="801"/>
      <c r="K410" s="802"/>
      <c r="M410" s="756"/>
      <c r="N410" s="321"/>
      <c r="O410" s="849">
        <f>IF(O405="",,R410/100*qw/O405+Q410/100*qh/3.6/O405)</f>
        <v>0</v>
      </c>
      <c r="P410" s="756"/>
      <c r="Q410" s="756">
        <f>IF(Q411&lt;&gt;0,Q411,Q412)*J402</f>
        <v>0</v>
      </c>
      <c r="R410" s="756">
        <f>IF(AND(R412&lt;&gt;0,R411=0),R412,IF(R412&lt;&gt;0,MIN(R412,R411),R411))*K402</f>
        <v>0</v>
      </c>
      <c r="S410" s="759"/>
      <c r="T410" s="756"/>
      <c r="U410" s="321"/>
      <c r="V410" s="847">
        <f>IF(V405="",,Y410/100*qw/V405+X410/100*qh/3.6/V405)</f>
        <v>0</v>
      </c>
      <c r="W410" s="756"/>
      <c r="X410" s="756">
        <f>IF(X411&lt;&gt;0,X411,X412)*J402</f>
        <v>0</v>
      </c>
      <c r="Y410" s="756">
        <f>IF(AND(Y412&lt;&gt;0,Y411=0),Y412,IF(Y412&lt;&gt;0,MIN(Y412,Y411),Y411))*K402</f>
        <v>0</v>
      </c>
      <c r="Z410" s="759"/>
      <c r="AA410" s="756"/>
      <c r="AB410" s="321"/>
      <c r="AC410" s="847">
        <f>IF(AC405="",,AF410/100*qw/AC405+AE410/100*qh/3.6/AC405)</f>
        <v>0</v>
      </c>
      <c r="AD410" s="756"/>
      <c r="AE410" s="756">
        <f>IF(AE411&lt;&gt;0,AE411,AE412)*J402</f>
        <v>0</v>
      </c>
      <c r="AF410" s="756">
        <f>IF(AND(AF412&lt;&gt;0,AF411=0),AF412,IF(AF412&lt;&gt;0,MIN(AF412,AF411),AF411))*K402</f>
        <v>0</v>
      </c>
      <c r="AG410" s="759"/>
      <c r="AH410" s="756"/>
      <c r="AI410" s="321"/>
      <c r="AJ410" s="847">
        <f>IF(AJ405="",,AM410/100*qw/AJ405+AL410/100*qh/3.6/AJ405)</f>
        <v>0</v>
      </c>
      <c r="AK410" s="756"/>
      <c r="AL410" s="756">
        <f>IF(AL411&lt;&gt;0,AL411,AL412)*J402</f>
        <v>0</v>
      </c>
      <c r="AM410" s="756">
        <f>IF(AND(AM412&lt;&gt;0,AM411=0),AM412,IF(AM412&lt;&gt;0,MIN(AM412,AM411),AM411))*K402</f>
        <v>0</v>
      </c>
    </row>
    <row r="411" spans="1:39">
      <c r="A411" s="757">
        <v>402</v>
      </c>
      <c r="B411" s="789" t="s">
        <v>652</v>
      </c>
      <c r="C411" s="813" t="s">
        <v>410</v>
      </c>
      <c r="D411" s="795"/>
      <c r="E411" s="786"/>
      <c r="F411" s="792"/>
      <c r="G411" s="303"/>
      <c r="H411" s="318"/>
      <c r="J411" s="803"/>
      <c r="K411" s="804"/>
      <c r="M411" s="758"/>
      <c r="N411" s="321"/>
      <c r="O411" s="845">
        <f>IF(O403=0,,(Q410/100*qh/3.6+R410/100*qw))</f>
        <v>0</v>
      </c>
      <c r="P411" s="756"/>
      <c r="Q411" s="756"/>
      <c r="R411" s="756"/>
      <c r="S411" s="759"/>
      <c r="T411" s="756"/>
      <c r="U411" s="321"/>
      <c r="V411" s="845">
        <f>IF(V403=0,,(X410/100*qh/3.6+Y410/100*qw))</f>
        <v>0</v>
      </c>
      <c r="W411" s="756"/>
      <c r="X411" s="756"/>
      <c r="Y411" s="756"/>
      <c r="Z411" s="759"/>
      <c r="AA411" s="758"/>
      <c r="AB411" s="321"/>
      <c r="AC411" s="845">
        <f>IF(AC403=0,,(AE410/100*qh/3.6+AF410/100*qw))</f>
        <v>0</v>
      </c>
      <c r="AD411" s="756"/>
      <c r="AE411" s="756"/>
      <c r="AF411" s="756"/>
      <c r="AG411" s="759"/>
      <c r="AH411" s="758"/>
      <c r="AI411" s="321"/>
      <c r="AJ411" s="845">
        <f>IF(AJ403=0,,(AL410/100*qh/3.6+AM410/100*qw))</f>
        <v>0</v>
      </c>
      <c r="AK411" s="756"/>
      <c r="AL411" s="756"/>
      <c r="AM411" s="756"/>
    </row>
    <row r="412" spans="1:39">
      <c r="A412" s="757">
        <v>403</v>
      </c>
      <c r="B412" s="824"/>
      <c r="C412" s="836"/>
      <c r="D412" s="806"/>
      <c r="E412" s="806"/>
      <c r="F412" s="774"/>
      <c r="G412" s="319"/>
      <c r="H412" s="320"/>
      <c r="J412" s="807"/>
      <c r="K412" s="808"/>
      <c r="M412" s="756"/>
      <c r="N412" s="325"/>
      <c r="O412" s="858"/>
      <c r="P412" s="756"/>
      <c r="Q412" s="315">
        <f>Produzione!$K$18</f>
        <v>0</v>
      </c>
      <c r="R412" s="315">
        <f>Produzione!$L$18</f>
        <v>0</v>
      </c>
      <c r="S412" s="759"/>
      <c r="T412" s="756"/>
      <c r="U412" s="325"/>
      <c r="V412" s="325"/>
      <c r="W412" s="756"/>
      <c r="X412" s="315">
        <f>Produzione!$K$32</f>
        <v>0</v>
      </c>
      <c r="Y412" s="315">
        <f>Produzione!$L$32</f>
        <v>0</v>
      </c>
      <c r="Z412" s="759"/>
      <c r="AA412" s="756"/>
      <c r="AB412" s="325"/>
      <c r="AC412" s="325"/>
      <c r="AD412" s="756"/>
      <c r="AE412" s="315">
        <f>Produzione!$K$46</f>
        <v>0</v>
      </c>
      <c r="AF412" s="315">
        <f>Produzione!$L$46</f>
        <v>0</v>
      </c>
      <c r="AG412" s="759"/>
      <c r="AH412" s="756"/>
      <c r="AI412" s="325"/>
      <c r="AJ412" s="325"/>
      <c r="AK412" s="756"/>
      <c r="AL412" s="315">
        <f>Produzione!$K$60</f>
        <v>0</v>
      </c>
      <c r="AM412" s="315">
        <f>Produzione!$L$60</f>
        <v>0</v>
      </c>
    </row>
    <row r="413" spans="1:39">
      <c r="A413" s="757">
        <v>404</v>
      </c>
      <c r="B413" s="759"/>
      <c r="C413" s="833"/>
      <c r="D413" s="759"/>
      <c r="E413" s="759"/>
      <c r="F413" s="817"/>
      <c r="G413" s="759"/>
      <c r="H413" s="759"/>
      <c r="I413" s="759"/>
      <c r="J413" s="759"/>
      <c r="Q413" s="761" t="str">
        <f>IF(AND(R412&lt;&gt;0,R411=0),"",IF(R412&gt;R411,"tasso troppo alto",""))</f>
        <v/>
      </c>
      <c r="S413" s="759"/>
      <c r="X413" s="761" t="str">
        <f>IF(AND(Y412&lt;&gt;0,Y411=0),"",IF(Y412&gt;Y411,"tasso troppo alto",""))</f>
        <v/>
      </c>
      <c r="Z413" s="759"/>
      <c r="AE413" s="761" t="str">
        <f>IF(AND(AF412&lt;&gt;0,AF411=0),"",IF(AF412&gt;AF411,"tasso troppo alto",""))</f>
        <v/>
      </c>
      <c r="AG413" s="759"/>
      <c r="AL413" s="761" t="str">
        <f>IF(AND(AM412&lt;&gt;0,AM411=0),"",IF(AM412&gt;AM411,"tasso troppo alto",""))</f>
        <v/>
      </c>
    </row>
    <row r="414" spans="1:39">
      <c r="A414" s="757">
        <v>405</v>
      </c>
      <c r="B414" s="755"/>
      <c r="C414" s="834"/>
      <c r="D414" s="762"/>
      <c r="E414" s="762"/>
      <c r="G414" s="762"/>
      <c r="H414" s="818"/>
      <c r="J414" s="762" t="s">
        <v>1620</v>
      </c>
      <c r="N414" s="762"/>
      <c r="O414" s="860"/>
      <c r="P414" s="759"/>
      <c r="Q414" s="762" t="s">
        <v>1620</v>
      </c>
      <c r="R414" s="759"/>
      <c r="S414" s="759"/>
      <c r="T414" s="759"/>
      <c r="U414" s="762"/>
      <c r="V414" s="769"/>
      <c r="W414" s="759"/>
      <c r="X414" s="762" t="s">
        <v>1620</v>
      </c>
      <c r="Y414" s="759"/>
      <c r="Z414" s="759"/>
      <c r="AA414" s="759"/>
      <c r="AB414" s="762"/>
      <c r="AC414" s="769"/>
      <c r="AD414" s="759"/>
      <c r="AE414" s="762" t="s">
        <v>1620</v>
      </c>
      <c r="AF414" s="759"/>
      <c r="AG414" s="759"/>
      <c r="AH414" s="759"/>
      <c r="AI414" s="762"/>
      <c r="AJ414" s="769"/>
      <c r="AK414" s="759"/>
      <c r="AL414" s="762" t="s">
        <v>1620</v>
      </c>
      <c r="AM414" s="759"/>
    </row>
    <row r="415" spans="1:39">
      <c r="A415" s="757">
        <v>406</v>
      </c>
      <c r="B415" s="772" t="str">
        <f>INDEX(Standardwerte!$V$6:$V$43,Rechnung!$C415,1)</f>
        <v>Pompa di calore per scambiatore geotermico, solo AC</v>
      </c>
      <c r="C415" s="835">
        <v>30</v>
      </c>
      <c r="D415" s="819"/>
      <c r="E415" s="820"/>
      <c r="F415" s="821"/>
      <c r="G415" s="819"/>
      <c r="H415" s="822"/>
      <c r="J415" s="760" t="s">
        <v>525</v>
      </c>
      <c r="K415" s="756" t="s">
        <v>1622</v>
      </c>
      <c r="M415" s="756"/>
      <c r="N415" s="760"/>
      <c r="O415" s="852"/>
      <c r="P415" s="756"/>
      <c r="Q415" s="760" t="s">
        <v>525</v>
      </c>
      <c r="R415" s="756" t="s">
        <v>1622</v>
      </c>
      <c r="S415" s="759"/>
      <c r="T415" s="756"/>
      <c r="U415" s="760"/>
      <c r="V415" s="764"/>
      <c r="W415" s="756"/>
      <c r="X415" s="760" t="s">
        <v>525</v>
      </c>
      <c r="Y415" s="756" t="s">
        <v>1622</v>
      </c>
      <c r="Z415" s="759"/>
      <c r="AA415" s="756"/>
      <c r="AB415" s="760"/>
      <c r="AC415" s="764"/>
      <c r="AD415" s="756"/>
      <c r="AE415" s="760" t="s">
        <v>525</v>
      </c>
      <c r="AF415" s="756" t="s">
        <v>1622</v>
      </c>
      <c r="AG415" s="759"/>
      <c r="AH415" s="756"/>
      <c r="AI415" s="760"/>
      <c r="AJ415" s="764"/>
      <c r="AK415" s="756"/>
      <c r="AL415" s="760" t="s">
        <v>525</v>
      </c>
      <c r="AM415" s="756" t="s">
        <v>1622</v>
      </c>
    </row>
    <row r="416" spans="1:39">
      <c r="A416" s="757">
        <v>407</v>
      </c>
      <c r="B416" s="778" t="s">
        <v>526</v>
      </c>
      <c r="C416" s="830"/>
      <c r="D416" s="779"/>
      <c r="E416" s="312"/>
      <c r="F416" s="313">
        <f>INDEX($M$10:$AM$162,$A$10+(_typ1-1)*14,1)</f>
        <v>0</v>
      </c>
      <c r="G416" s="780"/>
      <c r="H416" s="781"/>
      <c r="J416" s="782">
        <f>INDEX(Standardwerte!$Y$6:$Z$43,$C415,2)</f>
        <v>0</v>
      </c>
      <c r="K416" s="783">
        <f>INDEX(Standardwerte!$Y$6:$Z$43,$C415,1)</f>
        <v>1</v>
      </c>
      <c r="M416" s="315">
        <f>Produzione!$G$8</f>
        <v>0</v>
      </c>
      <c r="N416" s="764"/>
      <c r="O416" s="852"/>
      <c r="P416" s="756"/>
      <c r="Q416" s="756"/>
      <c r="R416" s="756"/>
      <c r="S416" s="759"/>
      <c r="T416" s="315">
        <f>Produzione!$G$22</f>
        <v>0</v>
      </c>
      <c r="U416" s="764"/>
      <c r="V416" s="764"/>
      <c r="W416" s="756"/>
      <c r="X416" s="756"/>
      <c r="Y416" s="756"/>
      <c r="Z416" s="759"/>
      <c r="AA416" s="315">
        <f>Produzione!$G$36</f>
        <v>0</v>
      </c>
      <c r="AB416" s="764"/>
      <c r="AC416" s="764"/>
      <c r="AD416" s="756"/>
      <c r="AE416" s="756"/>
      <c r="AF416" s="756"/>
      <c r="AG416" s="759"/>
      <c r="AH416" s="315">
        <f>Produzione!$G$50</f>
        <v>0</v>
      </c>
      <c r="AI416" s="764"/>
      <c r="AJ416" s="764"/>
      <c r="AK416" s="756"/>
      <c r="AL416" s="756"/>
      <c r="AM416" s="756"/>
    </row>
    <row r="417" spans="1:39">
      <c r="A417" s="757">
        <v>408</v>
      </c>
      <c r="B417" s="784" t="s">
        <v>697</v>
      </c>
      <c r="C417" s="794" t="s">
        <v>776</v>
      </c>
      <c r="E417" s="786"/>
      <c r="F417" s="809">
        <f>INDEX(Standardwerte!$W$6:$W$43,$C415,1)</f>
        <v>2.7</v>
      </c>
      <c r="G417" s="787"/>
      <c r="H417" s="788"/>
      <c r="J417" s="782"/>
      <c r="K417" s="783"/>
      <c r="M417" s="315">
        <f>Produzione!$G$10</f>
        <v>0</v>
      </c>
      <c r="N417" s="764"/>
      <c r="O417" s="861">
        <f>F417</f>
        <v>2.7</v>
      </c>
      <c r="P417" s="756"/>
      <c r="Q417" s="756"/>
      <c r="R417" s="756"/>
      <c r="S417" s="759"/>
      <c r="T417" s="315">
        <f>Produzione!$G$24</f>
        <v>0</v>
      </c>
      <c r="U417" s="764"/>
      <c r="V417" s="28">
        <f>F417</f>
        <v>2.7</v>
      </c>
      <c r="W417" s="756"/>
      <c r="X417" s="756"/>
      <c r="Y417" s="756"/>
      <c r="Z417" s="759"/>
      <c r="AA417" s="315">
        <f>Produzione!$G$38</f>
        <v>0</v>
      </c>
      <c r="AB417" s="764"/>
      <c r="AC417" s="28">
        <f>F417</f>
        <v>2.7</v>
      </c>
      <c r="AD417" s="756"/>
      <c r="AE417" s="756"/>
      <c r="AF417" s="756"/>
      <c r="AG417" s="759"/>
      <c r="AH417" s="315">
        <f>Produzione!$G$52</f>
        <v>0</v>
      </c>
      <c r="AI417" s="764"/>
      <c r="AJ417" s="28">
        <f>F417</f>
        <v>2.7</v>
      </c>
      <c r="AK417" s="756"/>
      <c r="AL417" s="756"/>
      <c r="AM417" s="756"/>
    </row>
    <row r="418" spans="1:39">
      <c r="A418" s="757">
        <v>409</v>
      </c>
      <c r="B418" s="789" t="s">
        <v>698</v>
      </c>
      <c r="C418" s="794" t="s">
        <v>776</v>
      </c>
      <c r="D418" s="786"/>
      <c r="E418" s="786"/>
      <c r="F418" s="1344"/>
      <c r="G418" s="792"/>
      <c r="H418" s="793"/>
      <c r="J418" s="782"/>
      <c r="K418" s="783"/>
      <c r="L418" s="770">
        <v>1</v>
      </c>
      <c r="M418" s="756"/>
      <c r="N418" s="766"/>
      <c r="O418" s="854"/>
      <c r="P418" s="756"/>
      <c r="Q418" s="756"/>
      <c r="R418" s="756"/>
      <c r="S418" s="759"/>
      <c r="T418" s="756"/>
      <c r="U418" s="766"/>
      <c r="V418" s="767"/>
      <c r="W418" s="756"/>
      <c r="X418" s="756"/>
      <c r="Y418" s="756"/>
      <c r="Z418" s="759"/>
      <c r="AA418" s="756"/>
      <c r="AB418" s="766"/>
      <c r="AC418" s="767"/>
      <c r="AD418" s="756"/>
      <c r="AE418" s="756"/>
      <c r="AF418" s="756"/>
      <c r="AG418" s="759"/>
      <c r="AH418" s="756"/>
      <c r="AI418" s="766"/>
      <c r="AJ418" s="767"/>
      <c r="AK418" s="756"/>
      <c r="AL418" s="756"/>
      <c r="AM418" s="756"/>
    </row>
    <row r="419" spans="1:39">
      <c r="A419" s="757">
        <v>410</v>
      </c>
      <c r="B419" s="789" t="s">
        <v>699</v>
      </c>
      <c r="C419" s="794" t="s">
        <v>776</v>
      </c>
      <c r="D419" s="786"/>
      <c r="E419" s="786"/>
      <c r="F419" s="791"/>
      <c r="G419" s="303"/>
      <c r="H419" s="316"/>
      <c r="J419" s="782"/>
      <c r="K419" s="783"/>
      <c r="M419" s="756"/>
      <c r="N419" s="321"/>
      <c r="O419" s="855" t="str">
        <f>IF(M417&lt;&gt;0,M417,IF(Produzione!$E$10&lt;&gt;"",Produzione!$E$10,Produzione!$G$9))</f>
        <v/>
      </c>
      <c r="P419" s="756"/>
      <c r="Q419" s="756"/>
      <c r="R419" s="756"/>
      <c r="S419" s="759"/>
      <c r="T419" s="756"/>
      <c r="U419" s="321"/>
      <c r="V419" s="322" t="str">
        <f>IF(T417&lt;&gt;0,T417,IF(Produzione!$E$24&lt;&gt;"",Produzione!$E$24,Produzione!$G$23))</f>
        <v/>
      </c>
      <c r="W419" s="756"/>
      <c r="X419" s="756"/>
      <c r="Y419" s="756"/>
      <c r="Z419" s="759"/>
      <c r="AA419" s="756"/>
      <c r="AB419" s="321"/>
      <c r="AC419" s="322" t="str">
        <f>IF(AA417&lt;&gt;0,AA417,IF(Produzione!$E$38&lt;&gt;"",Produzione!$E$38,Produzione!$G$37))</f>
        <v/>
      </c>
      <c r="AD419" s="756"/>
      <c r="AE419" s="756"/>
      <c r="AF419" s="756"/>
      <c r="AG419" s="759"/>
      <c r="AH419" s="756"/>
      <c r="AI419" s="321"/>
      <c r="AJ419" s="322" t="str">
        <f>IF(AH417&lt;&gt;0,AH417,IF(Produzione!$E$52&lt;&gt;"",Produzione!$E$52,Produzione!$G$51))</f>
        <v/>
      </c>
      <c r="AK419" s="756"/>
      <c r="AL419" s="756"/>
      <c r="AM419" s="756"/>
    </row>
    <row r="420" spans="1:39">
      <c r="A420" s="757">
        <v>411</v>
      </c>
      <c r="B420" s="789" t="s">
        <v>51</v>
      </c>
      <c r="C420" s="790" t="s">
        <v>761</v>
      </c>
      <c r="D420" s="787"/>
      <c r="E420" s="795"/>
      <c r="F420" s="1344"/>
      <c r="G420" s="796"/>
      <c r="H420" s="797"/>
      <c r="J420" s="782"/>
      <c r="K420" s="783"/>
      <c r="L420" s="770">
        <v>1</v>
      </c>
      <c r="M420" s="315">
        <f>Produzione!$G$12</f>
        <v>0</v>
      </c>
      <c r="N420" s="758"/>
      <c r="O420" s="854"/>
      <c r="P420" s="756"/>
      <c r="Q420" s="756"/>
      <c r="R420" s="756"/>
      <c r="S420" s="759"/>
      <c r="T420" s="315">
        <f>Produzione!$G$26</f>
        <v>0</v>
      </c>
      <c r="U420" s="758"/>
      <c r="V420" s="758"/>
      <c r="W420" s="756"/>
      <c r="X420" s="756"/>
      <c r="Y420" s="756"/>
      <c r="Z420" s="759"/>
      <c r="AA420" s="315">
        <f>Produzione!$G$40</f>
        <v>0</v>
      </c>
      <c r="AB420" s="758"/>
      <c r="AC420" s="758"/>
      <c r="AD420" s="756"/>
      <c r="AE420" s="756"/>
      <c r="AF420" s="756"/>
      <c r="AG420" s="759"/>
      <c r="AH420" s="315">
        <f>Produzione!$G$54</f>
        <v>0</v>
      </c>
      <c r="AI420" s="758"/>
      <c r="AJ420" s="758"/>
      <c r="AK420" s="756"/>
      <c r="AL420" s="756"/>
      <c r="AM420" s="756"/>
    </row>
    <row r="421" spans="1:39">
      <c r="A421" s="757">
        <v>412</v>
      </c>
      <c r="B421" s="789" t="str">
        <f>IF(J416=1,"fabbisogno di potenza termica dell'edificio","")</f>
        <v/>
      </c>
      <c r="C421" s="790" t="str">
        <f>IF(J416=1,"kW","")</f>
        <v/>
      </c>
      <c r="D421" s="796"/>
      <c r="E421" s="795"/>
      <c r="F421" s="1344"/>
      <c r="G421" s="787"/>
      <c r="H421" s="798"/>
      <c r="J421" s="782"/>
      <c r="K421" s="783"/>
      <c r="L421" s="770">
        <v>1</v>
      </c>
      <c r="M421" s="315">
        <f>Produzione!$G$13</f>
        <v>0</v>
      </c>
      <c r="N421" s="764"/>
      <c r="O421" s="852"/>
      <c r="P421" s="756"/>
      <c r="Q421" s="756"/>
      <c r="R421" s="756"/>
      <c r="S421" s="759"/>
      <c r="T421" s="315">
        <f>Produzione!$G$27</f>
        <v>0</v>
      </c>
      <c r="U421" s="764"/>
      <c r="V421" s="768"/>
      <c r="W421" s="756"/>
      <c r="X421" s="756"/>
      <c r="Y421" s="756"/>
      <c r="Z421" s="759"/>
      <c r="AA421" s="315">
        <f>Produzione!$G$41</f>
        <v>0</v>
      </c>
      <c r="AB421" s="764"/>
      <c r="AC421" s="768"/>
      <c r="AD421" s="756"/>
      <c r="AE421" s="756"/>
      <c r="AF421" s="756"/>
      <c r="AG421" s="759"/>
      <c r="AH421" s="315">
        <f>Produzione!$G$55</f>
        <v>0</v>
      </c>
      <c r="AI421" s="764"/>
      <c r="AJ421" s="768"/>
      <c r="AK421" s="756"/>
      <c r="AL421" s="756"/>
      <c r="AM421" s="756"/>
    </row>
    <row r="422" spans="1:39">
      <c r="A422" s="757">
        <v>413</v>
      </c>
      <c r="B422" s="799" t="str">
        <f>IF(J416=1,"Temperatura di mandata riscaldamento","")</f>
        <v/>
      </c>
      <c r="C422" s="831" t="str">
        <f>IF(J416=1,"°C","")</f>
        <v/>
      </c>
      <c r="D422" s="786"/>
      <c r="E422" s="786"/>
      <c r="F422" s="1344"/>
      <c r="G422" s="787"/>
      <c r="H422" s="800"/>
      <c r="J422" s="782"/>
      <c r="K422" s="783"/>
      <c r="M422" s="315">
        <f>Produzione!$G$14</f>
        <v>0</v>
      </c>
      <c r="N422" s="764"/>
      <c r="O422" s="852"/>
      <c r="P422" s="756"/>
      <c r="Q422" s="756"/>
      <c r="R422" s="756"/>
      <c r="S422" s="759"/>
      <c r="T422" s="315">
        <f>Produzione!$G$28</f>
        <v>0</v>
      </c>
      <c r="U422" s="764"/>
      <c r="V422" s="764"/>
      <c r="W422" s="756"/>
      <c r="X422" s="756"/>
      <c r="Y422" s="756"/>
      <c r="Z422" s="759"/>
      <c r="AA422" s="315">
        <f>Produzione!$G$42</f>
        <v>0</v>
      </c>
      <c r="AB422" s="764"/>
      <c r="AC422" s="764"/>
      <c r="AD422" s="756"/>
      <c r="AE422" s="756"/>
      <c r="AF422" s="756"/>
      <c r="AG422" s="759"/>
      <c r="AH422" s="315">
        <f>Produzione!$G$56</f>
        <v>0</v>
      </c>
      <c r="AI422" s="764"/>
      <c r="AJ422" s="764"/>
      <c r="AK422" s="756"/>
      <c r="AL422" s="756"/>
      <c r="AM422" s="756"/>
    </row>
    <row r="423" spans="1:39">
      <c r="A423" s="757">
        <v>414</v>
      </c>
      <c r="B423" s="799" t="str">
        <f>IF(AND(Warmwasser,K416=1),"Temperatura acqua calda sanitaria","")</f>
        <v/>
      </c>
      <c r="C423" s="831" t="str">
        <f>IF(AND(Warmwasser,K416=1),"°C","")</f>
        <v/>
      </c>
      <c r="D423" s="786"/>
      <c r="E423" s="786"/>
      <c r="F423" s="1344"/>
      <c r="G423" s="796"/>
      <c r="H423" s="788"/>
      <c r="J423" s="782"/>
      <c r="K423" s="783"/>
      <c r="L423" s="770">
        <v>2</v>
      </c>
      <c r="M423" s="315">
        <f>Produzione!$G$15</f>
        <v>0</v>
      </c>
      <c r="N423" s="758"/>
      <c r="O423" s="853"/>
      <c r="P423" s="756"/>
      <c r="R423" s="756" t="str">
        <f>IF(AND($K416=0,R426&lt;&gt;0),"scelto riscald.",IF(AND($J416=0,Q412&gt;0),"scelta acqua calda",""))</f>
        <v/>
      </c>
      <c r="S423" s="759"/>
      <c r="T423" s="315">
        <f>Produzione!$G$29</f>
        <v>0</v>
      </c>
      <c r="U423" s="758"/>
      <c r="V423" s="765"/>
      <c r="W423" s="756"/>
      <c r="Y423" s="756" t="str">
        <f>IF(AND($K416=0,Y426&lt;&gt;0),"Riscald. ausgewählt",IF(AND($J416=0,X412&gt;0),"Acqua calda ausgewählt",""))</f>
        <v/>
      </c>
      <c r="Z423" s="759"/>
      <c r="AA423" s="315">
        <f>Produzione!$G$43</f>
        <v>0</v>
      </c>
      <c r="AB423" s="758"/>
      <c r="AC423" s="765"/>
      <c r="AD423" s="756"/>
      <c r="AF423" s="756" t="str">
        <f>IF(AND($K416=0,AF426&lt;&gt;0),"Riscald. ausgewählt",IF(AND($J416=0,AE412&gt;0),"Acqua calda ausgewählt",""))</f>
        <v/>
      </c>
      <c r="AG423" s="759"/>
      <c r="AH423" s="315">
        <f>Produzione!$G$57</f>
        <v>0</v>
      </c>
      <c r="AI423" s="758"/>
      <c r="AJ423" s="765"/>
      <c r="AK423" s="756"/>
      <c r="AM423" s="756" t="str">
        <f>IF(AND($K416=0,AM426&lt;&gt;0),"Riscald. ausgewählt",IF(AND($J416=0,AL412&gt;0),"Acqua calda ausgewählt",""))</f>
        <v/>
      </c>
    </row>
    <row r="424" spans="1:39">
      <c r="A424" s="757">
        <v>415</v>
      </c>
      <c r="B424" s="799" t="s">
        <v>1374</v>
      </c>
      <c r="C424" s="813" t="s">
        <v>410</v>
      </c>
      <c r="D424" s="795"/>
      <c r="E424" s="795"/>
      <c r="F424" s="791"/>
      <c r="G424" s="303"/>
      <c r="H424" s="317"/>
      <c r="J424" s="801"/>
      <c r="K424" s="802"/>
      <c r="M424" s="756"/>
      <c r="N424" s="321"/>
      <c r="O424" s="849">
        <f>IF(O419="",,R424/100*qw/O419+Q424/100*qh/3.6/O419)</f>
        <v>0</v>
      </c>
      <c r="P424" s="756"/>
      <c r="Q424" s="756">
        <f>IF(Q425&lt;&gt;0,Q425,Q426)*J416</f>
        <v>0</v>
      </c>
      <c r="R424" s="756">
        <f>IF(AND(R426&lt;&gt;0,R425=0),R426,IF(R426&lt;&gt;0,MIN(R426,R425),R425))*K416</f>
        <v>0</v>
      </c>
      <c r="S424" s="759"/>
      <c r="T424" s="756"/>
      <c r="U424" s="321"/>
      <c r="V424" s="847">
        <f>IF(V419="",,Y424/100*qw/V419+X424/100*qh/3.6/V419)</f>
        <v>0</v>
      </c>
      <c r="W424" s="756"/>
      <c r="X424" s="756">
        <f>IF(X425&lt;&gt;0,X425,X426)*J416</f>
        <v>0</v>
      </c>
      <c r="Y424" s="756">
        <f>IF(AND(Y426&lt;&gt;0,Y425=0),Y426,IF(Y426&lt;&gt;0,MIN(Y426,Y425),Y425))*K416</f>
        <v>0</v>
      </c>
      <c r="Z424" s="759"/>
      <c r="AA424" s="756"/>
      <c r="AB424" s="321"/>
      <c r="AC424" s="847">
        <f>IF(AC419="",,AF424/100*qw/AC419+AE424/100*qh/3.6/AC419)</f>
        <v>0</v>
      </c>
      <c r="AD424" s="756"/>
      <c r="AE424" s="756">
        <f>IF(AE425&lt;&gt;0,AE425,AE426)*J416</f>
        <v>0</v>
      </c>
      <c r="AF424" s="756">
        <f>IF(AND(AF426&lt;&gt;0,AF425=0),AF426,IF(AF426&lt;&gt;0,MIN(AF426,AF425),AF425))*K416</f>
        <v>0</v>
      </c>
      <c r="AG424" s="759"/>
      <c r="AH424" s="756"/>
      <c r="AI424" s="321"/>
      <c r="AJ424" s="847">
        <f>IF(AJ419="",,AM424/100*qw/AJ419+AL424/100*qh/3.6/AJ419)</f>
        <v>0</v>
      </c>
      <c r="AK424" s="756"/>
      <c r="AL424" s="756">
        <f>IF(AL425&lt;&gt;0,AL425,AL426)*J416</f>
        <v>0</v>
      </c>
      <c r="AM424" s="756">
        <f>IF(AND(AM426&lt;&gt;0,AM425=0),AM426,IF(AM426&lt;&gt;0,MIN(AM426,AM425),AM425))*K416</f>
        <v>0</v>
      </c>
    </row>
    <row r="425" spans="1:39">
      <c r="A425" s="757">
        <v>416</v>
      </c>
      <c r="B425" s="789" t="s">
        <v>652</v>
      </c>
      <c r="C425" s="813" t="s">
        <v>410</v>
      </c>
      <c r="D425" s="795"/>
      <c r="E425" s="786"/>
      <c r="F425" s="792"/>
      <c r="G425" s="303"/>
      <c r="H425" s="318"/>
      <c r="J425" s="803"/>
      <c r="K425" s="804"/>
      <c r="M425" s="758"/>
      <c r="N425" s="321"/>
      <c r="O425" s="845">
        <f>IF(O417=0,,(Q424/100*qh/3.6+R424/100*qw))</f>
        <v>0</v>
      </c>
      <c r="P425" s="756"/>
      <c r="Q425" s="756"/>
      <c r="R425" s="756"/>
      <c r="S425" s="759"/>
      <c r="T425" s="756"/>
      <c r="U425" s="321"/>
      <c r="V425" s="845">
        <f>IF(V417=0,,(X424/100*qh/3.6+Y424/100*qw))</f>
        <v>0</v>
      </c>
      <c r="W425" s="756"/>
      <c r="X425" s="756"/>
      <c r="Y425" s="756"/>
      <c r="Z425" s="759"/>
      <c r="AA425" s="758"/>
      <c r="AB425" s="321"/>
      <c r="AC425" s="845">
        <f>IF(AC417=0,,(AE424/100*qh/3.6+AF424/100*qw))</f>
        <v>0</v>
      </c>
      <c r="AD425" s="756"/>
      <c r="AE425" s="756"/>
      <c r="AF425" s="756"/>
      <c r="AG425" s="759"/>
      <c r="AH425" s="758"/>
      <c r="AI425" s="321"/>
      <c r="AJ425" s="845">
        <f>IF(AJ417=0,,(AL424/100*qh/3.6+AM424/100*qw))</f>
        <v>0</v>
      </c>
      <c r="AK425" s="756"/>
      <c r="AL425" s="756"/>
      <c r="AM425" s="756"/>
    </row>
    <row r="426" spans="1:39">
      <c r="A426" s="757">
        <v>417</v>
      </c>
      <c r="B426" s="824"/>
      <c r="C426" s="836"/>
      <c r="D426" s="806"/>
      <c r="E426" s="806"/>
      <c r="F426" s="774"/>
      <c r="G426" s="319"/>
      <c r="H426" s="320"/>
      <c r="J426" s="807"/>
      <c r="K426" s="808"/>
      <c r="M426" s="756"/>
      <c r="N426" s="325"/>
      <c r="O426" s="858"/>
      <c r="P426" s="756"/>
      <c r="Q426" s="315">
        <f>Produzione!$K$18</f>
        <v>0</v>
      </c>
      <c r="R426" s="315">
        <f>Produzione!$L$18</f>
        <v>0</v>
      </c>
      <c r="S426" s="759"/>
      <c r="T426" s="756"/>
      <c r="U426" s="325"/>
      <c r="V426" s="325"/>
      <c r="W426" s="756"/>
      <c r="X426" s="315">
        <f>Produzione!$K$32</f>
        <v>0</v>
      </c>
      <c r="Y426" s="315">
        <f>Produzione!$L$32</f>
        <v>0</v>
      </c>
      <c r="Z426" s="759"/>
      <c r="AA426" s="756"/>
      <c r="AB426" s="325"/>
      <c r="AC426" s="325"/>
      <c r="AD426" s="756"/>
      <c r="AE426" s="315">
        <f>Produzione!$K$46</f>
        <v>0</v>
      </c>
      <c r="AF426" s="315">
        <f>Produzione!$L$46</f>
        <v>0</v>
      </c>
      <c r="AG426" s="759"/>
      <c r="AH426" s="756"/>
      <c r="AI426" s="325"/>
      <c r="AJ426" s="325"/>
      <c r="AK426" s="756"/>
      <c r="AL426" s="315">
        <f>Produzione!$K$60</f>
        <v>0</v>
      </c>
      <c r="AM426" s="315">
        <f>Produzione!$L$60</f>
        <v>0</v>
      </c>
    </row>
    <row r="427" spans="1:39">
      <c r="A427" s="757">
        <v>418</v>
      </c>
      <c r="B427" s="759"/>
      <c r="C427" s="833"/>
      <c r="D427" s="759"/>
      <c r="E427" s="759"/>
      <c r="F427" s="817"/>
      <c r="G427" s="759"/>
      <c r="H427" s="759"/>
      <c r="I427" s="759"/>
      <c r="J427" s="759"/>
      <c r="Q427" s="761" t="str">
        <f>IF(AND(R426&lt;&gt;0,R425=0),"",IF(R426&gt;R425,"tasso troppo alto",""))</f>
        <v/>
      </c>
      <c r="S427" s="759"/>
      <c r="X427" s="761" t="str">
        <f>IF(AND(Y426&lt;&gt;0,Y425=0),"",IF(Y426&gt;Y425,"tasso troppo alto",""))</f>
        <v/>
      </c>
      <c r="Z427" s="759"/>
      <c r="AE427" s="761" t="str">
        <f>IF(AND(AF426&lt;&gt;0,AF425=0),"",IF(AF426&gt;AF425,"tasso troppo alto",""))</f>
        <v/>
      </c>
      <c r="AG427" s="759"/>
      <c r="AL427" s="761" t="str">
        <f>IF(AND(AM426&lt;&gt;0,AM425=0),"",IF(AM426&gt;AM425,"tasso troppo alto",""))</f>
        <v/>
      </c>
    </row>
    <row r="428" spans="1:39">
      <c r="A428" s="757">
        <v>419</v>
      </c>
      <c r="B428" s="755"/>
      <c r="C428" s="834"/>
      <c r="D428" s="762"/>
      <c r="E428" s="762"/>
      <c r="G428" s="762"/>
      <c r="H428" s="818"/>
      <c r="J428" s="762" t="s">
        <v>1620</v>
      </c>
      <c r="N428" s="762"/>
      <c r="O428" s="860"/>
      <c r="P428" s="759"/>
      <c r="Q428" s="762" t="s">
        <v>1620</v>
      </c>
      <c r="R428" s="759"/>
      <c r="S428" s="759"/>
      <c r="T428" s="759"/>
      <c r="U428" s="762"/>
      <c r="V428" s="769"/>
      <c r="W428" s="759"/>
      <c r="X428" s="762" t="s">
        <v>1620</v>
      </c>
      <c r="Z428" s="759"/>
      <c r="AB428" s="762"/>
      <c r="AC428" s="769"/>
      <c r="AD428" s="759"/>
      <c r="AE428" s="762" t="s">
        <v>1620</v>
      </c>
      <c r="AF428" s="759"/>
      <c r="AG428" s="759"/>
      <c r="AH428" s="759"/>
      <c r="AI428" s="762"/>
      <c r="AJ428" s="769"/>
      <c r="AK428" s="759"/>
      <c r="AL428" s="762" t="s">
        <v>1620</v>
      </c>
      <c r="AM428" s="759"/>
    </row>
    <row r="429" spans="1:39">
      <c r="A429" s="757">
        <v>420</v>
      </c>
      <c r="B429" s="772" t="str">
        <f>INDEX(Standardwerte!$V$6:$V$43,Rechnung!$C429,1)</f>
        <v>Energia solare termica, solo riscaldamento</v>
      </c>
      <c r="C429" s="835">
        <v>31</v>
      </c>
      <c r="D429" s="819"/>
      <c r="E429" s="820"/>
      <c r="F429" s="821"/>
      <c r="G429" s="819"/>
      <c r="H429" s="822"/>
      <c r="J429" s="760" t="s">
        <v>525</v>
      </c>
      <c r="K429" s="756" t="s">
        <v>1622</v>
      </c>
      <c r="M429" s="756"/>
      <c r="N429" s="760"/>
      <c r="O429" s="852"/>
      <c r="P429" s="756"/>
      <c r="Q429" s="760" t="s">
        <v>525</v>
      </c>
      <c r="R429" s="756" t="s">
        <v>1622</v>
      </c>
      <c r="S429" s="759"/>
      <c r="T429" s="756"/>
      <c r="U429" s="760"/>
      <c r="V429" s="764"/>
      <c r="W429" s="756"/>
      <c r="X429" s="760" t="s">
        <v>525</v>
      </c>
      <c r="Y429" s="756" t="s">
        <v>1622</v>
      </c>
      <c r="Z429" s="759"/>
      <c r="AA429" s="756"/>
      <c r="AB429" s="760"/>
      <c r="AC429" s="764"/>
      <c r="AD429" s="756"/>
      <c r="AE429" s="760" t="s">
        <v>525</v>
      </c>
      <c r="AF429" s="756" t="s">
        <v>1622</v>
      </c>
      <c r="AG429" s="759"/>
      <c r="AH429" s="756"/>
      <c r="AI429" s="760"/>
      <c r="AJ429" s="764"/>
      <c r="AK429" s="756"/>
      <c r="AL429" s="760" t="s">
        <v>525</v>
      </c>
      <c r="AM429" s="756" t="s">
        <v>1622</v>
      </c>
    </row>
    <row r="430" spans="1:39">
      <c r="A430" s="757">
        <v>421</v>
      </c>
      <c r="B430" s="778" t="s">
        <v>526</v>
      </c>
      <c r="C430" s="830"/>
      <c r="D430" s="779"/>
      <c r="E430" s="312"/>
      <c r="F430" s="313">
        <f>INDEX($M$10:$AM$162,$A$10+(_typ1-1)*14,1)</f>
        <v>0</v>
      </c>
      <c r="G430" s="780"/>
      <c r="H430" s="781"/>
      <c r="J430" s="782">
        <f>INDEX(Standardwerte!$Y$6:$Z$43,$C429,2)</f>
        <v>1</v>
      </c>
      <c r="K430" s="783">
        <f>INDEX(Standardwerte!$Y$6:$Z$43,$C429,1)</f>
        <v>0</v>
      </c>
      <c r="M430" s="315">
        <f>Produzione!$G$8</f>
        <v>0</v>
      </c>
      <c r="N430" s="764"/>
      <c r="O430" s="852"/>
      <c r="P430" s="756"/>
      <c r="Q430" s="756"/>
      <c r="R430" s="756"/>
      <c r="S430" s="759"/>
      <c r="T430" s="315">
        <f>Produzione!$G$22</f>
        <v>0</v>
      </c>
      <c r="U430" s="764"/>
      <c r="V430" s="764"/>
      <c r="W430" s="756"/>
      <c r="X430" s="756"/>
      <c r="Y430" s="756"/>
      <c r="Z430" s="759"/>
      <c r="AA430" s="315">
        <f>Produzione!$G$36</f>
        <v>0</v>
      </c>
      <c r="AB430" s="764"/>
      <c r="AC430" s="764"/>
      <c r="AD430" s="756"/>
      <c r="AE430" s="756"/>
      <c r="AF430" s="756"/>
      <c r="AG430" s="759"/>
      <c r="AH430" s="315">
        <f>Produzione!$G$50</f>
        <v>0</v>
      </c>
      <c r="AI430" s="764"/>
      <c r="AJ430" s="764"/>
      <c r="AK430" s="756"/>
      <c r="AL430" s="756"/>
      <c r="AM430" s="756"/>
    </row>
    <row r="431" spans="1:39">
      <c r="A431" s="757">
        <v>422</v>
      </c>
      <c r="B431" s="784"/>
      <c r="C431" s="831"/>
      <c r="E431" s="786"/>
      <c r="F431" s="809"/>
      <c r="G431" s="787"/>
      <c r="H431" s="788"/>
      <c r="J431" s="782"/>
      <c r="K431" s="783"/>
      <c r="M431" s="315">
        <f>Produzione!$G$10</f>
        <v>0</v>
      </c>
      <c r="N431" s="764"/>
      <c r="O431" s="861">
        <f>F431</f>
        <v>0</v>
      </c>
      <c r="P431" s="756"/>
      <c r="Q431" s="756"/>
      <c r="R431" s="756"/>
      <c r="S431" s="759"/>
      <c r="T431" s="315">
        <f>Produzione!$G$24</f>
        <v>0</v>
      </c>
      <c r="U431" s="764"/>
      <c r="V431" s="28">
        <f>F431</f>
        <v>0</v>
      </c>
      <c r="W431" s="756"/>
      <c r="X431" s="756"/>
      <c r="Y431" s="756"/>
      <c r="Z431" s="759"/>
      <c r="AA431" s="315">
        <f>Produzione!$G$38</f>
        <v>0</v>
      </c>
      <c r="AB431" s="764"/>
      <c r="AC431" s="28">
        <f>F431</f>
        <v>0</v>
      </c>
      <c r="AD431" s="756"/>
      <c r="AE431" s="756"/>
      <c r="AF431" s="756"/>
      <c r="AG431" s="759"/>
      <c r="AH431" s="315">
        <f>Produzione!$G$52</f>
        <v>0</v>
      </c>
      <c r="AI431" s="764"/>
      <c r="AJ431" s="28">
        <f>F431</f>
        <v>0</v>
      </c>
      <c r="AK431" s="756"/>
      <c r="AL431" s="756"/>
      <c r="AM431" s="756"/>
    </row>
    <row r="432" spans="1:39">
      <c r="A432" s="757">
        <v>423</v>
      </c>
      <c r="B432" s="789"/>
      <c r="C432" s="790"/>
      <c r="D432" s="786"/>
      <c r="E432" s="786"/>
      <c r="F432" s="1344"/>
      <c r="G432" s="792"/>
      <c r="H432" s="793"/>
      <c r="J432" s="782"/>
      <c r="K432" s="783"/>
      <c r="L432" s="770">
        <v>1</v>
      </c>
      <c r="M432" s="756"/>
      <c r="N432" s="766"/>
      <c r="O432" s="854"/>
      <c r="P432" s="756"/>
      <c r="Q432" s="756"/>
      <c r="R432" s="756"/>
      <c r="S432" s="759"/>
      <c r="T432" s="756"/>
      <c r="U432" s="766"/>
      <c r="V432" s="767"/>
      <c r="W432" s="756"/>
      <c r="X432" s="756"/>
      <c r="Y432" s="756"/>
      <c r="Z432" s="759"/>
      <c r="AA432" s="756"/>
      <c r="AB432" s="766"/>
      <c r="AC432" s="767"/>
      <c r="AD432" s="756"/>
      <c r="AE432" s="756"/>
      <c r="AF432" s="756"/>
      <c r="AG432" s="759"/>
      <c r="AH432" s="756"/>
      <c r="AI432" s="766"/>
      <c r="AJ432" s="767"/>
      <c r="AK432" s="756"/>
      <c r="AL432" s="756"/>
      <c r="AM432" s="756"/>
    </row>
    <row r="433" spans="1:39">
      <c r="A433" s="757">
        <v>424</v>
      </c>
      <c r="B433" s="789"/>
      <c r="C433" s="790"/>
      <c r="D433" s="786"/>
      <c r="E433" s="786"/>
      <c r="F433" s="791"/>
      <c r="G433" s="303"/>
      <c r="H433" s="316"/>
      <c r="J433" s="782"/>
      <c r="K433" s="783"/>
      <c r="M433" s="756"/>
      <c r="N433" s="321"/>
      <c r="O433" s="855" t="str">
        <f>IF(M431&lt;&gt;0,M431,IF(Produzione!$E$10&lt;&gt;"",Produzione!$E$10,Produzione!$G$9))</f>
        <v/>
      </c>
      <c r="P433" s="756"/>
      <c r="Q433" s="756"/>
      <c r="R433" s="756"/>
      <c r="S433" s="759"/>
      <c r="T433" s="756"/>
      <c r="U433" s="321"/>
      <c r="V433" s="322" t="str">
        <f>IF(T431&lt;&gt;0,T431,IF(Produzione!$E$24&lt;&gt;"",Produzione!$E$24,Produzione!$G$23))</f>
        <v/>
      </c>
      <c r="W433" s="756"/>
      <c r="X433" s="756"/>
      <c r="Y433" s="756"/>
      <c r="Z433" s="759"/>
      <c r="AA433" s="756"/>
      <c r="AB433" s="321"/>
      <c r="AC433" s="322" t="str">
        <f>IF(AA431&lt;&gt;0,AA431,IF(Produzione!$E$38&lt;&gt;"",Produzione!$E$38,Produzione!$G$37))</f>
        <v/>
      </c>
      <c r="AD433" s="756"/>
      <c r="AE433" s="756"/>
      <c r="AF433" s="756"/>
      <c r="AG433" s="759"/>
      <c r="AH433" s="756"/>
      <c r="AI433" s="321"/>
      <c r="AJ433" s="322" t="str">
        <f>IF(AH431&lt;&gt;0,AH431,IF(Produzione!$E$52&lt;&gt;"",Produzione!$E$52,Produzione!$G$51))</f>
        <v/>
      </c>
      <c r="AK433" s="756"/>
      <c r="AL433" s="756"/>
      <c r="AM433" s="756"/>
    </row>
    <row r="434" spans="1:39">
      <c r="A434" s="757">
        <v>425</v>
      </c>
      <c r="B434" s="789" t="s">
        <v>52</v>
      </c>
      <c r="C434" s="790" t="s">
        <v>457</v>
      </c>
      <c r="D434" s="787"/>
      <c r="E434" s="795"/>
      <c r="F434" s="1344"/>
      <c r="G434" s="796"/>
      <c r="H434" s="797"/>
      <c r="J434" s="782"/>
      <c r="K434" s="783"/>
      <c r="L434" s="770">
        <v>2</v>
      </c>
      <c r="M434" s="315">
        <f>Produzione!$G$12</f>
        <v>0</v>
      </c>
      <c r="N434" s="758"/>
      <c r="O434" s="854"/>
      <c r="P434" s="756"/>
      <c r="Q434" s="756"/>
      <c r="R434" s="756"/>
      <c r="S434" s="759"/>
      <c r="T434" s="315">
        <f>Produzione!$G$26</f>
        <v>0</v>
      </c>
      <c r="U434" s="758"/>
      <c r="V434" s="758"/>
      <c r="W434" s="756"/>
      <c r="X434" s="756"/>
      <c r="Y434" s="756"/>
      <c r="Z434" s="759"/>
      <c r="AA434" s="315">
        <f>Produzione!$G$40</f>
        <v>0</v>
      </c>
      <c r="AB434" s="758"/>
      <c r="AC434" s="758"/>
      <c r="AD434" s="756"/>
      <c r="AE434" s="756"/>
      <c r="AF434" s="756"/>
      <c r="AG434" s="759"/>
      <c r="AH434" s="315">
        <f>Produzione!$G$54</f>
        <v>0</v>
      </c>
      <c r="AI434" s="758"/>
      <c r="AJ434" s="758"/>
      <c r="AK434" s="756"/>
      <c r="AL434" s="756"/>
      <c r="AM434" s="756"/>
    </row>
    <row r="435" spans="1:39">
      <c r="A435" s="757">
        <v>426</v>
      </c>
      <c r="B435" s="789" t="s">
        <v>53</v>
      </c>
      <c r="C435" s="790" t="s">
        <v>410</v>
      </c>
      <c r="D435" s="796"/>
      <c r="E435" s="795" t="s">
        <v>54</v>
      </c>
      <c r="F435" s="1344"/>
      <c r="G435" s="787"/>
      <c r="H435" s="798"/>
      <c r="J435" s="782"/>
      <c r="K435" s="783"/>
      <c r="L435" s="770">
        <v>2</v>
      </c>
      <c r="M435" s="315">
        <f>Produzione!$G$13</f>
        <v>0</v>
      </c>
      <c r="N435" s="764"/>
      <c r="O435" s="863">
        <f>IF(M435&lt;&gt;0,M435,$Q$435)</f>
        <v>0</v>
      </c>
      <c r="P435" s="756"/>
      <c r="Q435" s="178"/>
      <c r="R435" s="756"/>
      <c r="S435" s="759"/>
      <c r="T435" s="315">
        <f>Produzione!$G$27</f>
        <v>0</v>
      </c>
      <c r="U435" s="764"/>
      <c r="V435" s="145">
        <f>IF(T435&lt;&gt;0,T435,$X$435)</f>
        <v>0</v>
      </c>
      <c r="W435" s="756"/>
      <c r="X435" s="178"/>
      <c r="Y435" s="756"/>
      <c r="Z435" s="759"/>
      <c r="AA435" s="315">
        <f>Produzione!$G$41</f>
        <v>0</v>
      </c>
      <c r="AB435" s="764"/>
      <c r="AC435" s="145">
        <f>IF(AA435&lt;&gt;0,AA435,$AE$435)</f>
        <v>0</v>
      </c>
      <c r="AD435" s="756"/>
      <c r="AE435" s="178"/>
      <c r="AF435" s="756"/>
      <c r="AG435" s="759"/>
      <c r="AH435" s="315">
        <f>Produzione!$G$55</f>
        <v>0</v>
      </c>
      <c r="AI435" s="764"/>
      <c r="AJ435" s="145">
        <f>IF(AH435&lt;&gt;0,AH435,$AL$435)</f>
        <v>0</v>
      </c>
      <c r="AK435" s="756"/>
      <c r="AL435" s="178"/>
      <c r="AM435" s="756"/>
    </row>
    <row r="436" spans="1:39">
      <c r="A436" s="757">
        <v>427</v>
      </c>
      <c r="B436" s="799" t="str">
        <f>IF(J430=1,"Temperatura di mandata riscaldamento","")</f>
        <v>Temperatura di mandata riscaldamento</v>
      </c>
      <c r="C436" s="831" t="str">
        <f>IF(J430=1,"°C","")</f>
        <v>°C</v>
      </c>
      <c r="D436" s="786"/>
      <c r="E436" s="786"/>
      <c r="F436" s="1344"/>
      <c r="G436" s="787"/>
      <c r="H436" s="800"/>
      <c r="J436" s="782"/>
      <c r="K436" s="783"/>
      <c r="L436" s="770">
        <v>2</v>
      </c>
      <c r="M436" s="315">
        <f>Produzione!$G$14</f>
        <v>0</v>
      </c>
      <c r="N436" s="764"/>
      <c r="O436" s="852"/>
      <c r="P436" s="756"/>
      <c r="Q436" s="756"/>
      <c r="R436" s="756"/>
      <c r="S436" s="759"/>
      <c r="T436" s="315">
        <f>Produzione!$G$28</f>
        <v>0</v>
      </c>
      <c r="U436" s="764"/>
      <c r="V436" s="764"/>
      <c r="W436" s="756"/>
      <c r="X436" s="756"/>
      <c r="Y436" s="756"/>
      <c r="Z436" s="759"/>
      <c r="AA436" s="315">
        <f>Produzione!$G$42</f>
        <v>0</v>
      </c>
      <c r="AB436" s="764"/>
      <c r="AC436" s="764"/>
      <c r="AD436" s="756"/>
      <c r="AE436" s="756"/>
      <c r="AF436" s="756"/>
      <c r="AG436" s="759"/>
      <c r="AH436" s="315">
        <f>Produzione!$G$56</f>
        <v>0</v>
      </c>
      <c r="AI436" s="764"/>
      <c r="AJ436" s="764"/>
      <c r="AK436" s="756"/>
      <c r="AL436" s="756"/>
      <c r="AM436" s="756"/>
    </row>
    <row r="437" spans="1:39">
      <c r="A437" s="757">
        <v>428</v>
      </c>
      <c r="B437" s="799" t="str">
        <f>IF(AND(Warmwasser,K430=1),"Temperatura acqua calda sanitaria","")</f>
        <v/>
      </c>
      <c r="C437" s="831" t="str">
        <f>IF(AND(Warmwasser,K430=1),"°C","")</f>
        <v/>
      </c>
      <c r="D437" s="786"/>
      <c r="E437" s="786"/>
      <c r="F437" s="1344"/>
      <c r="G437" s="796"/>
      <c r="H437" s="788"/>
      <c r="J437" s="782"/>
      <c r="K437" s="783"/>
      <c r="M437" s="315">
        <f>Produzione!$G$15</f>
        <v>0</v>
      </c>
      <c r="N437" s="758"/>
      <c r="O437" s="853"/>
      <c r="P437" s="756"/>
      <c r="Q437" s="756"/>
      <c r="R437" s="756" t="str">
        <f>IF(AND($K430=0,R440&lt;&gt;0),"Riscald. ausgewählt",IF(AND($J430=0,Q370&gt;0),"Acqua calda ausgewählt",""))</f>
        <v/>
      </c>
      <c r="S437" s="759"/>
      <c r="T437" s="315">
        <f>Produzione!$G$29</f>
        <v>0</v>
      </c>
      <c r="U437" s="758"/>
      <c r="V437" s="765"/>
      <c r="W437" s="756"/>
      <c r="X437" s="756"/>
      <c r="Y437" s="756" t="str">
        <f>IF(AND($K430=0,Y440&lt;&gt;0),"Riscald. ausgewählt",IF(AND($J430=0,X370&gt;0),"Acqua calda ausgewählt",""))</f>
        <v/>
      </c>
      <c r="Z437" s="759"/>
      <c r="AA437" s="315">
        <f>Produzione!$G$43</f>
        <v>0</v>
      </c>
      <c r="AB437" s="758"/>
      <c r="AC437" s="765"/>
      <c r="AD437" s="756"/>
      <c r="AE437" s="756"/>
      <c r="AF437" s="756" t="str">
        <f>IF(AND($K430=0,AF440&lt;&gt;0),"Riscald. ausgewählt",IF(AND($J430=0,AE370&gt;0),"Acqua calda ausgewählt",""))</f>
        <v/>
      </c>
      <c r="AG437" s="759"/>
      <c r="AH437" s="315">
        <f>Produzione!$G$57</f>
        <v>0</v>
      </c>
      <c r="AI437" s="758"/>
      <c r="AJ437" s="765"/>
      <c r="AK437" s="756"/>
      <c r="AL437" s="756"/>
      <c r="AM437" s="756" t="str">
        <f>IF(AND($K430=0,AM440&lt;&gt;0),"Riscald. ausgewählt",IF(AND($J430=0,AL370&gt;0),"Acqua calda ausgewählt",""))</f>
        <v/>
      </c>
    </row>
    <row r="438" spans="1:39">
      <c r="A438" s="757">
        <v>429</v>
      </c>
      <c r="B438" s="799"/>
      <c r="C438" s="831"/>
      <c r="D438" s="795"/>
      <c r="E438" s="795"/>
      <c r="F438" s="791"/>
      <c r="G438" s="303"/>
      <c r="H438" s="317"/>
      <c r="J438" s="801"/>
      <c r="K438" s="802"/>
      <c r="M438" s="756"/>
      <c r="N438" s="321"/>
      <c r="O438" s="856"/>
      <c r="P438" s="756"/>
      <c r="Q438" s="756">
        <f>IF(Q440&lt;&gt;0,MIN(Q439,Q440),Q439)*J430</f>
        <v>0</v>
      </c>
      <c r="R438" s="756">
        <f>IF(R439&lt;&gt;0,R439,R440)*K430</f>
        <v>0</v>
      </c>
      <c r="S438" s="759"/>
      <c r="T438" s="756"/>
      <c r="U438" s="321"/>
      <c r="V438" s="323"/>
      <c r="W438" s="756"/>
      <c r="X438" s="756">
        <f>IF(X440&lt;&gt;0,MIN(X439,X440),X439)*J430</f>
        <v>0</v>
      </c>
      <c r="Y438" s="756">
        <f>IF(Y439&lt;&gt;0,Y439,Y440)*K430</f>
        <v>0</v>
      </c>
      <c r="Z438" s="759"/>
      <c r="AA438" s="756"/>
      <c r="AB438" s="321"/>
      <c r="AC438" s="323"/>
      <c r="AD438" s="756"/>
      <c r="AE438" s="756">
        <f>IF(AE440&lt;&gt;0,MIN(AE439,AE440),AE439)*J430</f>
        <v>0</v>
      </c>
      <c r="AF438" s="756">
        <f>IF(AF439&lt;&gt;0,AF439,AF440)*K430</f>
        <v>0</v>
      </c>
      <c r="AG438" s="759"/>
      <c r="AH438" s="756"/>
      <c r="AI438" s="321"/>
      <c r="AJ438" s="323"/>
      <c r="AK438" s="756"/>
      <c r="AL438" s="756">
        <f>IF(AL440&lt;&gt;0,MIN(AL439,AL440),AL439)*J430</f>
        <v>0</v>
      </c>
      <c r="AM438" s="756">
        <f>IF(AM439&lt;&gt;0,AM439,AM440)*K430</f>
        <v>0</v>
      </c>
    </row>
    <row r="439" spans="1:39">
      <c r="A439" s="757">
        <v>430</v>
      </c>
      <c r="B439" s="789" t="s">
        <v>652</v>
      </c>
      <c r="C439" s="813" t="s">
        <v>410</v>
      </c>
      <c r="D439" s="795"/>
      <c r="E439" s="786"/>
      <c r="F439" s="792"/>
      <c r="G439" s="303"/>
      <c r="H439" s="318"/>
      <c r="J439" s="803"/>
      <c r="K439" s="804"/>
      <c r="M439" s="758"/>
      <c r="N439" s="321"/>
      <c r="O439" s="845">
        <f>Q438/100*qh/3.6+R438/100*qw</f>
        <v>0</v>
      </c>
      <c r="P439" s="756"/>
      <c r="Q439" s="756">
        <f>IF(qh&gt;0,IF((100/(qh/3.6)*O435*M434/EBF)&gt;100,100,(100/(qh/3.6)*O435*M434/EBF)),0)*$J430</f>
        <v>0</v>
      </c>
      <c r="R439" s="756">
        <v>0</v>
      </c>
      <c r="S439" s="759"/>
      <c r="T439" s="756"/>
      <c r="U439" s="321"/>
      <c r="V439" s="845">
        <f>X438/100*qh/3.6+Y438/100*qw</f>
        <v>0</v>
      </c>
      <c r="W439" s="756"/>
      <c r="X439" s="756">
        <f>IF(qh&gt;0,IF((100/(qh/3.6)*V435*T434/EBF)&gt;100,100,(100/(qh/3.6)*V435*T434/EBF)),0)*$J430</f>
        <v>0</v>
      </c>
      <c r="Y439" s="756">
        <v>0</v>
      </c>
      <c r="Z439" s="759"/>
      <c r="AA439" s="758"/>
      <c r="AB439" s="321"/>
      <c r="AC439" s="845">
        <f>AE438/100*qh/3.6+AF438/100*qw</f>
        <v>0</v>
      </c>
      <c r="AD439" s="756"/>
      <c r="AE439" s="756">
        <f>IF(qh&gt;0,IF((100/(qh/3.6)*AC435*AA434/EBF)&gt;100,100,(100/(qh/3.6)*AC435*AA434/EBF)),0)*$J430</f>
        <v>0</v>
      </c>
      <c r="AF439" s="756">
        <v>0</v>
      </c>
      <c r="AG439" s="759"/>
      <c r="AH439" s="758"/>
      <c r="AI439" s="321"/>
      <c r="AJ439" s="845">
        <f>AL438/100*qh/3.6+AM438/100*qw</f>
        <v>0</v>
      </c>
      <c r="AK439" s="756"/>
      <c r="AL439" s="756">
        <f>IF(qh&gt;0,IF((100/(qh/3.6)*AJ435*AH434/EBF)&gt;100,100,(100/(qh/3.6)*AJ435*AH434/EBF)),0)*$J430</f>
        <v>0</v>
      </c>
      <c r="AM439" s="756">
        <v>0</v>
      </c>
    </row>
    <row r="440" spans="1:39">
      <c r="A440" s="757">
        <v>431</v>
      </c>
      <c r="B440" s="812" t="s">
        <v>41</v>
      </c>
      <c r="C440" s="813" t="s">
        <v>410</v>
      </c>
      <c r="D440" s="806"/>
      <c r="E440" s="806"/>
      <c r="F440" s="774"/>
      <c r="G440" s="319"/>
      <c r="H440" s="320"/>
      <c r="J440" s="807"/>
      <c r="K440" s="808"/>
      <c r="M440" s="756"/>
      <c r="N440" s="325"/>
      <c r="O440" s="849">
        <f>Q438/100*qh/3.6+R438/100*qw</f>
        <v>0</v>
      </c>
      <c r="P440" s="756"/>
      <c r="Q440" s="315">
        <f>Produzione!$K$18</f>
        <v>0</v>
      </c>
      <c r="R440" s="315">
        <f>Produzione!$L$18</f>
        <v>0</v>
      </c>
      <c r="S440" s="759"/>
      <c r="T440" s="756"/>
      <c r="U440" s="325"/>
      <c r="V440" s="847">
        <f>X438/100*qh/3.6+Y438/100*qw</f>
        <v>0</v>
      </c>
      <c r="W440" s="756"/>
      <c r="X440" s="315">
        <f>Produzione!$K$32</f>
        <v>0</v>
      </c>
      <c r="Y440" s="315">
        <f>Produzione!$L$32</f>
        <v>0</v>
      </c>
      <c r="Z440" s="759"/>
      <c r="AA440" s="756"/>
      <c r="AB440" s="325"/>
      <c r="AC440" s="847">
        <f>AE438/100*qh/3.6+AF438/100*qw</f>
        <v>0</v>
      </c>
      <c r="AD440" s="756"/>
      <c r="AE440" s="315">
        <f>Produzione!$K$46</f>
        <v>0</v>
      </c>
      <c r="AF440" s="315">
        <f>Produzione!$L$46</f>
        <v>0</v>
      </c>
      <c r="AG440" s="759"/>
      <c r="AH440" s="756"/>
      <c r="AI440" s="325"/>
      <c r="AJ440" s="847">
        <f>AL438/100*qh/3.6+AM438/100*qw</f>
        <v>0</v>
      </c>
      <c r="AK440" s="756"/>
      <c r="AL440" s="315">
        <f>Produzione!$K$60</f>
        <v>0</v>
      </c>
      <c r="AM440" s="315">
        <f>Produzione!$L$60</f>
        <v>0</v>
      </c>
    </row>
    <row r="441" spans="1:39">
      <c r="A441" s="757">
        <v>432</v>
      </c>
      <c r="B441" s="759"/>
      <c r="C441" s="833"/>
      <c r="D441" s="759"/>
      <c r="E441" s="759"/>
      <c r="F441" s="817"/>
      <c r="G441" s="759"/>
      <c r="H441" s="759"/>
      <c r="I441" s="759"/>
      <c r="J441" s="759"/>
      <c r="Q441" s="761" t="str">
        <f>IF(AND(Q440="",Q439=""),"",IF(Q440&gt;Q439,"tasso troppo alto",""))</f>
        <v/>
      </c>
      <c r="S441" s="759"/>
      <c r="X441" s="761" t="str">
        <f>IF(AND(X440="",X439=""),"",IF(X440&gt;X439,"tasso troppo alto",""))</f>
        <v/>
      </c>
      <c r="Z441" s="759"/>
      <c r="AE441" s="761" t="str">
        <f>IF(AND(AE440="",AE439=""),"",IF(AE440&gt;AE439,"tasso troppo alto",""))</f>
        <v/>
      </c>
      <c r="AG441" s="759"/>
      <c r="AL441" s="761" t="str">
        <f>IF(AND(AL440="",AL439=""),"",IF(AL440&gt;AL439,"tasso troppo alto",""))</f>
        <v/>
      </c>
    </row>
    <row r="442" spans="1:39">
      <c r="A442" s="757">
        <v>433</v>
      </c>
      <c r="B442" s="755"/>
      <c r="C442" s="834"/>
      <c r="D442" s="762"/>
      <c r="E442" s="762"/>
      <c r="G442" s="762"/>
      <c r="H442" s="818"/>
      <c r="J442" s="762" t="s">
        <v>1620</v>
      </c>
      <c r="N442" s="762"/>
      <c r="O442" s="860"/>
      <c r="P442" s="759"/>
      <c r="Q442" s="762" t="s">
        <v>1620</v>
      </c>
      <c r="R442" s="759"/>
      <c r="S442" s="759"/>
      <c r="T442" s="759"/>
      <c r="U442" s="762"/>
      <c r="V442" s="769"/>
      <c r="W442" s="759"/>
      <c r="X442" s="762" t="s">
        <v>1620</v>
      </c>
      <c r="Y442" s="759"/>
      <c r="Z442" s="759"/>
      <c r="AA442" s="759"/>
      <c r="AB442" s="762"/>
      <c r="AC442" s="769"/>
      <c r="AD442" s="759"/>
      <c r="AE442" s="762" t="s">
        <v>1620</v>
      </c>
      <c r="AF442" s="759"/>
      <c r="AG442" s="759"/>
      <c r="AH442" s="759"/>
      <c r="AI442" s="762"/>
      <c r="AJ442" s="769"/>
      <c r="AK442" s="759"/>
      <c r="AL442" s="762" t="s">
        <v>1620</v>
      </c>
      <c r="AM442" s="759"/>
    </row>
    <row r="443" spans="1:39">
      <c r="A443" s="757">
        <v>434</v>
      </c>
      <c r="B443" s="772" t="str">
        <f>INDEX(Standardwerte!$V$6:$V$43,Rechnung!$C443,1)</f>
        <v>Energia solare termica, solo acqua calda</v>
      </c>
      <c r="C443" s="835">
        <v>32</v>
      </c>
      <c r="D443" s="819"/>
      <c r="E443" s="820"/>
      <c r="F443" s="821"/>
      <c r="G443" s="819"/>
      <c r="H443" s="822"/>
      <c r="J443" s="760" t="s">
        <v>525</v>
      </c>
      <c r="K443" s="756" t="s">
        <v>1622</v>
      </c>
      <c r="M443" s="756"/>
      <c r="N443" s="760"/>
      <c r="O443" s="852"/>
      <c r="P443" s="756"/>
      <c r="Q443" s="760" t="s">
        <v>525</v>
      </c>
      <c r="R443" s="756" t="s">
        <v>1622</v>
      </c>
      <c r="S443" s="759"/>
      <c r="T443" s="756"/>
      <c r="U443" s="760"/>
      <c r="V443" s="764"/>
      <c r="W443" s="756"/>
      <c r="X443" s="760" t="s">
        <v>525</v>
      </c>
      <c r="Y443" s="756" t="s">
        <v>1622</v>
      </c>
      <c r="Z443" s="759"/>
      <c r="AA443" s="756"/>
      <c r="AB443" s="760"/>
      <c r="AC443" s="764"/>
      <c r="AD443" s="756"/>
      <c r="AE443" s="760" t="s">
        <v>525</v>
      </c>
      <c r="AF443" s="756" t="s">
        <v>1622</v>
      </c>
      <c r="AG443" s="759"/>
      <c r="AH443" s="756"/>
      <c r="AI443" s="760"/>
      <c r="AJ443" s="764"/>
      <c r="AK443" s="756"/>
      <c r="AL443" s="760" t="s">
        <v>525</v>
      </c>
      <c r="AM443" s="756" t="s">
        <v>1622</v>
      </c>
    </row>
    <row r="444" spans="1:39">
      <c r="A444" s="757">
        <v>435</v>
      </c>
      <c r="B444" s="778" t="s">
        <v>526</v>
      </c>
      <c r="C444" s="830"/>
      <c r="D444" s="779"/>
      <c r="E444" s="312"/>
      <c r="F444" s="313">
        <f>INDEX($M$10:$AM$162,$A$10+(_typ1-1)*14,1)</f>
        <v>0</v>
      </c>
      <c r="G444" s="780"/>
      <c r="H444" s="781"/>
      <c r="J444" s="782">
        <f>INDEX(Standardwerte!$Y$6:$Z$43,$C443,2)</f>
        <v>0</v>
      </c>
      <c r="K444" s="783">
        <f>INDEX(Standardwerte!$Y$6:$Z$43,$C443,1)</f>
        <v>1</v>
      </c>
      <c r="M444" s="315">
        <f>Produzione!$G$8</f>
        <v>0</v>
      </c>
      <c r="N444" s="764"/>
      <c r="O444" s="852"/>
      <c r="P444" s="756"/>
      <c r="Q444" s="756"/>
      <c r="R444" s="756"/>
      <c r="S444" s="759"/>
      <c r="T444" s="315">
        <f>Produzione!$G$22</f>
        <v>0</v>
      </c>
      <c r="U444" s="764"/>
      <c r="V444" s="764"/>
      <c r="W444" s="756"/>
      <c r="X444" s="756"/>
      <c r="Y444" s="756"/>
      <c r="Z444" s="759"/>
      <c r="AA444" s="315">
        <f>Produzione!$G$36</f>
        <v>0</v>
      </c>
      <c r="AB444" s="764"/>
      <c r="AC444" s="764"/>
      <c r="AD444" s="756"/>
      <c r="AE444" s="756"/>
      <c r="AF444" s="756"/>
      <c r="AG444" s="759"/>
      <c r="AH444" s="315">
        <f>Produzione!$G$50</f>
        <v>0</v>
      </c>
      <c r="AI444" s="764"/>
      <c r="AJ444" s="764"/>
      <c r="AK444" s="756"/>
      <c r="AL444" s="756"/>
      <c r="AM444" s="756"/>
    </row>
    <row r="445" spans="1:39">
      <c r="A445" s="757">
        <v>436</v>
      </c>
      <c r="B445" s="784"/>
      <c r="C445" s="831"/>
      <c r="E445" s="786"/>
      <c r="F445" s="809"/>
      <c r="G445" s="787"/>
      <c r="H445" s="788"/>
      <c r="J445" s="782"/>
      <c r="K445" s="783"/>
      <c r="M445" s="315">
        <f>Produzione!$G$10</f>
        <v>0</v>
      </c>
      <c r="N445" s="764"/>
      <c r="O445" s="861">
        <f>F445</f>
        <v>0</v>
      </c>
      <c r="P445" s="756"/>
      <c r="Q445" s="756"/>
      <c r="R445" s="756"/>
      <c r="S445" s="759"/>
      <c r="T445" s="315">
        <f>Produzione!$G$24</f>
        <v>0</v>
      </c>
      <c r="U445" s="764"/>
      <c r="V445" s="28">
        <f>F445</f>
        <v>0</v>
      </c>
      <c r="W445" s="756"/>
      <c r="X445" s="756"/>
      <c r="Y445" s="756"/>
      <c r="Z445" s="759"/>
      <c r="AA445" s="315">
        <f>Produzione!$G$38</f>
        <v>0</v>
      </c>
      <c r="AB445" s="764"/>
      <c r="AC445" s="28">
        <f>F445</f>
        <v>0</v>
      </c>
      <c r="AD445" s="756"/>
      <c r="AE445" s="756"/>
      <c r="AF445" s="756"/>
      <c r="AG445" s="759"/>
      <c r="AH445" s="315">
        <f>Produzione!$G$52</f>
        <v>0</v>
      </c>
      <c r="AI445" s="764"/>
      <c r="AJ445" s="28">
        <f>F445</f>
        <v>0</v>
      </c>
      <c r="AK445" s="756"/>
      <c r="AL445" s="756"/>
      <c r="AM445" s="756"/>
    </row>
    <row r="446" spans="1:39">
      <c r="A446" s="757">
        <v>437</v>
      </c>
      <c r="B446" s="789"/>
      <c r="C446" s="790"/>
      <c r="D446" s="786"/>
      <c r="E446" s="786"/>
      <c r="F446" s="1344"/>
      <c r="G446" s="792"/>
      <c r="H446" s="793"/>
      <c r="J446" s="782"/>
      <c r="K446" s="783"/>
      <c r="L446" s="770">
        <v>1</v>
      </c>
      <c r="M446" s="756"/>
      <c r="N446" s="766"/>
      <c r="O446" s="854"/>
      <c r="P446" s="756"/>
      <c r="Q446" s="756"/>
      <c r="R446" s="756"/>
      <c r="S446" s="759"/>
      <c r="T446" s="756"/>
      <c r="U446" s="766"/>
      <c r="V446" s="767"/>
      <c r="W446" s="756"/>
      <c r="X446" s="756"/>
      <c r="Y446" s="756"/>
      <c r="Z446" s="759"/>
      <c r="AA446" s="756"/>
      <c r="AB446" s="766"/>
      <c r="AC446" s="767"/>
      <c r="AD446" s="756"/>
      <c r="AE446" s="756"/>
      <c r="AF446" s="756"/>
      <c r="AG446" s="759"/>
      <c r="AH446" s="756"/>
      <c r="AI446" s="766"/>
      <c r="AJ446" s="767"/>
      <c r="AK446" s="756"/>
      <c r="AL446" s="756"/>
      <c r="AM446" s="756"/>
    </row>
    <row r="447" spans="1:39">
      <c r="A447" s="757">
        <v>438</v>
      </c>
      <c r="B447" s="789"/>
      <c r="C447" s="790"/>
      <c r="D447" s="786"/>
      <c r="E447" s="786"/>
      <c r="F447" s="791"/>
      <c r="G447" s="303"/>
      <c r="H447" s="316"/>
      <c r="J447" s="782"/>
      <c r="K447" s="783"/>
      <c r="M447" s="756"/>
      <c r="N447" s="321"/>
      <c r="O447" s="855" t="str">
        <f>IF(M445&lt;&gt;0,M445,IF(Produzione!$E$10&lt;&gt;"",Produzione!$E$10,Produzione!$G$9))</f>
        <v/>
      </c>
      <c r="P447" s="756"/>
      <c r="Q447" s="756"/>
      <c r="R447" s="756"/>
      <c r="S447" s="759"/>
      <c r="T447" s="756"/>
      <c r="U447" s="321"/>
      <c r="V447" s="322" t="str">
        <f>IF(T445&lt;&gt;0,T445,IF(Produzione!$E$24&lt;&gt;"",Produzione!$E$24,Produzione!$G$23))</f>
        <v/>
      </c>
      <c r="W447" s="756"/>
      <c r="X447" s="756"/>
      <c r="Y447" s="756"/>
      <c r="Z447" s="759"/>
      <c r="AA447" s="756"/>
      <c r="AB447" s="321"/>
      <c r="AC447" s="322" t="str">
        <f>IF(AA445&lt;&gt;0,AA445,IF(Produzione!$E$38&lt;&gt;"",Produzione!$E$38,Produzione!$G$37))</f>
        <v/>
      </c>
      <c r="AD447" s="756"/>
      <c r="AE447" s="756"/>
      <c r="AF447" s="756"/>
      <c r="AG447" s="759"/>
      <c r="AH447" s="756"/>
      <c r="AI447" s="321"/>
      <c r="AJ447" s="322" t="str">
        <f>IF(AH445&lt;&gt;0,AH445,IF(Produzione!$E$52&lt;&gt;"",Produzione!$E$52,Produzione!$G$51))</f>
        <v/>
      </c>
      <c r="AK447" s="756"/>
      <c r="AL447" s="756"/>
      <c r="AM447" s="756"/>
    </row>
    <row r="448" spans="1:39">
      <c r="A448" s="757">
        <v>439</v>
      </c>
      <c r="B448" s="789" t="s">
        <v>52</v>
      </c>
      <c r="C448" s="790" t="s">
        <v>457</v>
      </c>
      <c r="D448" s="787"/>
      <c r="E448" s="795"/>
      <c r="F448" s="1344"/>
      <c r="G448" s="796"/>
      <c r="H448" s="797"/>
      <c r="J448" s="782"/>
      <c r="K448" s="783"/>
      <c r="L448" s="770">
        <v>2</v>
      </c>
      <c r="M448" s="315">
        <f>Produzione!$G$12</f>
        <v>0</v>
      </c>
      <c r="N448" s="758"/>
      <c r="O448" s="854"/>
      <c r="P448" s="756"/>
      <c r="Q448" s="756"/>
      <c r="R448" s="756"/>
      <c r="S448" s="759"/>
      <c r="T448" s="315">
        <f>Produzione!$G$26</f>
        <v>0</v>
      </c>
      <c r="U448" s="758"/>
      <c r="V448" s="758"/>
      <c r="W448" s="756"/>
      <c r="X448" s="756"/>
      <c r="Y448" s="756"/>
      <c r="Z448" s="759"/>
      <c r="AA448" s="315">
        <f>Produzione!$G$40</f>
        <v>0</v>
      </c>
      <c r="AB448" s="758"/>
      <c r="AC448" s="758"/>
      <c r="AD448" s="756"/>
      <c r="AE448" s="756"/>
      <c r="AF448" s="756"/>
      <c r="AG448" s="759"/>
      <c r="AH448" s="315">
        <f>Produzione!$G$54</f>
        <v>0</v>
      </c>
      <c r="AI448" s="758"/>
      <c r="AJ448" s="758"/>
      <c r="AK448" s="756"/>
      <c r="AL448" s="756"/>
      <c r="AM448" s="756"/>
    </row>
    <row r="449" spans="1:39">
      <c r="A449" s="757">
        <v>440</v>
      </c>
      <c r="B449" s="789" t="s">
        <v>53</v>
      </c>
      <c r="C449" s="813" t="s">
        <v>410</v>
      </c>
      <c r="D449" s="796"/>
      <c r="E449" s="795" t="s">
        <v>54</v>
      </c>
      <c r="F449" s="1344"/>
      <c r="G449" s="787"/>
      <c r="H449" s="798"/>
      <c r="J449" s="782"/>
      <c r="K449" s="783"/>
      <c r="L449" s="770">
        <v>1</v>
      </c>
      <c r="M449" s="315">
        <f>Produzione!$G$13</f>
        <v>0</v>
      </c>
      <c r="N449" s="764"/>
      <c r="O449" s="863">
        <f>IF(M449&lt;&gt;0,M449,Q449)</f>
        <v>0</v>
      </c>
      <c r="P449" s="756"/>
      <c r="Q449" s="177">
        <f>IF(M448&gt;0,IF(qw&gt;0,IF(Hoehe&lt;800,(640/((1/M448)+380/(EBF*qw))/M448),(700/((1/M448)+380/(EBF*qw))/M448)),),)</f>
        <v>0</v>
      </c>
      <c r="R449" s="756"/>
      <c r="S449" s="759"/>
      <c r="T449" s="315">
        <f>Produzione!$G$27</f>
        <v>0</v>
      </c>
      <c r="U449" s="764"/>
      <c r="V449" s="145">
        <f>IF(T449&lt;&gt;0,T449,X449)</f>
        <v>0</v>
      </c>
      <c r="W449" s="756"/>
      <c r="X449" s="177">
        <f>IF(T448&gt;0,IF(qw&gt;0,IF(Hoehe&lt;800,(640/((1/T448)+380/(EBF*qw))/T448),(700/((1/T448)+380/(EBF*qw))/T448)),),)</f>
        <v>0</v>
      </c>
      <c r="Y449" s="756"/>
      <c r="Z449" s="759"/>
      <c r="AA449" s="315">
        <f>Produzione!$G$41</f>
        <v>0</v>
      </c>
      <c r="AB449" s="764"/>
      <c r="AC449" s="145">
        <f>IF(AA449&lt;&gt;0,AA449,AE449)</f>
        <v>0</v>
      </c>
      <c r="AD449" s="756"/>
      <c r="AE449" s="177">
        <f>IF(AA448&gt;0,IF(qw&gt;0,IF(Hoehe&lt;800,(640/((1/AA448)+380/(EBF*qw))/AA448),(700/((1/AA448)+380/(EBF*qw))/AA448)),0),)</f>
        <v>0</v>
      </c>
      <c r="AF449" s="756"/>
      <c r="AG449" s="759"/>
      <c r="AH449" s="315">
        <f>Produzione!$G$55</f>
        <v>0</v>
      </c>
      <c r="AI449" s="764"/>
      <c r="AJ449" s="145">
        <f>IF(AH449&lt;&gt;0,AH449,AL449)</f>
        <v>0</v>
      </c>
      <c r="AK449" s="756"/>
      <c r="AL449" s="177">
        <f>IF(AND(qw&gt;0,AH448&gt;0),IF(Hoehe&lt;800,(640/((1/AH448)+380/(EBF*qw))/AH448),(700/((1/AH448)+380/(EBF*qw))/AH448)),0)</f>
        <v>0</v>
      </c>
      <c r="AM449" s="756"/>
    </row>
    <row r="450" spans="1:39">
      <c r="A450" s="757">
        <v>441</v>
      </c>
      <c r="B450" s="799" t="str">
        <f>IF(J444=1,"Temperatura di mandata riscaldamento","")</f>
        <v/>
      </c>
      <c r="C450" s="831" t="str">
        <f>IF(J444=1,"°C","")</f>
        <v/>
      </c>
      <c r="D450" s="786"/>
      <c r="E450" s="786"/>
      <c r="F450" s="1344"/>
      <c r="G450" s="787"/>
      <c r="H450" s="800"/>
      <c r="J450" s="782"/>
      <c r="K450" s="783"/>
      <c r="M450" s="315">
        <f>Produzione!$G$14</f>
        <v>0</v>
      </c>
      <c r="N450" s="764"/>
      <c r="P450" s="756"/>
      <c r="Q450" s="756"/>
      <c r="R450" s="756"/>
      <c r="S450" s="759"/>
      <c r="T450" s="315">
        <f>Produzione!$G$28</f>
        <v>0</v>
      </c>
      <c r="U450" s="764"/>
      <c r="W450" s="756"/>
      <c r="X450" s="756"/>
      <c r="Y450" s="756"/>
      <c r="Z450" s="759"/>
      <c r="AA450" s="315">
        <f>Produzione!$G$42</f>
        <v>0</v>
      </c>
      <c r="AB450" s="764"/>
      <c r="AD450" s="756"/>
      <c r="AE450" s="756"/>
      <c r="AF450" s="756"/>
      <c r="AG450" s="759"/>
      <c r="AH450" s="315">
        <f>Produzione!$G$56</f>
        <v>0</v>
      </c>
      <c r="AI450" s="764"/>
      <c r="AK450" s="756"/>
      <c r="AL450" s="756"/>
      <c r="AM450" s="756"/>
    </row>
    <row r="451" spans="1:39">
      <c r="A451" s="757">
        <v>442</v>
      </c>
      <c r="B451" s="799" t="str">
        <f>IF(AND(Warmwasser,K444=1),"Temperatura acqua calda sanitaria","")</f>
        <v/>
      </c>
      <c r="C451" s="831" t="str">
        <f>IF(AND(Warmwasser,K444=1),"°C","")</f>
        <v/>
      </c>
      <c r="D451" s="786"/>
      <c r="E451" s="786"/>
      <c r="F451" s="1344"/>
      <c r="G451" s="796"/>
      <c r="H451" s="788"/>
      <c r="J451" s="782"/>
      <c r="K451" s="783"/>
      <c r="L451" s="770">
        <v>2</v>
      </c>
      <c r="M451" s="315">
        <f>Produzione!$G$15</f>
        <v>0</v>
      </c>
      <c r="N451" s="758"/>
      <c r="O451" s="853"/>
      <c r="P451" s="756"/>
      <c r="Q451" s="756"/>
      <c r="R451" s="756" t="str">
        <f>IF(AND($K444=0,R454&lt;&gt;0),"scelto riscald.",IF(AND($J444=0,Q440&gt;0),"scelta acqua calda",""))</f>
        <v/>
      </c>
      <c r="S451" s="759"/>
      <c r="T451" s="315">
        <f>Produzione!$G$29</f>
        <v>0</v>
      </c>
      <c r="U451" s="758"/>
      <c r="V451" s="765"/>
      <c r="W451" s="756"/>
      <c r="X451" s="756"/>
      <c r="Y451" s="756" t="str">
        <f>IF(AND($K444=0,Y454&lt;&gt;0),"Riscald. ausgewählt",IF(AND($J444=0,X440&gt;0),"Acqua calda ausgewählt",""))</f>
        <v/>
      </c>
      <c r="Z451" s="759"/>
      <c r="AA451" s="315">
        <f>Produzione!$G$43</f>
        <v>0</v>
      </c>
      <c r="AB451" s="758"/>
      <c r="AC451" s="765"/>
      <c r="AD451" s="756"/>
      <c r="AE451" s="756"/>
      <c r="AF451" s="756" t="str">
        <f>IF(AND($K444=0,AF454&lt;&gt;0),"Riscald. ausgewählt",IF(AND($J444=0,AE440&gt;0),"Acqua calda ausgewählt",""))</f>
        <v/>
      </c>
      <c r="AG451" s="759"/>
      <c r="AH451" s="315">
        <f>Produzione!$G$57</f>
        <v>0</v>
      </c>
      <c r="AI451" s="758"/>
      <c r="AJ451" s="765"/>
      <c r="AK451" s="756"/>
      <c r="AL451" s="756"/>
      <c r="AM451" s="756" t="str">
        <f>IF(AND($K444=0,AM454&lt;&gt;0),"Riscald. ausgewählt",IF(AND($J444=0,AL440&gt;0),"Acqua calda ausgewählt",""))</f>
        <v/>
      </c>
    </row>
    <row r="452" spans="1:39">
      <c r="A452" s="757">
        <v>443</v>
      </c>
      <c r="B452" s="799"/>
      <c r="C452" s="831"/>
      <c r="D452" s="795"/>
      <c r="E452" s="795"/>
      <c r="F452" s="791"/>
      <c r="G452" s="303"/>
      <c r="H452" s="317"/>
      <c r="J452" s="801"/>
      <c r="K452" s="802"/>
      <c r="M452" s="756"/>
      <c r="N452" s="321"/>
      <c r="O452" s="856"/>
      <c r="P452" s="756"/>
      <c r="Q452" s="756">
        <f>IF(Q453&lt;&gt;0,Q453,Q454)*J444</f>
        <v>0</v>
      </c>
      <c r="R452" s="756">
        <f>IF(M448&gt;0,IF(R454&lt;&gt;0,MIN(R453,R454),IF(AND(M449&lt;&gt;0,R454&lt;&gt;0),R454,R453)),)*K444</f>
        <v>0</v>
      </c>
      <c r="S452" s="759"/>
      <c r="T452" s="756"/>
      <c r="U452" s="321"/>
      <c r="V452" s="323"/>
      <c r="W452" s="756"/>
      <c r="X452" s="756">
        <f>IF(X453&lt;&gt;0,X453,X454)*J444</f>
        <v>0</v>
      </c>
      <c r="Y452" s="756">
        <f>IF(T448&gt;0,IF(Y454&lt;&gt;0,MIN(Y453,Y454),IF(AND(T449&lt;&gt;0,Y454&lt;&gt;0),Y454,Y453)),)*K444</f>
        <v>0</v>
      </c>
      <c r="Z452" s="759"/>
      <c r="AA452" s="756"/>
      <c r="AB452" s="321"/>
      <c r="AC452" s="323"/>
      <c r="AD452" s="756"/>
      <c r="AE452" s="756">
        <f>IF(AE453&lt;&gt;0,AE453,AE454)*J444</f>
        <v>0</v>
      </c>
      <c r="AF452" s="756">
        <f>IF(AA448&gt;0,IF(AF454&lt;&gt;0,MIN(AF453,AF454),IF(AND(AA449&lt;&gt;0,AF454&lt;&gt;0),AF454,AF453)),)*K444</f>
        <v>0</v>
      </c>
      <c r="AG452" s="759"/>
      <c r="AH452" s="756"/>
      <c r="AI452" s="321"/>
      <c r="AJ452" s="323"/>
      <c r="AK452" s="756"/>
      <c r="AL452" s="756">
        <f>IF(AL453&lt;&gt;0,AL453,AL454)*J444</f>
        <v>0</v>
      </c>
      <c r="AM452" s="756">
        <f>IF(AH448&gt;0,IF(AM454&lt;&gt;0,MIN(AM453,AM454),IF(AND(AH449&lt;&gt;0,AM454&lt;&gt;0),AM454,AM453)),)*K444</f>
        <v>0</v>
      </c>
    </row>
    <row r="453" spans="1:39">
      <c r="A453" s="757">
        <v>444</v>
      </c>
      <c r="B453" s="789" t="s">
        <v>652</v>
      </c>
      <c r="C453" s="813" t="s">
        <v>410</v>
      </c>
      <c r="D453" s="795"/>
      <c r="E453" s="786"/>
      <c r="F453" s="792"/>
      <c r="G453" s="303"/>
      <c r="H453" s="318"/>
      <c r="J453" s="803"/>
      <c r="K453" s="804"/>
      <c r="M453" s="758"/>
      <c r="N453" s="321"/>
      <c r="O453" s="845">
        <f>Q452/100*qh/3.6+R452/100*qw</f>
        <v>0</v>
      </c>
      <c r="P453" s="756"/>
      <c r="Q453" s="756">
        <v>0</v>
      </c>
      <c r="R453" s="756">
        <f>IF(EBF&gt;0,IF(M448&gt;0,IF(qw&gt;0,IF(M449&lt;&gt;0,MIN(100/qw*O449*M448/EBF,80),MIN(IF(Hoehe&lt;800,((640-Q449)/380*100),((700-Q449)/380*100)),80)),0),)*$K444,)</f>
        <v>0</v>
      </c>
      <c r="S453" s="759"/>
      <c r="T453" s="756"/>
      <c r="U453" s="321"/>
      <c r="V453" s="845">
        <f>X452/100*qh/3.6+Y452/100*qw</f>
        <v>0</v>
      </c>
      <c r="W453" s="756"/>
      <c r="X453" s="756">
        <v>0</v>
      </c>
      <c r="Y453" s="756">
        <f>IF(EBF&gt;0,IF(T448&gt;0,IF(qw&gt;0,IF(T449&lt;&gt;0,MIN(100/qw*V449*T448/EBF,80),MIN(IF(Hoehe&lt;800,((640-X449)/380*100),((700-X449)/380*100)),80)),0),)*$K444,)</f>
        <v>0</v>
      </c>
      <c r="Z453" s="759"/>
      <c r="AA453" s="758"/>
      <c r="AB453" s="321"/>
      <c r="AC453" s="845">
        <f>AE452/100*qh/3.6+AF452/100*qw</f>
        <v>0</v>
      </c>
      <c r="AD453" s="756"/>
      <c r="AE453" s="756">
        <v>0</v>
      </c>
      <c r="AF453" s="756">
        <f>IF(EBF&gt;0,IF(AA448&gt;0,IF(qw&gt;0,IF(AA449&lt;&gt;0,MIN(100/qw*AC449*AA448/EBF,80),MIN(IF(Hoehe&lt;800,((640-AE449)/380*100),((700-AE449)/380*100)),80)),0),)*$K444,)</f>
        <v>0</v>
      </c>
      <c r="AG453" s="759"/>
      <c r="AH453" s="758"/>
      <c r="AI453" s="321"/>
      <c r="AJ453" s="845">
        <f>AL452/100*qh/3.6+AM452/100*qw</f>
        <v>0</v>
      </c>
      <c r="AK453" s="756"/>
      <c r="AL453" s="756">
        <v>0</v>
      </c>
      <c r="AM453" s="756">
        <f>IF(EBF&gt;0,IF(AH448&gt;0,IF(qw&gt;0,IF(AH449&lt;&gt;0,MIN(100/qw*AJ449*AH448/EBF,80),MIN(IF(Hoehe&lt;800,((640-AL449)/380*100),((700-AL449)/380*100)),80)),0),)*$K444,)</f>
        <v>0</v>
      </c>
    </row>
    <row r="454" spans="1:39">
      <c r="A454" s="757">
        <v>445</v>
      </c>
      <c r="B454" s="812" t="s">
        <v>41</v>
      </c>
      <c r="C454" s="813" t="s">
        <v>410</v>
      </c>
      <c r="D454" s="806"/>
      <c r="E454" s="806"/>
      <c r="F454" s="774"/>
      <c r="G454" s="319"/>
      <c r="H454" s="320"/>
      <c r="J454" s="807"/>
      <c r="K454" s="808"/>
      <c r="M454" s="756"/>
      <c r="N454" s="325"/>
      <c r="O454" s="849">
        <f>Q452/100*qh/3.6+R452/100*qw</f>
        <v>0</v>
      </c>
      <c r="P454" s="756"/>
      <c r="Q454" s="315">
        <f>Produzione!$K$18</f>
        <v>0</v>
      </c>
      <c r="R454" s="315">
        <f>Produzione!$L$18</f>
        <v>0</v>
      </c>
      <c r="S454" s="759"/>
      <c r="T454" s="756"/>
      <c r="U454" s="325"/>
      <c r="V454" s="847">
        <f>X452/100*qh/3.6+Y452/100*qw</f>
        <v>0</v>
      </c>
      <c r="W454" s="756"/>
      <c r="X454" s="315">
        <f>Produzione!$K$32</f>
        <v>0</v>
      </c>
      <c r="Y454" s="315">
        <f>Produzione!$L$32</f>
        <v>0</v>
      </c>
      <c r="Z454" s="759"/>
      <c r="AA454" s="756"/>
      <c r="AB454" s="325"/>
      <c r="AC454" s="847">
        <f>AE452/100*qh/3.6+AF452/100*qw</f>
        <v>0</v>
      </c>
      <c r="AD454" s="756"/>
      <c r="AE454" s="315">
        <f>Produzione!$K$46</f>
        <v>0</v>
      </c>
      <c r="AF454" s="315">
        <f>Produzione!$L$46</f>
        <v>0</v>
      </c>
      <c r="AG454" s="759"/>
      <c r="AH454" s="756"/>
      <c r="AI454" s="325"/>
      <c r="AJ454" s="847">
        <f>AL452/100*qh/3.6+AM452/100*qw</f>
        <v>0</v>
      </c>
      <c r="AK454" s="756"/>
      <c r="AL454" s="315">
        <f>Produzione!$K$60</f>
        <v>0</v>
      </c>
      <c r="AM454" s="315">
        <f>Produzione!$L$60</f>
        <v>0</v>
      </c>
    </row>
    <row r="455" spans="1:39">
      <c r="A455" s="757">
        <v>446</v>
      </c>
      <c r="B455" s="759"/>
      <c r="C455" s="833"/>
      <c r="D455" s="759"/>
      <c r="E455" s="759"/>
      <c r="F455" s="817"/>
      <c r="G455" s="759"/>
      <c r="H455" s="759"/>
      <c r="I455" s="759"/>
      <c r="J455" s="759"/>
      <c r="Q455" s="761" t="str">
        <f>IF(AND(R454="",R453=""),"",IF(R454&gt;R453,"tasso troppo alto",""))</f>
        <v/>
      </c>
      <c r="S455" s="759"/>
      <c r="X455" s="761" t="str">
        <f>IF(AND(Y454="",Y453=""),"",IF(Y454&gt;Y453,"tasso troppo alto",""))</f>
        <v/>
      </c>
      <c r="Z455" s="759"/>
      <c r="AE455" s="761" t="str">
        <f>IF(AND(AF454="",AF453=""),"",IF(AF454&gt;AF453,"tasso troppo alto",""))</f>
        <v/>
      </c>
      <c r="AG455" s="759"/>
      <c r="AL455" s="761" t="str">
        <f>IF(AND(AM454="",AM453=""),"",IF(AM454&gt;AM453,"tasso troppo alto",""))</f>
        <v/>
      </c>
    </row>
    <row r="456" spans="1:39">
      <c r="A456" s="757">
        <v>447</v>
      </c>
      <c r="B456" s="755"/>
      <c r="C456" s="834"/>
      <c r="D456" s="762"/>
      <c r="E456" s="762"/>
      <c r="G456" s="762"/>
      <c r="H456" s="818"/>
      <c r="J456" s="762" t="s">
        <v>1620</v>
      </c>
      <c r="N456" s="762"/>
      <c r="O456" s="860"/>
      <c r="P456" s="759"/>
      <c r="Q456" s="762" t="s">
        <v>1620</v>
      </c>
      <c r="R456" s="759"/>
      <c r="S456" s="759"/>
      <c r="T456" s="759"/>
      <c r="U456" s="762"/>
      <c r="V456" s="769"/>
      <c r="W456" s="759"/>
      <c r="X456" s="762" t="s">
        <v>1620</v>
      </c>
      <c r="Y456" s="759"/>
      <c r="Z456" s="759"/>
      <c r="AA456" s="759"/>
      <c r="AB456" s="762"/>
      <c r="AC456" s="769"/>
      <c r="AD456" s="759"/>
      <c r="AE456" s="762" t="s">
        <v>1620</v>
      </c>
      <c r="AF456" s="759"/>
      <c r="AG456" s="759"/>
      <c r="AH456" s="759"/>
      <c r="AI456" s="762"/>
      <c r="AJ456" s="769"/>
      <c r="AK456" s="759"/>
      <c r="AL456" s="762" t="s">
        <v>1620</v>
      </c>
      <c r="AM456" s="759"/>
    </row>
    <row r="457" spans="1:39">
      <c r="A457" s="757">
        <v>448</v>
      </c>
      <c r="B457" s="772" t="str">
        <f>INDEX(Standardwerte!$V$6:$V$43,Rechnung!$C457,1)</f>
        <v>Energia solare termica, riscaldamento e acqua calda</v>
      </c>
      <c r="C457" s="835">
        <v>33</v>
      </c>
      <c r="D457" s="819"/>
      <c r="E457" s="820"/>
      <c r="F457" s="821"/>
      <c r="G457" s="819"/>
      <c r="H457" s="822"/>
      <c r="J457" s="760" t="s">
        <v>525</v>
      </c>
      <c r="K457" s="756" t="s">
        <v>1622</v>
      </c>
      <c r="M457" s="756"/>
      <c r="N457" s="760"/>
      <c r="O457" s="852"/>
      <c r="P457" s="756"/>
      <c r="Q457" s="760" t="s">
        <v>525</v>
      </c>
      <c r="R457" s="756" t="s">
        <v>1622</v>
      </c>
      <c r="S457" s="759"/>
      <c r="T457" s="756"/>
      <c r="U457" s="760"/>
      <c r="V457" s="764"/>
      <c r="W457" s="756"/>
      <c r="X457" s="760" t="s">
        <v>525</v>
      </c>
      <c r="Y457" s="756" t="s">
        <v>1622</v>
      </c>
      <c r="Z457" s="759"/>
      <c r="AA457" s="756"/>
      <c r="AB457" s="760"/>
      <c r="AC457" s="764"/>
      <c r="AD457" s="756"/>
      <c r="AE457" s="760" t="s">
        <v>525</v>
      </c>
      <c r="AF457" s="756" t="s">
        <v>1622</v>
      </c>
      <c r="AG457" s="759"/>
      <c r="AH457" s="756"/>
      <c r="AI457" s="760"/>
      <c r="AJ457" s="764"/>
      <c r="AK457" s="756"/>
      <c r="AL457" s="760" t="s">
        <v>525</v>
      </c>
      <c r="AM457" s="756" t="s">
        <v>1622</v>
      </c>
    </row>
    <row r="458" spans="1:39">
      <c r="A458" s="757">
        <v>449</v>
      </c>
      <c r="B458" s="778" t="s">
        <v>526</v>
      </c>
      <c r="C458" s="830"/>
      <c r="D458" s="779"/>
      <c r="E458" s="312"/>
      <c r="F458" s="313">
        <f>INDEX($M$10:$AM$162,$A$10+(_typ1-1)*14,1)</f>
        <v>0</v>
      </c>
      <c r="G458" s="780"/>
      <c r="H458" s="781"/>
      <c r="J458" s="782">
        <f>INDEX(Standardwerte!$Y$6:$Z$43,$C457,2)</f>
        <v>1</v>
      </c>
      <c r="K458" s="783">
        <f>INDEX(Standardwerte!$Y$6:$Z$43,$C457,1)</f>
        <v>1</v>
      </c>
      <c r="M458" s="315">
        <f>Produzione!$G$8</f>
        <v>0</v>
      </c>
      <c r="N458" s="764"/>
      <c r="O458" s="852"/>
      <c r="P458" s="756"/>
      <c r="Q458" s="756"/>
      <c r="R458" s="756"/>
      <c r="S458" s="759"/>
      <c r="T458" s="315">
        <f>Produzione!$G$22</f>
        <v>0</v>
      </c>
      <c r="U458" s="764"/>
      <c r="V458" s="764"/>
      <c r="W458" s="756"/>
      <c r="X458" s="756"/>
      <c r="Y458" s="756"/>
      <c r="Z458" s="759"/>
      <c r="AA458" s="315">
        <f>Produzione!$G$36</f>
        <v>0</v>
      </c>
      <c r="AB458" s="764"/>
      <c r="AC458" s="764"/>
      <c r="AD458" s="756"/>
      <c r="AE458" s="756"/>
      <c r="AF458" s="756"/>
      <c r="AG458" s="759"/>
      <c r="AH458" s="315">
        <f>Produzione!$G$50</f>
        <v>0</v>
      </c>
      <c r="AI458" s="764"/>
      <c r="AJ458" s="764"/>
      <c r="AK458" s="756"/>
      <c r="AL458" s="756"/>
      <c r="AM458" s="756"/>
    </row>
    <row r="459" spans="1:39">
      <c r="A459" s="757">
        <v>450</v>
      </c>
      <c r="B459" s="784"/>
      <c r="C459" s="831"/>
      <c r="E459" s="786"/>
      <c r="F459" s="809"/>
      <c r="G459" s="787"/>
      <c r="H459" s="788"/>
      <c r="J459" s="782"/>
      <c r="K459" s="783"/>
      <c r="M459" s="315">
        <f>Produzione!$G$10</f>
        <v>0</v>
      </c>
      <c r="N459" s="764"/>
      <c r="O459" s="861">
        <f>F459</f>
        <v>0</v>
      </c>
      <c r="P459" s="756"/>
      <c r="Q459" s="756"/>
      <c r="R459" s="756"/>
      <c r="S459" s="759"/>
      <c r="T459" s="315">
        <f>Produzione!$G$24</f>
        <v>0</v>
      </c>
      <c r="U459" s="764"/>
      <c r="V459" s="28">
        <f>F459</f>
        <v>0</v>
      </c>
      <c r="W459" s="756"/>
      <c r="X459" s="756"/>
      <c r="Y459" s="756"/>
      <c r="Z459" s="759"/>
      <c r="AA459" s="315">
        <f>Produzione!$G$38</f>
        <v>0</v>
      </c>
      <c r="AB459" s="764"/>
      <c r="AC459" s="28">
        <f>F459</f>
        <v>0</v>
      </c>
      <c r="AD459" s="756"/>
      <c r="AE459" s="756"/>
      <c r="AF459" s="756"/>
      <c r="AG459" s="759"/>
      <c r="AH459" s="315">
        <f>Produzione!$G$52</f>
        <v>0</v>
      </c>
      <c r="AI459" s="764"/>
      <c r="AJ459" s="28">
        <f>F459</f>
        <v>0</v>
      </c>
      <c r="AK459" s="756"/>
      <c r="AL459" s="756"/>
      <c r="AM459" s="756"/>
    </row>
    <row r="460" spans="1:39">
      <c r="A460" s="757">
        <v>451</v>
      </c>
      <c r="B460" s="789"/>
      <c r="C460" s="790"/>
      <c r="D460" s="786"/>
      <c r="E460" s="786"/>
      <c r="F460" s="1344"/>
      <c r="G460" s="792"/>
      <c r="H460" s="793"/>
      <c r="J460" s="782"/>
      <c r="K460" s="783"/>
      <c r="L460" s="770">
        <v>1</v>
      </c>
      <c r="M460" s="756"/>
      <c r="N460" s="766"/>
      <c r="O460" s="854"/>
      <c r="P460" s="756"/>
      <c r="Q460" s="756"/>
      <c r="R460" s="756"/>
      <c r="S460" s="759"/>
      <c r="T460" s="756"/>
      <c r="U460" s="766"/>
      <c r="V460" s="767"/>
      <c r="W460" s="756"/>
      <c r="X460" s="756"/>
      <c r="Y460" s="756"/>
      <c r="Z460" s="759"/>
      <c r="AA460" s="756"/>
      <c r="AB460" s="766"/>
      <c r="AC460" s="767"/>
      <c r="AD460" s="756"/>
      <c r="AE460" s="756"/>
      <c r="AF460" s="756"/>
      <c r="AG460" s="759"/>
      <c r="AH460" s="756"/>
      <c r="AI460" s="766"/>
      <c r="AJ460" s="767"/>
      <c r="AK460" s="756"/>
      <c r="AL460" s="756"/>
      <c r="AM460" s="756"/>
    </row>
    <row r="461" spans="1:39">
      <c r="A461" s="757">
        <v>452</v>
      </c>
      <c r="B461" s="789"/>
      <c r="C461" s="790"/>
      <c r="D461" s="786"/>
      <c r="E461" s="786"/>
      <c r="F461" s="791"/>
      <c r="G461" s="303"/>
      <c r="H461" s="316"/>
      <c r="J461" s="782"/>
      <c r="K461" s="783"/>
      <c r="M461" s="756"/>
      <c r="N461" s="321"/>
      <c r="O461" s="855" t="str">
        <f>IF(M459&lt;&gt;0,M459,IF(Produzione!$E$10&lt;&gt;"",Produzione!$E$10,Produzione!$G$9))</f>
        <v/>
      </c>
      <c r="P461" s="756"/>
      <c r="Q461" s="756"/>
      <c r="R461" s="756"/>
      <c r="S461" s="759"/>
      <c r="T461" s="756"/>
      <c r="U461" s="321"/>
      <c r="V461" s="322" t="str">
        <f>IF(T459&lt;&gt;0,T459,IF(Produzione!$E$24&lt;&gt;"",Produzione!$E$24,Produzione!$G$23))</f>
        <v/>
      </c>
      <c r="W461" s="756"/>
      <c r="X461" s="756"/>
      <c r="Y461" s="756"/>
      <c r="Z461" s="759"/>
      <c r="AA461" s="756"/>
      <c r="AB461" s="321"/>
      <c r="AC461" s="322" t="str">
        <f>IF(AA459&lt;&gt;0,AA459,IF(Produzione!$E$38&lt;&gt;"",Produzione!$E$38,Produzione!$G$37))</f>
        <v/>
      </c>
      <c r="AD461" s="756"/>
      <c r="AE461" s="756"/>
      <c r="AF461" s="756"/>
      <c r="AG461" s="759"/>
      <c r="AH461" s="756"/>
      <c r="AI461" s="321"/>
      <c r="AJ461" s="322" t="str">
        <f>IF(AH459&lt;&gt;0,AH459,IF(Produzione!$E$52&lt;&gt;"",Produzione!$E$52,Produzione!$G$51))</f>
        <v/>
      </c>
      <c r="AK461" s="756"/>
      <c r="AL461" s="756"/>
      <c r="AM461" s="756"/>
    </row>
    <row r="462" spans="1:39">
      <c r="A462" s="757">
        <v>453</v>
      </c>
      <c r="B462" s="789" t="s">
        <v>52</v>
      </c>
      <c r="C462" s="790" t="s">
        <v>457</v>
      </c>
      <c r="D462" s="787"/>
      <c r="E462" s="795"/>
      <c r="F462" s="1344"/>
      <c r="G462" s="796"/>
      <c r="H462" s="797"/>
      <c r="J462" s="782"/>
      <c r="K462" s="783"/>
      <c r="L462" s="770">
        <v>2</v>
      </c>
      <c r="M462" s="315">
        <f>Produzione!$G$12</f>
        <v>0</v>
      </c>
      <c r="N462" s="758"/>
      <c r="O462" s="854"/>
      <c r="P462" s="756"/>
      <c r="Q462" s="756"/>
      <c r="R462" s="756"/>
      <c r="S462" s="759"/>
      <c r="T462" s="315">
        <f>Produzione!$G$26</f>
        <v>0</v>
      </c>
      <c r="U462" s="758"/>
      <c r="V462" s="758"/>
      <c r="W462" s="756"/>
      <c r="X462" s="756"/>
      <c r="Y462" s="756"/>
      <c r="Z462" s="759"/>
      <c r="AA462" s="315">
        <f>Produzione!$G$40</f>
        <v>0</v>
      </c>
      <c r="AB462" s="758"/>
      <c r="AC462" s="758"/>
      <c r="AD462" s="756"/>
      <c r="AE462" s="756"/>
      <c r="AF462" s="756"/>
      <c r="AG462" s="759"/>
      <c r="AH462" s="315">
        <f>Produzione!$G$54</f>
        <v>0</v>
      </c>
      <c r="AI462" s="758"/>
      <c r="AJ462" s="758"/>
      <c r="AK462" s="756"/>
      <c r="AL462" s="756"/>
      <c r="AM462" s="756"/>
    </row>
    <row r="463" spans="1:39">
      <c r="A463" s="757">
        <v>454</v>
      </c>
      <c r="B463" s="789" t="s">
        <v>53</v>
      </c>
      <c r="C463" s="790" t="s">
        <v>410</v>
      </c>
      <c r="D463" s="796"/>
      <c r="E463" s="795" t="s">
        <v>54</v>
      </c>
      <c r="F463" s="1344"/>
      <c r="G463" s="787"/>
      <c r="H463" s="798"/>
      <c r="J463" s="782"/>
      <c r="K463" s="783"/>
      <c r="L463" s="770">
        <v>1</v>
      </c>
      <c r="M463" s="315">
        <f>Produzione!$G$13</f>
        <v>0</v>
      </c>
      <c r="N463" s="764"/>
      <c r="O463" s="863">
        <f>IF(M463&lt;&gt;0,M463,Q463)</f>
        <v>0</v>
      </c>
      <c r="P463" s="756"/>
      <c r="Q463" s="178">
        <f>IF(M462&gt;0,IF(Hoehe&lt;800,(440/((1/M462)+610/(EBF*(qw+qh/3.6)))/M462),(490/((1/M462)+610/(EBF*(qw+qh/3.6)))/M462)),)</f>
        <v>0</v>
      </c>
      <c r="R463" s="756"/>
      <c r="S463" s="759"/>
      <c r="T463" s="315">
        <f>Produzione!$G$27</f>
        <v>0</v>
      </c>
      <c r="U463" s="764"/>
      <c r="V463" s="145">
        <f>IF(T463&lt;&gt;0,T463,$X$463)</f>
        <v>0</v>
      </c>
      <c r="W463" s="756"/>
      <c r="X463" s="178">
        <f>IF(T462&gt;0,IF(Hoehe&lt;800,(440/((1/T462)+610/(EBF*(qw+qh/3.6)))/T462),(490/((1/T462)+610/(EBF*(qw+qh/3.6)))/T462)),)</f>
        <v>0</v>
      </c>
      <c r="Y463" s="756"/>
      <c r="Z463" s="759"/>
      <c r="AA463" s="315">
        <f>Produzione!$G$41</f>
        <v>0</v>
      </c>
      <c r="AB463" s="764"/>
      <c r="AC463" s="145">
        <f>IF(AA463&lt;&gt;0,AA463,$AE$463)</f>
        <v>0</v>
      </c>
      <c r="AD463" s="756"/>
      <c r="AE463" s="178">
        <f>IF(AA462&gt;0,IF(Hoehe&lt;800,(440/((1/AA462)+610/(EBF*(qw+qh/3.6)))/AA462),(490/((1/AA462)+610/(EBF*(qw+qh/3.6)))/AA462)),)</f>
        <v>0</v>
      </c>
      <c r="AF463" s="756"/>
      <c r="AG463" s="759"/>
      <c r="AH463" s="315">
        <f>Produzione!$G$55</f>
        <v>0</v>
      </c>
      <c r="AI463" s="764"/>
      <c r="AJ463" s="145">
        <f>IF(AH463&lt;&gt;0,AH463,$AL$463)</f>
        <v>0</v>
      </c>
      <c r="AK463" s="756"/>
      <c r="AL463" s="178">
        <f>IF(AH462&gt;0,IF(Hoehe&lt;800,(440/((1/AH462)+610/(EBF*(qw+qh/3.6)))/AH462),(490/((1/AH462)+610/(EBF*(qw+qh/3.6)))/AH462)),)</f>
        <v>0</v>
      </c>
      <c r="AM463" s="756"/>
    </row>
    <row r="464" spans="1:39">
      <c r="A464" s="757">
        <v>455</v>
      </c>
      <c r="B464" s="799" t="str">
        <f>IF(J458=1,"Temperatura di mandata riscaldamento","")</f>
        <v>Temperatura di mandata riscaldamento</v>
      </c>
      <c r="C464" s="831" t="str">
        <f>IF(J458=1,"°C","")</f>
        <v>°C</v>
      </c>
      <c r="D464" s="786"/>
      <c r="E464" s="786"/>
      <c r="F464" s="1344"/>
      <c r="G464" s="787"/>
      <c r="H464" s="800"/>
      <c r="J464" s="782"/>
      <c r="K464" s="783"/>
      <c r="L464" s="770">
        <v>2</v>
      </c>
      <c r="M464" s="315">
        <f>Produzione!$G$14</f>
        <v>0</v>
      </c>
      <c r="N464" s="764"/>
      <c r="O464" s="852"/>
      <c r="P464" s="756"/>
      <c r="Q464" s="593" t="s">
        <v>657</v>
      </c>
      <c r="R464" s="593">
        <f>IF(Hoehe&lt;800,(440-Q463)/610*100,(490-Q463)/610*100)</f>
        <v>72.131147540983605</v>
      </c>
      <c r="S464" s="759"/>
      <c r="T464" s="315">
        <f>Produzione!$G$28</f>
        <v>0</v>
      </c>
      <c r="U464" s="764"/>
      <c r="V464" s="764"/>
      <c r="W464" s="756"/>
      <c r="X464" s="593" t="s">
        <v>657</v>
      </c>
      <c r="Y464" s="593">
        <f>IF(Hoehe&lt;800,(440-X463)/610*100,(490-X463)/610*100)</f>
        <v>72.131147540983605</v>
      </c>
      <c r="Z464" s="759"/>
      <c r="AA464" s="315">
        <f>Produzione!$G$42</f>
        <v>0</v>
      </c>
      <c r="AB464" s="764"/>
      <c r="AC464" s="764"/>
      <c r="AD464" s="756"/>
      <c r="AE464" s="593" t="s">
        <v>657</v>
      </c>
      <c r="AF464" s="593">
        <f>IF(Hoehe&lt;800,(440-AE463)/610*100,(490-AE463)/610*100)</f>
        <v>72.131147540983605</v>
      </c>
      <c r="AG464" s="759"/>
      <c r="AH464" s="315">
        <f>Produzione!$G$56</f>
        <v>0</v>
      </c>
      <c r="AI464" s="764"/>
      <c r="AJ464" s="764"/>
      <c r="AK464" s="756"/>
      <c r="AL464" s="593" t="s">
        <v>657</v>
      </c>
      <c r="AM464" s="593">
        <f>IF(Hoehe&lt;800,(440-AL463)/610*100,(490-AL463)/610*100)</f>
        <v>72.131147540983605</v>
      </c>
    </row>
    <row r="465" spans="1:39">
      <c r="A465" s="757">
        <v>456</v>
      </c>
      <c r="B465" s="799" t="str">
        <f>IF(AND(Warmwasser,K458=1),"Temperatura acqua calda sanitaria","")</f>
        <v/>
      </c>
      <c r="C465" s="831" t="str">
        <f>IF(AND(Warmwasser,K458=1),"°C","")</f>
        <v/>
      </c>
      <c r="D465" s="786"/>
      <c r="E465" s="786"/>
      <c r="F465" s="1344"/>
      <c r="G465" s="796"/>
      <c r="H465" s="788"/>
      <c r="J465" s="782"/>
      <c r="K465" s="783"/>
      <c r="L465" s="770">
        <v>2</v>
      </c>
      <c r="M465" s="315">
        <f>Produzione!$G$15</f>
        <v>0</v>
      </c>
      <c r="N465" s="758"/>
      <c r="O465" s="853"/>
      <c r="P465" s="756"/>
      <c r="Q465" s="756"/>
      <c r="R465" s="756" t="str">
        <f>IF(AND(Q468&lt;&gt;0,Q466=0),"riscald. impossibile",IF(AND(Q466&lt;&gt;0,Q466&lt;Q468),"DG Riscald. troppo grande",""))</f>
        <v/>
      </c>
      <c r="S465" s="759"/>
      <c r="T465" s="315">
        <f>Produzione!$G$29</f>
        <v>0</v>
      </c>
      <c r="U465" s="758"/>
      <c r="V465" s="765"/>
      <c r="W465" s="756"/>
      <c r="X465" s="756"/>
      <c r="Y465" s="756" t="str">
        <f>IF(AND(X468&lt;&gt;0,X466=0),"non Riscald. possibile",IF(AND(X466&lt;&gt;0,X466&lt;X468),"DG Riscald. tropo grande",""))</f>
        <v/>
      </c>
      <c r="Z465" s="759"/>
      <c r="AA465" s="315">
        <f>Produzione!$G$43</f>
        <v>0</v>
      </c>
      <c r="AB465" s="758"/>
      <c r="AC465" s="765"/>
      <c r="AD465" s="756"/>
      <c r="AE465" s="756"/>
      <c r="AF465" s="756" t="str">
        <f>IF(AND(AE468&lt;&gt;0,AE466=0),"non Riscald. possibile",IF(AND(AE466&lt;&gt;0,AE466&lt;AE468),"DG Riscald. tropo grande",""))</f>
        <v/>
      </c>
      <c r="AG465" s="759"/>
      <c r="AH465" s="315">
        <f>Produzione!$G$57</f>
        <v>0</v>
      </c>
      <c r="AI465" s="758"/>
      <c r="AJ465" s="765"/>
      <c r="AK465" s="756"/>
      <c r="AL465" s="756"/>
      <c r="AM465" s="756" t="str">
        <f>IF(AND(AL468&lt;&gt;0,AL466=0),"non Riscald. possibile",IF(AND(AL466&lt;&gt;0,AL466&lt;AL468),"DG Riscald. tropo grande",""))</f>
        <v/>
      </c>
    </row>
    <row r="466" spans="1:39">
      <c r="A466" s="757">
        <v>457</v>
      </c>
      <c r="B466" s="799"/>
      <c r="C466" s="831"/>
      <c r="D466" s="795"/>
      <c r="E466" s="795"/>
      <c r="F466" s="791"/>
      <c r="G466" s="303"/>
      <c r="H466" s="317"/>
      <c r="J466" s="801"/>
      <c r="K466" s="802"/>
      <c r="M466" s="756"/>
      <c r="N466" s="321"/>
      <c r="O466" s="856"/>
      <c r="P466" s="756"/>
      <c r="Q466" s="756">
        <f>IF(Q468&lt;&gt;0,MIN(Q467,Q468),IF(AND(M463&lt;&gt;0,Q468&lt;&gt;0),Q468,Q467))*J458</f>
        <v>0</v>
      </c>
      <c r="R466" s="756">
        <f>IF(M462&gt;0,IF(R468&lt;&gt;0,MIN(R467,R468),IF(AND(M463&lt;&gt;0,R468&lt;&gt;0),R468,R467)),)*K458</f>
        <v>0</v>
      </c>
      <c r="S466" s="759"/>
      <c r="T466" s="756"/>
      <c r="U466" s="321"/>
      <c r="V466" s="323"/>
      <c r="W466" s="756"/>
      <c r="X466" s="756">
        <f>IF(X468&lt;&gt;0,MIN(X467,X468),IF(AND(T463&lt;&gt;0,X468&lt;&gt;0),X468,X467))*J458</f>
        <v>0</v>
      </c>
      <c r="Y466" s="756">
        <f>IF(T462&gt;0,IF(Y468&lt;&gt;0,MIN(Y467,Y468),IF(AND(T463&lt;&gt;0,Y468&lt;&gt;0),Y468,Y467)),)*K458</f>
        <v>0</v>
      </c>
      <c r="Z466" s="759"/>
      <c r="AA466" s="756"/>
      <c r="AB466" s="321"/>
      <c r="AC466" s="323"/>
      <c r="AD466" s="756"/>
      <c r="AE466" s="756">
        <f>IF(AE468&lt;&gt;0,MIN(AE467,AE468),IF(AND(AA463&lt;&gt;0,AE468&lt;&gt;0),AE468,AE467))*J458</f>
        <v>0</v>
      </c>
      <c r="AF466" s="756">
        <f>IF(AA462&gt;0,IF(AF468&lt;&gt;0,MIN(AF467,AF468),IF(AND(AA463&lt;&gt;0,AF468&lt;&gt;0),AF468,AF467)),)*K458</f>
        <v>0</v>
      </c>
      <c r="AG466" s="759"/>
      <c r="AH466" s="756"/>
      <c r="AI466" s="321"/>
      <c r="AJ466" s="323"/>
      <c r="AK466" s="756"/>
      <c r="AL466" s="756">
        <f>IF(AL468&lt;&gt;0,MIN(AL467,AL468),IF(AND(AH463&lt;&gt;0,AL468&lt;&gt;0),AL468,AL467))*J458</f>
        <v>0</v>
      </c>
      <c r="AM466" s="756">
        <f>IF(AH462&gt;0,IF(AM468&lt;&gt;0,MIN(AM467,AM468),IF(AND(AH463&lt;&gt;0,AM468&lt;&gt;0),AM468,AM467)),)*K458</f>
        <v>0</v>
      </c>
    </row>
    <row r="467" spans="1:39">
      <c r="A467" s="757">
        <v>458</v>
      </c>
      <c r="B467" s="789" t="s">
        <v>652</v>
      </c>
      <c r="C467" s="813" t="s">
        <v>410</v>
      </c>
      <c r="D467" s="795"/>
      <c r="E467" s="786"/>
      <c r="F467" s="792"/>
      <c r="G467" s="303"/>
      <c r="H467" s="318"/>
      <c r="J467" s="803"/>
      <c r="K467" s="804"/>
      <c r="M467" s="758"/>
      <c r="N467" s="321"/>
      <c r="O467" s="845">
        <f>Q466/100*qh/3.6+R466/100*qw</f>
        <v>0</v>
      </c>
      <c r="P467" s="756"/>
      <c r="Q467" s="756">
        <f>IF(EBF&gt;0,IF(AND(M462&gt;0,O463&gt;0),MIN(100/qh*3.6*(O463*M462/EBF-R466/100*qw),100),IF(R467&lt;70,0,IF(AND(M462&gt;0,M463&gt;0),M462*O463/EBF,((qw+qh/3.6)*R464/100-qw*0.7)/(qh/3.6)))*100),)</f>
        <v>0</v>
      </c>
      <c r="R467" s="756">
        <f>IF(qw&gt;0,IF(EBF&gt;0,IF((qh+qw)=0,,IF(AND(M462&gt;0,M463&gt;0),MIN(100/qw*O463*M462/EBF,100),IF(M462&gt;0,MIN(70,R464*(qw+qh/3.6)/qw),))),),0)</f>
        <v>0</v>
      </c>
      <c r="S467" s="759"/>
      <c r="T467" s="756"/>
      <c r="U467" s="321"/>
      <c r="V467" s="845">
        <f>X466/100*qh/3.6+Y466/100*qw</f>
        <v>0</v>
      </c>
      <c r="W467" s="756"/>
      <c r="X467" s="756">
        <f>IF(EBF&gt;0,IF(AND(T462&gt;0,V463&gt;0),MIN(100/qh*3.6*(V463*T462/EBF-Y466/100*qw),100),IF(Y467&lt;70,0,IF(AND(T462&gt;0,T463&gt;0),T462*V463/EBF,((qw+qh/3.6)*Y464/100-qw*0.7)/(qh/3.6)))*100),)</f>
        <v>0</v>
      </c>
      <c r="Y467" s="756">
        <f>IF(qw&gt;0,IF(EBF&gt;0,IF((qh+qw)=0,,IF(AND(T462&gt;0,T463&gt;0),MIN(100/qw*V463*T462/EBF,100),IF(T462&gt;0,MIN(70,Y464*(qw+qh/3.6)/qw),))),),0)</f>
        <v>0</v>
      </c>
      <c r="Z467" s="759"/>
      <c r="AA467" s="758"/>
      <c r="AB467" s="321"/>
      <c r="AC467" s="845">
        <f>AE466/100*qh/3.6+AF466/100*qw</f>
        <v>0</v>
      </c>
      <c r="AD467" s="756"/>
      <c r="AE467" s="756">
        <f>IF(EBF&gt;0,IF(AND(AA462&gt;0,AC463&gt;0),MIN(100/qh*3.6*(AC463*AA462/EBF-AF466/100*qw),100),IF(AF467&lt;70,0,IF(AND(AA462&gt;0,AA463&gt;0),AA462*AC463/EBF,((qw+qh/3.6)*AF464/100-qw*0.7)/(qh/3.6)))*100),)</f>
        <v>0</v>
      </c>
      <c r="AF467" s="756">
        <f>IF(qw&gt;0,IF(EBF&gt;0,IF((qh+qw)=0,,IF(AND(AA462&gt;0,AA463&gt;0),MIN(100/qw*AC463*AA462/EBF,100),IF(AA462&gt;0,MIN(70,AF464*(qw+qh/3.6)/qw),))),),0)</f>
        <v>0</v>
      </c>
      <c r="AG467" s="759"/>
      <c r="AH467" s="758"/>
      <c r="AI467" s="321"/>
      <c r="AJ467" s="845">
        <f>AL466/100*qh/3.6+AM466/100*qw</f>
        <v>0</v>
      </c>
      <c r="AK467" s="756"/>
      <c r="AL467" s="756">
        <f>IF(EBF&gt;0,IF(AND(AH462&gt;0,AJ463&gt;0),MIN(100/qh*3.6*(AJ463*AH462/EBF-AM466/100*qw),100),IF(AM467&lt;70,0,IF(AND(AH462&gt;0,AH463&gt;0),AH462*AJ463/EBF,((qw+qh/3.6)*AM464/100-qw*0.7)/(qh/3.6)))*100),)</f>
        <v>0</v>
      </c>
      <c r="AM467" s="756">
        <f>IF(qw&gt;0,IF(EBF&gt;0,IF((qh+qw)=0,,IF(AND(AH462&gt;0,AH463&gt;0),MIN(100/qw*AJ463*AH462/EBF,100),IF(AH462&gt;0,MIN(70,AM464*(qw+qh/3.6)/qw),))),),0)</f>
        <v>0</v>
      </c>
    </row>
    <row r="468" spans="1:39">
      <c r="A468" s="757">
        <v>459</v>
      </c>
      <c r="B468" s="812" t="s">
        <v>41</v>
      </c>
      <c r="C468" s="813" t="s">
        <v>410</v>
      </c>
      <c r="D468" s="806"/>
      <c r="E468" s="806"/>
      <c r="F468" s="774"/>
      <c r="G468" s="319"/>
      <c r="H468" s="320"/>
      <c r="J468" s="807"/>
      <c r="K468" s="808"/>
      <c r="M468" s="756"/>
      <c r="N468" s="325"/>
      <c r="O468" s="849">
        <f>Q466/100*qh/3.6+R466/100*qw</f>
        <v>0</v>
      </c>
      <c r="P468" s="756"/>
      <c r="Q468" s="315">
        <f>Produzione!$K$18</f>
        <v>0</v>
      </c>
      <c r="R468" s="315">
        <f>Produzione!$L$18</f>
        <v>0</v>
      </c>
      <c r="S468" s="759"/>
      <c r="T468" s="756"/>
      <c r="U468" s="325"/>
      <c r="V468" s="847">
        <f>X466/100*qh/3.6+Y466/100*qw</f>
        <v>0</v>
      </c>
      <c r="W468" s="756"/>
      <c r="X468" s="315">
        <f>Produzione!$K$32</f>
        <v>0</v>
      </c>
      <c r="Y468" s="315">
        <f>Produzione!$L$32</f>
        <v>0</v>
      </c>
      <c r="Z468" s="759"/>
      <c r="AA468" s="756"/>
      <c r="AB468" s="325"/>
      <c r="AC468" s="847">
        <f>AE466/100*qh/3.6+AF466/100*qw</f>
        <v>0</v>
      </c>
      <c r="AD468" s="756"/>
      <c r="AE468" s="315">
        <f>Produzione!$K$46</f>
        <v>0</v>
      </c>
      <c r="AF468" s="315">
        <f>Produzione!$L$46</f>
        <v>0</v>
      </c>
      <c r="AG468" s="759"/>
      <c r="AH468" s="756"/>
      <c r="AI468" s="325"/>
      <c r="AJ468" s="847">
        <f>AL466/100*qh/3.6+AM466/100*qw</f>
        <v>0</v>
      </c>
      <c r="AK468" s="756"/>
      <c r="AL468" s="315">
        <f>Produzione!$K$60</f>
        <v>0</v>
      </c>
      <c r="AM468" s="315">
        <f>Produzione!$L$60</f>
        <v>0</v>
      </c>
    </row>
    <row r="469" spans="1:39">
      <c r="A469" s="757">
        <v>460</v>
      </c>
      <c r="B469" s="759"/>
      <c r="C469" s="833"/>
      <c r="D469" s="759"/>
      <c r="E469" s="759"/>
      <c r="F469" s="817"/>
      <c r="G469" s="759"/>
      <c r="H469" s="759"/>
      <c r="I469" s="759"/>
      <c r="J469" s="759"/>
      <c r="Q469" s="761" t="str">
        <f>IF(OR(OR(Q466&gt;40,R466&gt;70,R464&gt;80)),"","")</f>
        <v/>
      </c>
      <c r="S469" s="759"/>
      <c r="X469" s="761" t="str">
        <f>IF(OR(OR(X466&gt;40,Y466&gt;70,Y464&gt;80)),"","")</f>
        <v/>
      </c>
      <c r="Z469" s="759"/>
      <c r="AE469" s="761" t="str">
        <f>IF(OR(OR(AE466&gt;40,AF466&gt;70,AF464&gt;80)),"","")</f>
        <v/>
      </c>
      <c r="AG469" s="759"/>
      <c r="AL469" s="761" t="str">
        <f>IF(OR(OR(AL466&gt;40,AM466&gt;70,AM464&gt;80)),"","")</f>
        <v/>
      </c>
    </row>
    <row r="470" spans="1:39">
      <c r="A470" s="757">
        <v>461</v>
      </c>
      <c r="B470" s="755"/>
      <c r="C470" s="834"/>
      <c r="D470" s="762"/>
      <c r="E470" s="762"/>
      <c r="G470" s="762"/>
      <c r="H470" s="818"/>
      <c r="J470" s="762" t="s">
        <v>1620</v>
      </c>
      <c r="N470" s="762"/>
      <c r="O470" s="860"/>
      <c r="P470" s="759"/>
      <c r="Q470" s="762" t="s">
        <v>1620</v>
      </c>
      <c r="R470" s="759"/>
      <c r="S470" s="759"/>
      <c r="T470" s="759"/>
      <c r="U470" s="762"/>
      <c r="V470" s="769"/>
      <c r="W470" s="759"/>
      <c r="X470" s="762" t="s">
        <v>1620</v>
      </c>
      <c r="Y470" s="759"/>
      <c r="Z470" s="759"/>
      <c r="AA470" s="759"/>
      <c r="AB470" s="762"/>
      <c r="AC470" s="769"/>
      <c r="AD470" s="759"/>
      <c r="AE470" s="762" t="s">
        <v>1620</v>
      </c>
      <c r="AF470" s="759"/>
      <c r="AG470" s="759"/>
      <c r="AH470" s="759"/>
      <c r="AI470" s="762"/>
      <c r="AJ470" s="769"/>
      <c r="AK470" s="759"/>
      <c r="AL470" s="762" t="s">
        <v>1620</v>
      </c>
      <c r="AM470" s="759"/>
    </row>
    <row r="471" spans="1:39">
      <c r="A471" s="757">
        <v>462</v>
      </c>
      <c r="B471" s="772" t="str">
        <f>INDEX(Standardwerte!$V$6:$V$43,Rechnung!$C471,1)</f>
        <v>Conversione fotovoltaica</v>
      </c>
      <c r="C471" s="835">
        <v>34</v>
      </c>
      <c r="D471" s="819"/>
      <c r="E471" s="820"/>
      <c r="F471" s="821"/>
      <c r="G471" s="819"/>
      <c r="H471" s="822"/>
      <c r="J471" s="760" t="s">
        <v>525</v>
      </c>
      <c r="K471" s="756" t="s">
        <v>1622</v>
      </c>
      <c r="M471" s="756"/>
      <c r="N471" s="760"/>
      <c r="O471" s="852"/>
      <c r="P471" s="756"/>
      <c r="Q471" s="760" t="s">
        <v>525</v>
      </c>
      <c r="R471" s="756" t="s">
        <v>1622</v>
      </c>
      <c r="S471" s="759"/>
      <c r="T471" s="756"/>
      <c r="U471" s="760"/>
      <c r="V471" s="764"/>
      <c r="W471" s="756"/>
      <c r="X471" s="760" t="s">
        <v>525</v>
      </c>
      <c r="Y471" s="756" t="s">
        <v>1622</v>
      </c>
      <c r="Z471" s="759"/>
      <c r="AA471" s="756"/>
      <c r="AB471" s="760"/>
      <c r="AC471" s="764"/>
      <c r="AD471" s="756"/>
      <c r="AE471" s="760" t="s">
        <v>525</v>
      </c>
      <c r="AF471" s="756" t="s">
        <v>1622</v>
      </c>
      <c r="AG471" s="759"/>
      <c r="AH471" s="756"/>
      <c r="AI471" s="760"/>
      <c r="AJ471" s="764"/>
      <c r="AK471" s="756"/>
      <c r="AL471" s="760" t="s">
        <v>525</v>
      </c>
      <c r="AM471" s="756" t="s">
        <v>1622</v>
      </c>
    </row>
    <row r="472" spans="1:39">
      <c r="A472" s="757">
        <v>463</v>
      </c>
      <c r="B472" s="778" t="s">
        <v>526</v>
      </c>
      <c r="C472" s="830"/>
      <c r="D472" s="779"/>
      <c r="E472" s="312"/>
      <c r="F472" s="313">
        <f>INDEX($M$10:$AM$162,$A$10+(_typ1-1)*14,1)</f>
        <v>0</v>
      </c>
      <c r="G472" s="780"/>
      <c r="H472" s="781"/>
      <c r="J472" s="782">
        <f>INDEX(Standardwerte!$Y$6:$Z$43,$C471,2)</f>
        <v>0</v>
      </c>
      <c r="K472" s="783">
        <f>INDEX(Standardwerte!$Y$6:$Z$43,$C471,1)</f>
        <v>0</v>
      </c>
      <c r="M472" s="315">
        <f>Produzione!$G$8</f>
        <v>0</v>
      </c>
      <c r="N472" s="764"/>
      <c r="O472" s="852"/>
      <c r="P472" s="756"/>
      <c r="Q472" s="756"/>
      <c r="R472" s="756"/>
      <c r="S472" s="759"/>
      <c r="T472" s="315">
        <f>Produzione!$G$22</f>
        <v>0</v>
      </c>
      <c r="U472" s="764"/>
      <c r="V472" s="764"/>
      <c r="W472" s="756"/>
      <c r="X472" s="756"/>
      <c r="Y472" s="756"/>
      <c r="Z472" s="759"/>
      <c r="AA472" s="315">
        <f>Produzione!$G$36</f>
        <v>0</v>
      </c>
      <c r="AB472" s="764"/>
      <c r="AC472" s="764"/>
      <c r="AD472" s="756"/>
      <c r="AE472" s="756"/>
      <c r="AF472" s="756"/>
      <c r="AG472" s="759"/>
      <c r="AH472" s="315">
        <f>Produzione!$G$50</f>
        <v>0</v>
      </c>
      <c r="AI472" s="764"/>
      <c r="AJ472" s="764"/>
      <c r="AK472" s="756"/>
      <c r="AL472" s="756"/>
      <c r="AM472" s="756"/>
    </row>
    <row r="473" spans="1:39">
      <c r="A473" s="757">
        <v>464</v>
      </c>
      <c r="B473" s="784" t="s">
        <v>1463</v>
      </c>
      <c r="C473" s="831" t="s">
        <v>1252</v>
      </c>
      <c r="E473" s="786"/>
      <c r="F473" s="809"/>
      <c r="G473" s="787"/>
      <c r="H473" s="788"/>
      <c r="J473" s="782"/>
      <c r="K473" s="783"/>
      <c r="M473" s="315">
        <f>Produzione!$G$10</f>
        <v>0</v>
      </c>
      <c r="N473" s="764"/>
      <c r="O473" s="861">
        <f>IF(Hoehe&lt;800,800,890)</f>
        <v>800</v>
      </c>
      <c r="P473" s="756"/>
      <c r="Q473" s="756"/>
      <c r="R473" s="756"/>
      <c r="S473" s="759"/>
      <c r="T473" s="315">
        <f>Produzione!$G$24</f>
        <v>0</v>
      </c>
      <c r="U473" s="764"/>
      <c r="V473" s="861">
        <f>IF(Hoehe&lt;800,800,890)</f>
        <v>800</v>
      </c>
      <c r="W473" s="756"/>
      <c r="X473" s="756"/>
      <c r="Y473" s="756"/>
      <c r="Z473" s="759"/>
      <c r="AA473" s="315">
        <f>Produzione!$G$38</f>
        <v>0</v>
      </c>
      <c r="AB473" s="764"/>
      <c r="AC473" s="861">
        <f>IF(Hoehe&lt;800,800,890)</f>
        <v>800</v>
      </c>
      <c r="AD473" s="756"/>
      <c r="AE473" s="756"/>
      <c r="AF473" s="756"/>
      <c r="AG473" s="759"/>
      <c r="AH473" s="315">
        <f>Produzione!$G$52</f>
        <v>0</v>
      </c>
      <c r="AI473" s="764"/>
      <c r="AJ473" s="861">
        <f>IF(Hoehe&lt;800,800,890)</f>
        <v>800</v>
      </c>
      <c r="AK473" s="756"/>
      <c r="AL473" s="756"/>
      <c r="AM473" s="756"/>
    </row>
    <row r="474" spans="1:39">
      <c r="A474" s="757">
        <v>465</v>
      </c>
      <c r="B474" s="789" t="s">
        <v>855</v>
      </c>
      <c r="C474" s="831" t="s">
        <v>1252</v>
      </c>
      <c r="D474" s="786"/>
      <c r="E474" s="795" t="s">
        <v>54</v>
      </c>
      <c r="F474" s="1344"/>
      <c r="G474" s="792"/>
      <c r="H474" s="793"/>
      <c r="J474" s="782"/>
      <c r="K474" s="783"/>
      <c r="L474" s="770">
        <v>2</v>
      </c>
      <c r="M474" s="756"/>
      <c r="N474" s="766"/>
      <c r="O474" s="854"/>
      <c r="P474" s="756"/>
      <c r="Q474" s="756"/>
      <c r="R474" s="756"/>
      <c r="S474" s="759"/>
      <c r="T474" s="756"/>
      <c r="U474" s="766"/>
      <c r="V474" s="767"/>
      <c r="W474" s="756"/>
      <c r="X474" s="756"/>
      <c r="Y474" s="756"/>
      <c r="Z474" s="759"/>
      <c r="AA474" s="756"/>
      <c r="AB474" s="766"/>
      <c r="AC474" s="767"/>
      <c r="AD474" s="756"/>
      <c r="AE474" s="756"/>
      <c r="AF474" s="756"/>
      <c r="AG474" s="759"/>
      <c r="AH474" s="756"/>
      <c r="AI474" s="766"/>
      <c r="AJ474" s="767"/>
      <c r="AK474" s="756"/>
      <c r="AL474" s="756"/>
      <c r="AM474" s="756"/>
    </row>
    <row r="475" spans="1:39">
      <c r="A475" s="757">
        <v>466</v>
      </c>
      <c r="B475" s="789" t="s">
        <v>856</v>
      </c>
      <c r="C475" s="831" t="s">
        <v>1252</v>
      </c>
      <c r="D475" s="786"/>
      <c r="E475" s="786"/>
      <c r="F475" s="791"/>
      <c r="G475" s="303"/>
      <c r="H475" s="316"/>
      <c r="J475" s="782"/>
      <c r="K475" s="783"/>
      <c r="M475" s="756"/>
      <c r="N475" s="321"/>
      <c r="O475" s="855" t="str">
        <f>IF(M473&lt;&gt;0,M473,IF(Produzione!$E$10&lt;&gt;"",Produzione!$E$10,Produzione!$G$9))</f>
        <v/>
      </c>
      <c r="P475" s="756"/>
      <c r="Q475" s="756"/>
      <c r="R475" s="756"/>
      <c r="S475" s="759"/>
      <c r="T475" s="756"/>
      <c r="U475" s="321"/>
      <c r="V475" s="322" t="str">
        <f>IF(T473&lt;&gt;0,T473,IF(Produzione!$E$24&lt;&gt;"",Produzione!$E$24,Produzione!$G$23))</f>
        <v/>
      </c>
      <c r="W475" s="756"/>
      <c r="X475" s="756"/>
      <c r="Y475" s="756"/>
      <c r="Z475" s="759"/>
      <c r="AA475" s="756"/>
      <c r="AB475" s="321"/>
      <c r="AC475" s="322" t="str">
        <f>IF(AA473&lt;&gt;0,AA473,IF(Produzione!$E$38&lt;&gt;"",Produzione!$E$38,Produzione!$G$37))</f>
        <v/>
      </c>
      <c r="AD475" s="756"/>
      <c r="AE475" s="756"/>
      <c r="AF475" s="756"/>
      <c r="AG475" s="759"/>
      <c r="AH475" s="756"/>
      <c r="AI475" s="321"/>
      <c r="AJ475" s="322" t="str">
        <f>IF(AH473&lt;&gt;0,AH473,IF(Produzione!$E$52&lt;&gt;"",Produzione!$E$52,Produzione!$G$51))</f>
        <v/>
      </c>
      <c r="AK475" s="756"/>
      <c r="AL475" s="756"/>
      <c r="AM475" s="756"/>
    </row>
    <row r="476" spans="1:39">
      <c r="A476" s="757">
        <v>467</v>
      </c>
      <c r="B476" s="789" t="s">
        <v>1464</v>
      </c>
      <c r="C476" s="790" t="s">
        <v>1253</v>
      </c>
      <c r="D476" s="787"/>
      <c r="E476" s="795"/>
      <c r="F476" s="1344"/>
      <c r="G476" s="796"/>
      <c r="H476" s="797"/>
      <c r="J476" s="782"/>
      <c r="K476" s="783"/>
      <c r="L476" s="770">
        <v>2</v>
      </c>
      <c r="M476" s="315">
        <f>Produzione!$G$12</f>
        <v>0</v>
      </c>
      <c r="N476" s="758"/>
      <c r="O476" s="854"/>
      <c r="P476" s="756"/>
      <c r="Q476" s="756"/>
      <c r="R476" s="756"/>
      <c r="S476" s="759"/>
      <c r="T476" s="315">
        <f>Produzione!$G$26</f>
        <v>0</v>
      </c>
      <c r="U476" s="758"/>
      <c r="V476" s="758"/>
      <c r="W476" s="756"/>
      <c r="X476" s="756"/>
      <c r="Y476" s="756"/>
      <c r="Z476" s="759"/>
      <c r="AA476" s="315">
        <f>Produzione!$G$40</f>
        <v>0</v>
      </c>
      <c r="AB476" s="758"/>
      <c r="AC476" s="758"/>
      <c r="AD476" s="756"/>
      <c r="AE476" s="756"/>
      <c r="AF476" s="756"/>
      <c r="AG476" s="759"/>
      <c r="AH476" s="315">
        <f>Produzione!$G$54</f>
        <v>0</v>
      </c>
      <c r="AI476" s="758"/>
      <c r="AJ476" s="758"/>
      <c r="AK476" s="756"/>
      <c r="AL476" s="756"/>
      <c r="AM476" s="756"/>
    </row>
    <row r="477" spans="1:39">
      <c r="A477" s="757">
        <v>468</v>
      </c>
      <c r="B477" s="789"/>
      <c r="C477" s="790"/>
      <c r="D477" s="796"/>
      <c r="E477" s="795"/>
      <c r="F477" s="1344"/>
      <c r="G477" s="787"/>
      <c r="H477" s="798"/>
      <c r="J477" s="782"/>
      <c r="K477" s="783"/>
      <c r="M477" s="315">
        <f>Produzione!$G$13</f>
        <v>0</v>
      </c>
      <c r="N477" s="764"/>
      <c r="O477" s="852"/>
      <c r="P477" s="756"/>
      <c r="Q477" s="756"/>
      <c r="R477" s="756"/>
      <c r="S477" s="759"/>
      <c r="T477" s="315">
        <f>Produzione!$G$27</f>
        <v>0</v>
      </c>
      <c r="U477" s="764"/>
      <c r="V477" s="768"/>
      <c r="W477" s="756"/>
      <c r="X477" s="756"/>
      <c r="Y477" s="756"/>
      <c r="Z477" s="759"/>
      <c r="AA477" s="315">
        <f>Produzione!$G$41</f>
        <v>0</v>
      </c>
      <c r="AB477" s="764"/>
      <c r="AC477" s="768"/>
      <c r="AD477" s="756"/>
      <c r="AE477" s="756"/>
      <c r="AF477" s="756"/>
      <c r="AG477" s="759"/>
      <c r="AH477" s="315">
        <f>Produzione!$G$55</f>
        <v>0</v>
      </c>
      <c r="AI477" s="764"/>
      <c r="AJ477" s="768"/>
      <c r="AK477" s="756"/>
      <c r="AL477" s="756"/>
      <c r="AM477" s="756"/>
    </row>
    <row r="478" spans="1:39">
      <c r="A478" s="757">
        <v>469</v>
      </c>
      <c r="B478" s="799" t="str">
        <f>IF(J472=1,"Temperatura di mandata riscaldamento","")</f>
        <v/>
      </c>
      <c r="C478" s="831" t="str">
        <f>IF(J472=1,"°C","")</f>
        <v/>
      </c>
      <c r="D478" s="786"/>
      <c r="E478" s="786"/>
      <c r="F478" s="1344"/>
      <c r="G478" s="787"/>
      <c r="H478" s="800"/>
      <c r="J478" s="782"/>
      <c r="K478" s="783"/>
      <c r="M478" s="315">
        <f>Produzione!$G$14</f>
        <v>0</v>
      </c>
      <c r="N478" s="764"/>
      <c r="O478" s="852"/>
      <c r="P478" s="756"/>
      <c r="Q478" s="756"/>
      <c r="R478" s="756"/>
      <c r="S478" s="759"/>
      <c r="T478" s="315">
        <f>Produzione!$G$28</f>
        <v>0</v>
      </c>
      <c r="U478" s="764"/>
      <c r="V478" s="764"/>
      <c r="W478" s="756"/>
      <c r="X478" s="756"/>
      <c r="Y478" s="756"/>
      <c r="Z478" s="759"/>
      <c r="AA478" s="315">
        <f>Produzione!$G$42</f>
        <v>0</v>
      </c>
      <c r="AB478" s="764"/>
      <c r="AC478" s="764"/>
      <c r="AD478" s="756"/>
      <c r="AE478" s="756"/>
      <c r="AF478" s="756"/>
      <c r="AG478" s="759"/>
      <c r="AH478" s="315">
        <f>Produzione!$G$56</f>
        <v>0</v>
      </c>
      <c r="AI478" s="764"/>
      <c r="AJ478" s="764"/>
      <c r="AK478" s="756"/>
      <c r="AL478" s="756"/>
      <c r="AM478" s="756"/>
    </row>
    <row r="479" spans="1:39">
      <c r="A479" s="757">
        <v>470</v>
      </c>
      <c r="B479" s="799" t="str">
        <f>IF(AND(Warmwasser,K472=1),"Temperatura acqua calda sanitaria","")</f>
        <v/>
      </c>
      <c r="C479" s="831" t="str">
        <f>IF(AND(Warmwasser,K472=1),"°C","")</f>
        <v/>
      </c>
      <c r="D479" s="786"/>
      <c r="E479" s="786"/>
      <c r="F479" s="1344"/>
      <c r="G479" s="796"/>
      <c r="H479" s="788"/>
      <c r="J479" s="782"/>
      <c r="K479" s="783"/>
      <c r="M479" s="315">
        <f>Produzione!$G$15</f>
        <v>0</v>
      </c>
      <c r="N479" s="758"/>
      <c r="O479" s="853"/>
      <c r="P479" s="756"/>
      <c r="Q479" s="756"/>
      <c r="R479" s="756"/>
      <c r="S479" s="759"/>
      <c r="T479" s="315">
        <f>Produzione!$G$29</f>
        <v>0</v>
      </c>
      <c r="U479" s="758"/>
      <c r="V479" s="765"/>
      <c r="W479" s="756"/>
      <c r="X479" s="756"/>
      <c r="Y479" s="756"/>
      <c r="Z479" s="759"/>
      <c r="AA479" s="315">
        <f>Produzione!$G$43</f>
        <v>0</v>
      </c>
      <c r="AB479" s="758"/>
      <c r="AC479" s="765"/>
      <c r="AD479" s="756"/>
      <c r="AE479" s="756"/>
      <c r="AF479" s="756"/>
      <c r="AG479" s="759"/>
      <c r="AH479" s="315">
        <f>Produzione!$G$57</f>
        <v>0</v>
      </c>
      <c r="AI479" s="758"/>
      <c r="AJ479" s="765"/>
      <c r="AK479" s="756"/>
      <c r="AL479" s="756"/>
      <c r="AM479" s="756" t="str">
        <f>IF(AND($K472=0,AM482&lt;&gt;0),"Riscald. ausgewählt",IF(AND($J472=0,AL468&gt;0),"Acqua calda ausgewählt",""))</f>
        <v/>
      </c>
    </row>
    <row r="480" spans="1:39">
      <c r="A480" s="757">
        <v>471</v>
      </c>
      <c r="B480" s="782" t="s">
        <v>1374</v>
      </c>
      <c r="C480" s="813" t="s">
        <v>410</v>
      </c>
      <c r="D480" s="795"/>
      <c r="E480" s="795"/>
      <c r="F480" s="791"/>
      <c r="G480" s="303"/>
      <c r="H480" s="317"/>
      <c r="J480" s="801"/>
      <c r="K480" s="802"/>
      <c r="M480" s="756"/>
      <c r="N480" s="321"/>
      <c r="O480" s="856" t="str">
        <f>IF(OR(O475="",M476=0),"",(-O475*M476/EBF))</f>
        <v/>
      </c>
      <c r="P480" s="756"/>
      <c r="Q480" s="756">
        <f>IF(Q481&lt;&gt;0,Q481,Q482)*J472</f>
        <v>0</v>
      </c>
      <c r="R480" s="756">
        <f>IF(R481&lt;&gt;0,R481,R482)*K472</f>
        <v>0</v>
      </c>
      <c r="S480" s="759"/>
      <c r="T480" s="756"/>
      <c r="U480" s="321"/>
      <c r="V480" s="323" t="str">
        <f>IF(OR(V475="",T476=0),"",(-V475*T476/EBF))</f>
        <v/>
      </c>
      <c r="W480" s="756"/>
      <c r="X480" s="756">
        <f>IF(X481&lt;&gt;0,X481,X482)*J472</f>
        <v>0</v>
      </c>
      <c r="Y480" s="756">
        <f>IF(Y481&lt;&gt;0,Y481,Y482)*K472</f>
        <v>0</v>
      </c>
      <c r="Z480" s="759"/>
      <c r="AA480" s="756"/>
      <c r="AB480" s="321"/>
      <c r="AC480" s="323" t="str">
        <f>IF(OR(AC475="",AA476=0),"",(-AC475*AA476/EBF))</f>
        <v/>
      </c>
      <c r="AD480" s="756"/>
      <c r="AE480" s="756">
        <f>IF(AE481&lt;&gt;0,AE481,AE482)*J472</f>
        <v>0</v>
      </c>
      <c r="AF480" s="756">
        <f>IF(AF481&lt;&gt;0,AF481,AF482)*K472</f>
        <v>0</v>
      </c>
      <c r="AG480" s="759"/>
      <c r="AH480" s="756"/>
      <c r="AI480" s="321"/>
      <c r="AJ480" s="323" t="str">
        <f>IF(OR(AJ475="",AH476=0),"",(-AJ475*AH476/EBF))</f>
        <v/>
      </c>
      <c r="AK480" s="756"/>
      <c r="AL480" s="756">
        <f>IF(AL481&lt;&gt;0,AL481,AL482)*J472</f>
        <v>0</v>
      </c>
      <c r="AM480" s="756">
        <f>IF(AM481&lt;&gt;0,AM481,AM482)*K472</f>
        <v>0</v>
      </c>
    </row>
    <row r="481" spans="1:39">
      <c r="A481" s="757">
        <v>472</v>
      </c>
      <c r="B481" s="799"/>
      <c r="C481" s="831"/>
      <c r="D481" s="795"/>
      <c r="E481" s="786"/>
      <c r="F481" s="792"/>
      <c r="G481" s="303"/>
      <c r="H481" s="318"/>
      <c r="J481" s="803"/>
      <c r="K481" s="804"/>
      <c r="M481" s="758"/>
      <c r="N481" s="321"/>
      <c r="O481" s="857"/>
      <c r="P481" s="756"/>
      <c r="Q481" s="756"/>
      <c r="R481" s="756"/>
      <c r="S481" s="759"/>
      <c r="T481" s="756"/>
      <c r="U481" s="321"/>
      <c r="V481" s="324"/>
      <c r="W481" s="756"/>
      <c r="X481" s="756"/>
      <c r="Y481" s="756"/>
      <c r="Z481" s="759"/>
      <c r="AA481" s="758"/>
      <c r="AB481" s="321"/>
      <c r="AC481" s="324"/>
      <c r="AD481" s="756"/>
      <c r="AE481" s="756"/>
      <c r="AF481" s="756"/>
      <c r="AG481" s="759"/>
      <c r="AH481" s="758"/>
      <c r="AI481" s="321"/>
      <c r="AJ481" s="324"/>
      <c r="AK481" s="756"/>
      <c r="AL481" s="756"/>
      <c r="AM481" s="756"/>
    </row>
    <row r="482" spans="1:39">
      <c r="A482" s="757">
        <v>473</v>
      </c>
      <c r="B482" s="812"/>
      <c r="C482" s="836"/>
      <c r="D482" s="806"/>
      <c r="E482" s="806"/>
      <c r="F482" s="774"/>
      <c r="G482" s="319"/>
      <c r="H482" s="320"/>
      <c r="J482" s="807"/>
      <c r="K482" s="808"/>
      <c r="M482" s="756"/>
      <c r="N482" s="325"/>
      <c r="O482" s="858"/>
      <c r="P482" s="756"/>
      <c r="Q482" s="315">
        <f>Produzione!$K$18</f>
        <v>0</v>
      </c>
      <c r="R482" s="315">
        <f>Produzione!$L$18</f>
        <v>0</v>
      </c>
      <c r="S482" s="759"/>
      <c r="T482" s="756"/>
      <c r="U482" s="325"/>
      <c r="V482" s="325"/>
      <c r="W482" s="756"/>
      <c r="X482" s="315">
        <f>Produzione!$K$32</f>
        <v>0</v>
      </c>
      <c r="Y482" s="315">
        <f>Produzione!$L$32</f>
        <v>0</v>
      </c>
      <c r="Z482" s="759"/>
      <c r="AA482" s="756"/>
      <c r="AB482" s="325"/>
      <c r="AC482" s="325"/>
      <c r="AD482" s="756"/>
      <c r="AE482" s="315">
        <f>Produzione!$K$46</f>
        <v>0</v>
      </c>
      <c r="AF482" s="315">
        <f>Produzione!$L$46</f>
        <v>0</v>
      </c>
      <c r="AG482" s="759"/>
      <c r="AH482" s="756"/>
      <c r="AI482" s="325"/>
      <c r="AJ482" s="325"/>
      <c r="AK482" s="756"/>
      <c r="AL482" s="315">
        <f>Produzione!$K$60</f>
        <v>0</v>
      </c>
      <c r="AM482" s="315">
        <f>Produzione!$L$60</f>
        <v>0</v>
      </c>
    </row>
    <row r="483" spans="1:39">
      <c r="A483" s="757">
        <v>474</v>
      </c>
      <c r="B483" s="759"/>
      <c r="C483" s="833"/>
      <c r="D483" s="759"/>
      <c r="E483" s="759"/>
      <c r="F483" s="817"/>
      <c r="G483" s="759"/>
      <c r="H483" s="759"/>
      <c r="I483" s="759"/>
      <c r="J483" s="759"/>
      <c r="Q483" s="761" t="str">
        <f>IF(Q481&lt;&gt;0,IF(Q482&lt;&gt;0,"Doppelte Eingabe",""),IF(R481&lt;&gt;0,IF(R482&lt;&gt;0,"Doppelte Eingabe",""),""))</f>
        <v/>
      </c>
      <c r="S483" s="759"/>
      <c r="X483" s="761" t="str">
        <f>IF(X481&lt;&gt;0,IF(X482&lt;&gt;0,"Doppelte Eingabe",""),IF(Y481&lt;&gt;0,IF(Y482&lt;&gt;0,"Doppelte Eingabe",""),""))</f>
        <v/>
      </c>
      <c r="Z483" s="759"/>
      <c r="AE483" s="761" t="str">
        <f>IF(AE481&lt;&gt;0,IF(AE482&lt;&gt;0,"Doppelte Eingabe",""),IF(AF481&lt;&gt;0,IF(AF482&lt;&gt;0,"Doppelte Eingabe",""),""))</f>
        <v/>
      </c>
      <c r="AG483" s="759"/>
      <c r="AL483" s="761" t="str">
        <f>IF(AL481&lt;&gt;0,IF(AL482&lt;&gt;0,"Doppelte Eingabe",""),IF(AM481&lt;&gt;0,IF(AM482&lt;&gt;0,"Doppelte Eingabe",""),""))</f>
        <v/>
      </c>
    </row>
    <row r="484" spans="1:39">
      <c r="A484" s="757">
        <v>475</v>
      </c>
      <c r="B484" s="755"/>
      <c r="C484" s="834"/>
      <c r="D484" s="762"/>
      <c r="E484" s="762"/>
      <c r="G484" s="762"/>
      <c r="H484" s="818"/>
      <c r="J484" s="762" t="s">
        <v>1620</v>
      </c>
      <c r="N484" s="762"/>
      <c r="O484" s="860"/>
      <c r="P484" s="759"/>
      <c r="Q484" s="762" t="s">
        <v>1620</v>
      </c>
      <c r="R484" s="759"/>
      <c r="S484" s="759"/>
      <c r="T484" s="759"/>
      <c r="U484" s="762"/>
      <c r="V484" s="769"/>
      <c r="W484" s="759"/>
      <c r="X484" s="762" t="s">
        <v>1620</v>
      </c>
      <c r="Y484" s="759"/>
      <c r="Z484" s="759"/>
      <c r="AA484" s="759"/>
      <c r="AB484" s="762"/>
      <c r="AC484" s="769"/>
      <c r="AD484" s="759"/>
      <c r="AE484" s="762" t="s">
        <v>1620</v>
      </c>
      <c r="AF484" s="759"/>
      <c r="AG484" s="759"/>
      <c r="AH484" s="759"/>
      <c r="AI484" s="762"/>
      <c r="AJ484" s="769"/>
      <c r="AK484" s="759"/>
      <c r="AL484" s="762" t="s">
        <v>1620</v>
      </c>
      <c r="AM484" s="759"/>
    </row>
    <row r="485" spans="1:39">
      <c r="A485" s="757">
        <v>476</v>
      </c>
      <c r="B485" s="772" t="str">
        <f>INDEX(Standardwerte!$V$6:$V$46,Rechnung!$C485,1)</f>
        <v>Altri</v>
      </c>
      <c r="C485" s="835">
        <v>35</v>
      </c>
      <c r="D485" s="819"/>
      <c r="E485" s="820"/>
      <c r="F485" s="821"/>
      <c r="G485" s="819"/>
      <c r="H485" s="822"/>
      <c r="J485" s="760" t="s">
        <v>525</v>
      </c>
      <c r="K485" s="756" t="s">
        <v>1622</v>
      </c>
      <c r="M485" s="756"/>
      <c r="N485" s="760"/>
      <c r="O485" s="852"/>
      <c r="P485" s="756"/>
      <c r="Q485" s="760" t="s">
        <v>525</v>
      </c>
      <c r="R485" s="756" t="s">
        <v>1622</v>
      </c>
      <c r="S485" s="759"/>
      <c r="T485" s="756"/>
      <c r="U485" s="760"/>
      <c r="V485" s="764"/>
      <c r="W485" s="756"/>
      <c r="X485" s="760" t="s">
        <v>525</v>
      </c>
      <c r="Y485" s="756" t="s">
        <v>1622</v>
      </c>
      <c r="Z485" s="759"/>
      <c r="AA485" s="756"/>
      <c r="AB485" s="760"/>
      <c r="AC485" s="764"/>
      <c r="AD485" s="756"/>
      <c r="AE485" s="760" t="s">
        <v>525</v>
      </c>
      <c r="AF485" s="756" t="s">
        <v>1622</v>
      </c>
      <c r="AG485" s="759"/>
      <c r="AH485" s="756"/>
      <c r="AI485" s="760"/>
      <c r="AJ485" s="764"/>
      <c r="AK485" s="756"/>
      <c r="AL485" s="760" t="s">
        <v>525</v>
      </c>
      <c r="AM485" s="756" t="s">
        <v>1622</v>
      </c>
    </row>
    <row r="486" spans="1:39">
      <c r="A486" s="757">
        <v>477</v>
      </c>
      <c r="B486" s="778" t="s">
        <v>526</v>
      </c>
      <c r="C486" s="830"/>
      <c r="D486" s="779"/>
      <c r="E486" s="312"/>
      <c r="F486" s="313">
        <f>INDEX($M$10:$AM$162,$A$10+(_typ1-1)*14,1)</f>
        <v>0</v>
      </c>
      <c r="G486" s="780"/>
      <c r="H486" s="781"/>
      <c r="J486" s="782">
        <f>INDEX(Standardwerte!$Y$6:$Z$51,$C485,2)</f>
        <v>1</v>
      </c>
      <c r="K486" s="783">
        <f>INDEX(Standardwerte!$Y$6:$Z$51,$C485,1)</f>
        <v>1</v>
      </c>
      <c r="M486" s="315">
        <f>Produzione!$G$8</f>
        <v>0</v>
      </c>
      <c r="N486" s="764"/>
      <c r="O486" s="852"/>
      <c r="P486" s="756"/>
      <c r="Q486" s="756"/>
      <c r="R486" s="756"/>
      <c r="S486" s="759"/>
      <c r="T486" s="315">
        <f>Produzione!$G$22</f>
        <v>0</v>
      </c>
      <c r="U486" s="764"/>
      <c r="V486" s="764"/>
      <c r="W486" s="756"/>
      <c r="X486" s="756"/>
      <c r="Y486" s="756"/>
      <c r="Z486" s="759"/>
      <c r="AA486" s="315">
        <f>Produzione!$G$36</f>
        <v>0</v>
      </c>
      <c r="AB486" s="764"/>
      <c r="AC486" s="764"/>
      <c r="AD486" s="756"/>
      <c r="AE486" s="756"/>
      <c r="AF486" s="756"/>
      <c r="AG486" s="759"/>
      <c r="AH486" s="315">
        <f>Produzione!$G$50</f>
        <v>0</v>
      </c>
      <c r="AI486" s="764"/>
      <c r="AJ486" s="764"/>
      <c r="AK486" s="756"/>
      <c r="AL486" s="756"/>
      <c r="AM486" s="756"/>
    </row>
    <row r="487" spans="1:39">
      <c r="A487" s="757">
        <v>478</v>
      </c>
      <c r="B487" s="784" t="s">
        <v>1193</v>
      </c>
      <c r="C487" s="831" t="s">
        <v>584</v>
      </c>
      <c r="E487" s="786"/>
      <c r="F487" s="809"/>
      <c r="G487" s="787"/>
      <c r="H487" s="788"/>
      <c r="J487" s="782"/>
      <c r="K487" s="783"/>
      <c r="M487" s="315">
        <f>Produzione!$G$10</f>
        <v>0</v>
      </c>
      <c r="N487" s="764"/>
      <c r="O487" s="861">
        <f>F487</f>
        <v>0</v>
      </c>
      <c r="P487" s="756"/>
      <c r="Q487" s="756"/>
      <c r="R487" s="756"/>
      <c r="S487" s="759"/>
      <c r="T487" s="315">
        <f>Produzione!$G$24</f>
        <v>0</v>
      </c>
      <c r="U487" s="764"/>
      <c r="V487" s="28">
        <f>F487</f>
        <v>0</v>
      </c>
      <c r="W487" s="756"/>
      <c r="X487" s="756"/>
      <c r="Y487" s="756"/>
      <c r="Z487" s="759"/>
      <c r="AA487" s="315">
        <f>Produzione!$G$38</f>
        <v>0</v>
      </c>
      <c r="AB487" s="764"/>
      <c r="AC487" s="28">
        <f>F487</f>
        <v>0</v>
      </c>
      <c r="AD487" s="756"/>
      <c r="AE487" s="756"/>
      <c r="AF487" s="756"/>
      <c r="AG487" s="759"/>
      <c r="AH487" s="315">
        <f>Produzione!$G$52</f>
        <v>0</v>
      </c>
      <c r="AI487" s="764"/>
      <c r="AJ487" s="28">
        <f>F487</f>
        <v>0</v>
      </c>
      <c r="AK487" s="756"/>
      <c r="AL487" s="756"/>
      <c r="AM487" s="756"/>
    </row>
    <row r="488" spans="1:39">
      <c r="A488" s="757">
        <v>479</v>
      </c>
      <c r="B488" s="789" t="s">
        <v>1194</v>
      </c>
      <c r="C488" s="831" t="s">
        <v>584</v>
      </c>
      <c r="D488" s="786"/>
      <c r="E488" s="786"/>
      <c r="F488" s="1344"/>
      <c r="G488" s="792"/>
      <c r="H488" s="793"/>
      <c r="J488" s="782"/>
      <c r="K488" s="783"/>
      <c r="L488" s="770">
        <v>2</v>
      </c>
      <c r="M488" s="756"/>
      <c r="N488" s="766"/>
      <c r="O488" s="854"/>
      <c r="P488" s="756"/>
      <c r="Q488" s="756"/>
      <c r="R488" s="756"/>
      <c r="S488" s="759"/>
      <c r="T488" s="756"/>
      <c r="U488" s="766"/>
      <c r="V488" s="767"/>
      <c r="W488" s="756"/>
      <c r="X488" s="756"/>
      <c r="Y488" s="756"/>
      <c r="Z488" s="759"/>
      <c r="AA488" s="756"/>
      <c r="AB488" s="766"/>
      <c r="AC488" s="767"/>
      <c r="AD488" s="756"/>
      <c r="AE488" s="756"/>
      <c r="AF488" s="756"/>
      <c r="AG488" s="759"/>
      <c r="AH488" s="756"/>
      <c r="AI488" s="766"/>
      <c r="AJ488" s="767"/>
      <c r="AK488" s="756"/>
      <c r="AL488" s="756"/>
      <c r="AM488" s="756"/>
    </row>
    <row r="489" spans="1:39">
      <c r="A489" s="757">
        <v>480</v>
      </c>
      <c r="B489" s="789" t="s">
        <v>527</v>
      </c>
      <c r="C489" s="790" t="s">
        <v>584</v>
      </c>
      <c r="D489" s="786"/>
      <c r="E489" s="786"/>
      <c r="F489" s="791"/>
      <c r="G489" s="303"/>
      <c r="H489" s="316"/>
      <c r="J489" s="782"/>
      <c r="K489" s="783"/>
      <c r="M489" s="756"/>
      <c r="N489" s="321"/>
      <c r="O489" s="855" t="str">
        <f>IF(M487&lt;&gt;0,M487,IF(Produzione!$E$10&lt;&gt;"",Produzione!$E$10,Produzione!$G$9))</f>
        <v/>
      </c>
      <c r="P489" s="756"/>
      <c r="Q489" s="756"/>
      <c r="R489" s="756"/>
      <c r="S489" s="759"/>
      <c r="T489" s="756"/>
      <c r="U489" s="321"/>
      <c r="V489" s="322" t="str">
        <f>IF(T487&lt;&gt;0,T487,IF(Produzione!$E$24&lt;&gt;"",Produzione!$E$24,Produzione!$G$23))</f>
        <v/>
      </c>
      <c r="W489" s="756"/>
      <c r="X489" s="756"/>
      <c r="Y489" s="756"/>
      <c r="Z489" s="759"/>
      <c r="AA489" s="756"/>
      <c r="AB489" s="321"/>
      <c r="AC489" s="322" t="str">
        <f>IF(AA487&lt;&gt;0,AA487,IF(Produzione!$E$38&lt;&gt;"",Produzione!$E$38,Produzione!$G$37))</f>
        <v/>
      </c>
      <c r="AD489" s="756"/>
      <c r="AE489" s="756"/>
      <c r="AF489" s="756"/>
      <c r="AG489" s="759"/>
      <c r="AH489" s="756"/>
      <c r="AI489" s="321"/>
      <c r="AJ489" s="322" t="str">
        <f>IF(AH487&lt;&gt;0,AH487,IF(Produzione!$E$52&lt;&gt;"",Produzione!$E$52,Produzione!$G$51))</f>
        <v/>
      </c>
      <c r="AK489" s="756"/>
      <c r="AL489" s="756"/>
      <c r="AM489" s="756"/>
    </row>
    <row r="490" spans="1:39">
      <c r="A490" s="757">
        <v>481</v>
      </c>
      <c r="B490" s="789" t="s">
        <v>1467</v>
      </c>
      <c r="C490" s="790" t="s">
        <v>583</v>
      </c>
      <c r="D490" s="787"/>
      <c r="E490" s="795"/>
      <c r="F490" s="1344"/>
      <c r="G490" s="796"/>
      <c r="H490" s="797"/>
      <c r="J490" s="782"/>
      <c r="K490" s="783"/>
      <c r="L490" s="770">
        <v>2</v>
      </c>
      <c r="M490" s="315">
        <f>Produzione!$G$12</f>
        <v>0</v>
      </c>
      <c r="N490" s="758"/>
      <c r="O490" s="854"/>
      <c r="P490" s="756"/>
      <c r="Q490" s="756"/>
      <c r="R490" s="756"/>
      <c r="S490" s="759"/>
      <c r="T490" s="315">
        <f>Produzione!$G$26</f>
        <v>0</v>
      </c>
      <c r="U490" s="758"/>
      <c r="V490" s="758"/>
      <c r="W490" s="756"/>
      <c r="X490" s="756"/>
      <c r="Y490" s="756"/>
      <c r="Z490" s="759"/>
      <c r="AA490" s="315">
        <f>Produzione!$G$40</f>
        <v>0</v>
      </c>
      <c r="AB490" s="758"/>
      <c r="AC490" s="758"/>
      <c r="AD490" s="756"/>
      <c r="AE490" s="756"/>
      <c r="AF490" s="756"/>
      <c r="AG490" s="759"/>
      <c r="AH490" s="315">
        <f>Produzione!$G$54</f>
        <v>0</v>
      </c>
      <c r="AI490" s="758"/>
      <c r="AJ490" s="758"/>
      <c r="AK490" s="756"/>
      <c r="AL490" s="756"/>
      <c r="AM490" s="756"/>
    </row>
    <row r="491" spans="1:39">
      <c r="A491" s="757">
        <v>482</v>
      </c>
      <c r="B491" s="789" t="s">
        <v>1468</v>
      </c>
      <c r="C491" s="790" t="s">
        <v>583</v>
      </c>
      <c r="D491" s="796"/>
      <c r="E491" s="795"/>
      <c r="F491" s="1344"/>
      <c r="G491" s="787"/>
      <c r="H491" s="798"/>
      <c r="J491" s="782"/>
      <c r="K491" s="783"/>
      <c r="L491" s="770">
        <v>2</v>
      </c>
      <c r="M491" s="315">
        <f>Produzione!$G$13</f>
        <v>0</v>
      </c>
      <c r="N491" s="764"/>
      <c r="O491" s="852"/>
      <c r="P491" s="756"/>
      <c r="Q491" s="756"/>
      <c r="R491" s="756"/>
      <c r="S491" s="759"/>
      <c r="T491" s="315">
        <f>Produzione!$G$27</f>
        <v>0</v>
      </c>
      <c r="U491" s="764"/>
      <c r="V491" s="768"/>
      <c r="W491" s="756"/>
      <c r="X491" s="756"/>
      <c r="Y491" s="756"/>
      <c r="Z491" s="759"/>
      <c r="AA491" s="315">
        <f>Produzione!$G$41</f>
        <v>0</v>
      </c>
      <c r="AB491" s="764"/>
      <c r="AC491" s="768"/>
      <c r="AD491" s="756"/>
      <c r="AE491" s="756"/>
      <c r="AF491" s="756"/>
      <c r="AG491" s="759"/>
      <c r="AH491" s="315">
        <f>Produzione!$G$55</f>
        <v>0</v>
      </c>
      <c r="AI491" s="764"/>
      <c r="AJ491" s="768"/>
      <c r="AK491" s="756"/>
      <c r="AL491" s="756"/>
      <c r="AM491" s="756"/>
    </row>
    <row r="492" spans="1:39">
      <c r="A492" s="757">
        <v>483</v>
      </c>
      <c r="B492" s="799" t="s">
        <v>857</v>
      </c>
      <c r="C492" s="831" t="s">
        <v>583</v>
      </c>
      <c r="D492" s="786"/>
      <c r="E492" s="786"/>
      <c r="F492" s="314"/>
      <c r="G492" s="787"/>
      <c r="H492" s="800"/>
      <c r="J492" s="782"/>
      <c r="K492" s="783"/>
      <c r="M492" s="315">
        <f>Produzione!$G$14</f>
        <v>0</v>
      </c>
      <c r="N492" s="764"/>
      <c r="O492" s="852"/>
      <c r="P492" s="756"/>
      <c r="Q492" s="756"/>
      <c r="R492" s="756"/>
      <c r="S492" s="759"/>
      <c r="T492" s="315">
        <f>Produzione!$G$28</f>
        <v>0</v>
      </c>
      <c r="U492" s="764"/>
      <c r="V492" s="764"/>
      <c r="W492" s="756"/>
      <c r="X492" s="756"/>
      <c r="Y492" s="756"/>
      <c r="Z492" s="759"/>
      <c r="AA492" s="315">
        <f>Produzione!$G$42</f>
        <v>0</v>
      </c>
      <c r="AB492" s="764"/>
      <c r="AC492" s="764"/>
      <c r="AD492" s="756"/>
      <c r="AE492" s="756"/>
      <c r="AF492" s="756"/>
      <c r="AG492" s="759"/>
      <c r="AH492" s="315">
        <f>Produzione!$G$56</f>
        <v>0</v>
      </c>
      <c r="AI492" s="764"/>
      <c r="AJ492" s="764"/>
      <c r="AK492" s="756"/>
      <c r="AL492" s="756"/>
      <c r="AM492" s="756"/>
    </row>
    <row r="493" spans="1:39">
      <c r="A493" s="757">
        <v>484</v>
      </c>
      <c r="B493" s="799" t="s">
        <v>731</v>
      </c>
      <c r="C493" s="865" t="s">
        <v>776</v>
      </c>
      <c r="D493" s="786"/>
      <c r="E493" s="786"/>
      <c r="F493" s="314"/>
      <c r="G493" s="796"/>
      <c r="H493" s="788"/>
      <c r="J493" s="782"/>
      <c r="K493" s="783"/>
      <c r="M493" s="315">
        <f>Produzione!$G$15</f>
        <v>0</v>
      </c>
      <c r="N493" s="758"/>
      <c r="O493" s="853">
        <f>IF(M493&gt;0,M493,1)</f>
        <v>1</v>
      </c>
      <c r="P493" s="756"/>
      <c r="Q493" s="756"/>
      <c r="R493" s="756" t="str">
        <f>IF(AND($K486=0,R496&lt;&gt;0),"Riscald. ausgewählt",IF(AND($J486=0,Q482&gt;0),"Acqua calda ausgewählt",""))</f>
        <v/>
      </c>
      <c r="S493" s="759"/>
      <c r="T493" s="315">
        <f>Produzione!$G$29</f>
        <v>0</v>
      </c>
      <c r="U493" s="758"/>
      <c r="V493" s="765"/>
      <c r="W493" s="756"/>
      <c r="X493" s="756"/>
      <c r="Y493" s="756" t="str">
        <f>IF(AND($K486=0,Y496&lt;&gt;0),"Riscald. ausgewählt",IF(AND($J486=0,X482&gt;0),"Acqua calda ausgewählt",""))</f>
        <v/>
      </c>
      <c r="Z493" s="759"/>
      <c r="AA493" s="315">
        <f>Produzione!$G$43</f>
        <v>0</v>
      </c>
      <c r="AB493" s="758"/>
      <c r="AC493" s="765"/>
      <c r="AD493" s="756"/>
      <c r="AE493" s="756"/>
      <c r="AF493" s="756" t="str">
        <f>IF(AND($K486=0,AF496&lt;&gt;0),"Riscald. ausgewählt",IF(AND($J486=0,AE482&gt;0),"Acqua calda ausgewählt",""))</f>
        <v/>
      </c>
      <c r="AG493" s="759"/>
      <c r="AH493" s="315">
        <f>Produzione!$G$57</f>
        <v>0</v>
      </c>
      <c r="AI493" s="758"/>
      <c r="AJ493" s="765"/>
      <c r="AK493" s="756"/>
      <c r="AL493" s="756"/>
      <c r="AM493" s="756" t="str">
        <f>IF(AND($K486=0,AM496&lt;&gt;0),"Riscald. ausgewählt",IF(AND($J486=0,AL482&gt;0),"Acqua calda ausgewählt",""))</f>
        <v/>
      </c>
    </row>
    <row r="494" spans="1:39">
      <c r="A494" s="757">
        <v>485</v>
      </c>
      <c r="B494" s="799" t="s">
        <v>1374</v>
      </c>
      <c r="C494" s="813" t="s">
        <v>410</v>
      </c>
      <c r="D494" s="795"/>
      <c r="E494" s="795"/>
      <c r="F494" s="791"/>
      <c r="G494" s="303"/>
      <c r="H494" s="317"/>
      <c r="J494" s="801"/>
      <c r="K494" s="802"/>
      <c r="M494" s="756"/>
      <c r="N494" s="321"/>
      <c r="O494" s="845">
        <f>IF(EBF&gt;0,-(M491-M492)/EBF,)</f>
        <v>0</v>
      </c>
      <c r="P494" s="756"/>
      <c r="Q494" s="756">
        <f>IF(Q495&lt;&gt;0,Q495,Q496)*J486</f>
        <v>0</v>
      </c>
      <c r="R494" s="756">
        <f>IF(R495&lt;&gt;0,R495,R496)*K486</f>
        <v>0</v>
      </c>
      <c r="S494" s="759"/>
      <c r="T494" s="756"/>
      <c r="U494" s="321"/>
      <c r="V494" s="845">
        <f>IF(EBF&gt;0,-(T491-T492)/EBF,)</f>
        <v>0</v>
      </c>
      <c r="W494" s="756"/>
      <c r="X494" s="756">
        <f>IF(X495&lt;&gt;0,X495,X496)*J486</f>
        <v>0</v>
      </c>
      <c r="Y494" s="756">
        <f>IF(Y495&lt;&gt;0,Y495,Y496)*K486</f>
        <v>0</v>
      </c>
      <c r="Z494" s="759"/>
      <c r="AA494" s="756"/>
      <c r="AB494" s="321"/>
      <c r="AC494" s="845">
        <f>IF(EBF&gt;0,-(AA491-AA492)/EBF,)</f>
        <v>0</v>
      </c>
      <c r="AD494" s="756"/>
      <c r="AE494" s="756">
        <f>IF(AE495&lt;&gt;0,AE495,AE496)*J486</f>
        <v>0</v>
      </c>
      <c r="AF494" s="756">
        <f>IF(AF495&lt;&gt;0,AF495,AF496)*K486</f>
        <v>0</v>
      </c>
      <c r="AG494" s="759"/>
      <c r="AH494" s="756"/>
      <c r="AI494" s="321"/>
      <c r="AJ494" s="845">
        <f>IF(EBF&gt;0,-(AH491-AH492)/EBF,)</f>
        <v>0</v>
      </c>
      <c r="AK494" s="756"/>
      <c r="AL494" s="756">
        <f>IF(AL495&lt;&gt;0,AL495,AL496)*J486</f>
        <v>0</v>
      </c>
      <c r="AM494" s="756">
        <f>IF(AM495&lt;&gt;0,AM495,AM496)*K486</f>
        <v>0</v>
      </c>
    </row>
    <row r="495" spans="1:39">
      <c r="A495" s="757">
        <v>486</v>
      </c>
      <c r="B495" s="789" t="s">
        <v>652</v>
      </c>
      <c r="C495" s="813" t="s">
        <v>410</v>
      </c>
      <c r="D495" s="795"/>
      <c r="E495" s="786"/>
      <c r="F495" s="792"/>
      <c r="G495" s="303"/>
      <c r="H495" s="318"/>
      <c r="J495" s="803"/>
      <c r="K495" s="804"/>
      <c r="M495" s="758"/>
      <c r="N495" s="321"/>
      <c r="O495" s="845">
        <f>IF(EBF&gt;0,IF(M490/EBF&gt;(qh/3.6+qw),(qh/3.6+qw),(Q494/100*qh/3.6+R494/100*qw)),)</f>
        <v>0</v>
      </c>
      <c r="P495" s="756"/>
      <c r="Q495" s="756"/>
      <c r="R495" s="756"/>
      <c r="S495" s="759"/>
      <c r="T495" s="756"/>
      <c r="U495" s="321"/>
      <c r="V495" s="845">
        <f>IF(EBF&gt;0,IF(T490/EBF&gt;(qh/3.6+qw),(qh/3.6+qw),(X494/100*qh/3.6+Y494/100*qw)),)</f>
        <v>0</v>
      </c>
      <c r="W495" s="756"/>
      <c r="X495" s="756"/>
      <c r="Y495" s="756"/>
      <c r="Z495" s="759"/>
      <c r="AA495" s="758"/>
      <c r="AB495" s="321"/>
      <c r="AC495" s="845">
        <f>IF(EBF&gt;0,IF(AA490/EBF&gt;(qh/3.6+qw),(qh/3.6+qw),(AE494/100*qh/3.6+AF494/100*qw)),)</f>
        <v>0</v>
      </c>
      <c r="AD495" s="756"/>
      <c r="AE495" s="756"/>
      <c r="AF495" s="756"/>
      <c r="AG495" s="759"/>
      <c r="AH495" s="758"/>
      <c r="AI495" s="321"/>
      <c r="AJ495" s="845">
        <f>IF(EBF&gt;0,IF(AH490/EBF&gt;(qh/3.6+qw),(qh/3.6+qw),(AL494/100*qh/3.6+AM494/100*qw)),)</f>
        <v>0</v>
      </c>
      <c r="AK495" s="756"/>
      <c r="AL495" s="756"/>
      <c r="AM495" s="756"/>
    </row>
    <row r="496" spans="1:39">
      <c r="A496" s="757">
        <v>487</v>
      </c>
      <c r="B496" s="812" t="s">
        <v>41</v>
      </c>
      <c r="C496" s="813" t="s">
        <v>410</v>
      </c>
      <c r="D496" s="806"/>
      <c r="E496" s="806"/>
      <c r="F496" s="774"/>
      <c r="G496" s="319"/>
      <c r="H496" s="320"/>
      <c r="J496" s="807"/>
      <c r="K496" s="808"/>
      <c r="M496" s="756"/>
      <c r="N496" s="325"/>
      <c r="O496" s="849" t="str">
        <f>IF(OR(O489=0,O495=0,O489=""),"",O495/(O489/IF(O489&gt;10,100,1)))</f>
        <v/>
      </c>
      <c r="P496" s="756"/>
      <c r="Q496" s="315">
        <f>Produzione!$K$18</f>
        <v>0</v>
      </c>
      <c r="R496" s="315">
        <f>Produzione!$L$18</f>
        <v>0</v>
      </c>
      <c r="T496" s="756"/>
      <c r="U496" s="325"/>
      <c r="V496" s="849" t="str">
        <f>IF(OR(V489=0,V495=0),"",V495/(V489/IF(V489&gt;10,100,1)))</f>
        <v/>
      </c>
      <c r="W496" s="756"/>
      <c r="X496" s="315">
        <f>Produzione!$K$32</f>
        <v>0</v>
      </c>
      <c r="Y496" s="315">
        <f>Produzione!$L$32</f>
        <v>0</v>
      </c>
      <c r="AA496" s="756"/>
      <c r="AB496" s="325"/>
      <c r="AC496" s="849" t="str">
        <f>IF(OR(AC489=0,AC495=0),"",AC495/(AC489/IF(AC489&gt;10,100,1)))</f>
        <v/>
      </c>
      <c r="AD496" s="756"/>
      <c r="AE496" s="315">
        <f>Produzione!$K$46</f>
        <v>0</v>
      </c>
      <c r="AF496" s="315">
        <f>Produzione!$L$46</f>
        <v>0</v>
      </c>
      <c r="AH496" s="756"/>
      <c r="AI496" s="325"/>
      <c r="AJ496" s="849">
        <f>IF(EBF&gt;0,IF(OR(AJ489=0,AJ495=0),"",AJ495/(AJ489/IF(AJ489&gt;10,100,1))),)</f>
        <v>0</v>
      </c>
      <c r="AK496" s="756"/>
      <c r="AL496" s="315">
        <f>Produzione!$K$60</f>
        <v>0</v>
      </c>
      <c r="AM496" s="315">
        <f>Produzione!$L$60</f>
        <v>0</v>
      </c>
    </row>
    <row r="497" spans="1:39">
      <c r="A497" s="757">
        <v>488</v>
      </c>
      <c r="B497" s="759"/>
      <c r="C497" s="833"/>
      <c r="D497" s="759"/>
      <c r="E497" s="759"/>
      <c r="F497" s="817"/>
      <c r="G497" s="759"/>
      <c r="H497" s="759"/>
      <c r="I497" s="759"/>
      <c r="J497" s="759"/>
      <c r="Q497" s="761" t="str">
        <f>IF(Q495&lt;&gt;0,IF(Q496&lt;&gt;0,"Doppelte Eingabe",""),IF(R495&lt;&gt;0,IF(R496&lt;&gt;0,"Doppelte Eingabe",""),""))</f>
        <v/>
      </c>
      <c r="S497" s="759"/>
      <c r="X497" s="761" t="str">
        <f>IF(X495&lt;&gt;0,IF(X496&lt;&gt;0,"Doppelte Eingabe",""),IF(Y495&lt;&gt;0,IF(Y496&lt;&gt;0,"Doppelte Eingabe",""),""))</f>
        <v/>
      </c>
      <c r="Z497" s="759"/>
      <c r="AE497" s="761" t="str">
        <f>IF(AE495&lt;&gt;0,IF(AE496&lt;&gt;0,"Doppelte Eingabe",""),IF(AF495&lt;&gt;0,IF(AF496&lt;&gt;0,"Doppelte Eingabe",""),""))</f>
        <v/>
      </c>
      <c r="AG497" s="759"/>
      <c r="AL497" s="761" t="str">
        <f>IF(AL495&lt;&gt;0,IF(AL496&lt;&gt;0,"Doppelte Eingabe",""),IF(AM495&lt;&gt;0,IF(AM496&lt;&gt;0,"Doppelte Eingabe",""),""))</f>
        <v/>
      </c>
    </row>
    <row r="498" spans="1:39">
      <c r="A498" s="757">
        <v>489</v>
      </c>
      <c r="B498" s="755"/>
      <c r="C498" s="834"/>
      <c r="D498" s="762"/>
      <c r="E498" s="762"/>
      <c r="G498" s="762"/>
      <c r="H498" s="818"/>
      <c r="J498" s="762" t="s">
        <v>1620</v>
      </c>
      <c r="N498" s="762"/>
      <c r="O498" s="860"/>
      <c r="P498" s="759"/>
      <c r="Q498" s="762" t="s">
        <v>1620</v>
      </c>
      <c r="R498" s="759"/>
      <c r="S498" s="759"/>
      <c r="T498" s="759"/>
      <c r="U498" s="762"/>
      <c r="V498" s="769"/>
      <c r="W498" s="759"/>
      <c r="X498" s="762" t="s">
        <v>1620</v>
      </c>
      <c r="Y498" s="759"/>
      <c r="Z498" s="759"/>
      <c r="AA498" s="759"/>
      <c r="AB498" s="762"/>
      <c r="AC498" s="769"/>
      <c r="AD498" s="759"/>
      <c r="AE498" s="762" t="s">
        <v>1620</v>
      </c>
      <c r="AF498" s="759"/>
      <c r="AG498" s="759"/>
      <c r="AH498" s="759"/>
      <c r="AI498" s="762"/>
      <c r="AJ498" s="769"/>
      <c r="AK498" s="759"/>
      <c r="AL498" s="762" t="s">
        <v>1620</v>
      </c>
      <c r="AM498" s="759"/>
    </row>
    <row r="499" spans="1:39">
      <c r="A499" s="757">
        <v>490</v>
      </c>
      <c r="B499" s="772" t="str">
        <f>INDEX(Standardwerte!$V$6:$V$46,Rechnung!$C499,1)</f>
        <v>Riporto</v>
      </c>
      <c r="C499" s="835">
        <v>36</v>
      </c>
      <c r="D499" s="819"/>
      <c r="E499" s="820"/>
      <c r="F499" s="821"/>
      <c r="G499" s="819"/>
      <c r="H499" s="822"/>
      <c r="J499" s="760" t="s">
        <v>525</v>
      </c>
      <c r="K499" s="756" t="s">
        <v>1622</v>
      </c>
      <c r="M499" s="756"/>
      <c r="N499" s="760"/>
      <c r="O499" s="852"/>
      <c r="P499" s="756"/>
      <c r="Q499" s="760" t="s">
        <v>525</v>
      </c>
      <c r="R499" s="756" t="s">
        <v>1622</v>
      </c>
      <c r="S499" s="759"/>
      <c r="T499" s="756"/>
      <c r="U499" s="760"/>
      <c r="V499" s="764"/>
      <c r="W499" s="756"/>
      <c r="X499" s="760" t="s">
        <v>525</v>
      </c>
      <c r="Y499" s="756" t="s">
        <v>1622</v>
      </c>
      <c r="Z499" s="759"/>
      <c r="AA499" s="756"/>
      <c r="AB499" s="760"/>
      <c r="AC499" s="764"/>
      <c r="AD499" s="756"/>
      <c r="AE499" s="760" t="s">
        <v>525</v>
      </c>
      <c r="AF499" s="756" t="s">
        <v>1622</v>
      </c>
      <c r="AG499" s="759"/>
      <c r="AH499" s="756"/>
      <c r="AI499" s="760"/>
      <c r="AJ499" s="764"/>
      <c r="AK499" s="756"/>
      <c r="AL499" s="760" t="s">
        <v>525</v>
      </c>
      <c r="AM499" s="756" t="s">
        <v>1622</v>
      </c>
    </row>
    <row r="500" spans="1:39">
      <c r="A500" s="757">
        <v>491</v>
      </c>
      <c r="B500" s="778" t="s">
        <v>526</v>
      </c>
      <c r="C500" s="830"/>
      <c r="D500" s="779"/>
      <c r="E500" s="312"/>
      <c r="F500" s="313">
        <f>INDEX($M$10:$AM$162,$A$10+(_typ1-1)*14,1)</f>
        <v>0</v>
      </c>
      <c r="G500" s="780"/>
      <c r="H500" s="781"/>
      <c r="J500" s="782">
        <f>INDEX(Standardwerte!$Y$6:$Z$51,$C499,2)</f>
        <v>1</v>
      </c>
      <c r="K500" s="783">
        <f>INDEX(Standardwerte!$Y$6:$Z$51,$C499,1)</f>
        <v>1</v>
      </c>
      <c r="M500" s="315">
        <f>Produzione!$G$8</f>
        <v>0</v>
      </c>
      <c r="N500" s="764"/>
      <c r="O500" s="852"/>
      <c r="P500" s="756"/>
      <c r="Q500" s="756"/>
      <c r="R500" s="756"/>
      <c r="S500" s="759"/>
      <c r="T500" s="315">
        <f>Produzione!$G$22</f>
        <v>0</v>
      </c>
      <c r="U500" s="764"/>
      <c r="V500" s="764"/>
      <c r="W500" s="756"/>
      <c r="X500" s="756"/>
      <c r="Y500" s="756"/>
      <c r="Z500" s="759"/>
      <c r="AA500" s="315">
        <f>Produzione!$G$36</f>
        <v>0</v>
      </c>
      <c r="AB500" s="764"/>
      <c r="AC500" s="764"/>
      <c r="AD500" s="756"/>
      <c r="AE500" s="756"/>
      <c r="AF500" s="756"/>
      <c r="AG500" s="759"/>
      <c r="AH500" s="315">
        <f>Produzione!$G$50</f>
        <v>0</v>
      </c>
      <c r="AI500" s="764"/>
      <c r="AJ500" s="764"/>
      <c r="AK500" s="756"/>
      <c r="AL500" s="756"/>
      <c r="AM500" s="756"/>
    </row>
    <row r="501" spans="1:39">
      <c r="A501" s="757">
        <v>492</v>
      </c>
      <c r="B501" s="784" t="s">
        <v>1193</v>
      </c>
      <c r="C501" s="831" t="s">
        <v>584</v>
      </c>
      <c r="E501" s="786"/>
      <c r="F501" s="809"/>
      <c r="G501" s="787"/>
      <c r="H501" s="788"/>
      <c r="J501" s="782"/>
      <c r="K501" s="783"/>
      <c r="M501" s="315">
        <f>Produzione!$G$10</f>
        <v>0</v>
      </c>
      <c r="N501" s="764"/>
      <c r="O501" s="861">
        <f>F501</f>
        <v>0</v>
      </c>
      <c r="P501" s="756"/>
      <c r="Q501" s="756"/>
      <c r="R501" s="756"/>
      <c r="S501" s="759"/>
      <c r="T501" s="315">
        <f>Produzione!$G$24</f>
        <v>0</v>
      </c>
      <c r="U501" s="764"/>
      <c r="V501" s="28">
        <f>F501</f>
        <v>0</v>
      </c>
      <c r="W501" s="756"/>
      <c r="X501" s="756"/>
      <c r="Y501" s="756"/>
      <c r="Z501" s="759"/>
      <c r="AA501" s="315">
        <f>Produzione!$G$38</f>
        <v>0</v>
      </c>
      <c r="AB501" s="764"/>
      <c r="AC501" s="28">
        <f>F501</f>
        <v>0</v>
      </c>
      <c r="AD501" s="756"/>
      <c r="AE501" s="756"/>
      <c r="AF501" s="756"/>
      <c r="AG501" s="759"/>
      <c r="AH501" s="315">
        <f>Produzione!$G$52</f>
        <v>0</v>
      </c>
      <c r="AI501" s="764"/>
      <c r="AJ501" s="28">
        <f>F501</f>
        <v>0</v>
      </c>
      <c r="AK501" s="756"/>
      <c r="AL501" s="756"/>
      <c r="AM501" s="756"/>
    </row>
    <row r="502" spans="1:39">
      <c r="A502" s="757">
        <v>493</v>
      </c>
      <c r="B502" s="789" t="s">
        <v>1194</v>
      </c>
      <c r="C502" s="790"/>
      <c r="D502" s="786"/>
      <c r="E502" s="786"/>
      <c r="F502" s="1344"/>
      <c r="G502" s="792"/>
      <c r="H502" s="793"/>
      <c r="J502" s="782"/>
      <c r="K502" s="783"/>
      <c r="L502" s="770">
        <v>1</v>
      </c>
      <c r="M502" s="756"/>
      <c r="N502" s="766"/>
      <c r="O502" s="854"/>
      <c r="P502" s="756"/>
      <c r="Q502" s="756"/>
      <c r="R502" s="756"/>
      <c r="S502" s="759"/>
      <c r="T502" s="756"/>
      <c r="U502" s="766"/>
      <c r="V502" s="767"/>
      <c r="W502" s="756"/>
      <c r="X502" s="756"/>
      <c r="Y502" s="756"/>
      <c r="Z502" s="759"/>
      <c r="AA502" s="756"/>
      <c r="AB502" s="766"/>
      <c r="AC502" s="767"/>
      <c r="AD502" s="756"/>
      <c r="AE502" s="756"/>
      <c r="AF502" s="756"/>
      <c r="AG502" s="759"/>
      <c r="AH502" s="756"/>
      <c r="AI502" s="766"/>
      <c r="AJ502" s="767"/>
      <c r="AK502" s="756"/>
      <c r="AL502" s="756"/>
      <c r="AM502" s="756"/>
    </row>
    <row r="503" spans="1:39">
      <c r="A503" s="757">
        <v>494</v>
      </c>
      <c r="B503" s="789" t="s">
        <v>527</v>
      </c>
      <c r="C503" s="790" t="s">
        <v>584</v>
      </c>
      <c r="D503" s="786"/>
      <c r="E503" s="786"/>
      <c r="F503" s="791"/>
      <c r="G503" s="303"/>
      <c r="H503" s="316"/>
      <c r="J503" s="782"/>
      <c r="K503" s="783"/>
      <c r="M503" s="756"/>
      <c r="N503" s="321"/>
      <c r="O503" s="855" t="str">
        <f>IF(M501&lt;&gt;0,M501,IF(Produzione!$E$10&lt;&gt;"",Produzione!$E$10,Produzione!$G$9))</f>
        <v/>
      </c>
      <c r="P503" s="756"/>
      <c r="Q503" s="756"/>
      <c r="R503" s="756"/>
      <c r="S503" s="759"/>
      <c r="T503" s="756"/>
      <c r="U503" s="321"/>
      <c r="V503" s="322" t="str">
        <f>IF(T501&lt;&gt;0,T501,IF(Produzione!$E$24&lt;&gt;"",Produzione!$E$24,Produzione!$G$23))</f>
        <v/>
      </c>
      <c r="W503" s="756"/>
      <c r="X503" s="756"/>
      <c r="Y503" s="756"/>
      <c r="Z503" s="759"/>
      <c r="AA503" s="756"/>
      <c r="AB503" s="321"/>
      <c r="AC503" s="322" t="str">
        <f>IF(AA501&lt;&gt;0,AA501,IF(Produzione!$E$38&lt;&gt;"",Produzione!$E$38,Produzione!$G$37))</f>
        <v/>
      </c>
      <c r="AD503" s="756"/>
      <c r="AE503" s="756"/>
      <c r="AF503" s="756"/>
      <c r="AG503" s="759"/>
      <c r="AH503" s="756"/>
      <c r="AI503" s="321"/>
      <c r="AJ503" s="322" t="str">
        <f>IF(AH501&lt;&gt;0,AH501,IF(Produzione!$E$52&lt;&gt;"",Produzione!$E$52,Produzione!$G$51))</f>
        <v/>
      </c>
      <c r="AK503" s="756"/>
      <c r="AL503" s="756"/>
      <c r="AM503" s="756"/>
    </row>
    <row r="504" spans="1:39">
      <c r="A504" s="757">
        <v>495</v>
      </c>
      <c r="B504" s="789" t="s">
        <v>1467</v>
      </c>
      <c r="C504" s="790" t="s">
        <v>583</v>
      </c>
      <c r="D504" s="787"/>
      <c r="E504" s="795"/>
      <c r="F504" s="1344"/>
      <c r="G504" s="796"/>
      <c r="H504" s="797"/>
      <c r="J504" s="782"/>
      <c r="K504" s="783"/>
      <c r="L504" s="770">
        <v>2</v>
      </c>
      <c r="M504" s="315">
        <f>Produzione!$G$12</f>
        <v>0</v>
      </c>
      <c r="N504" s="758"/>
      <c r="O504" s="854"/>
      <c r="P504" s="756"/>
      <c r="Q504" s="756"/>
      <c r="R504" s="756"/>
      <c r="S504" s="759"/>
      <c r="T504" s="315">
        <f>Produzione!$G$26</f>
        <v>0</v>
      </c>
      <c r="U504" s="758"/>
      <c r="V504" s="758"/>
      <c r="W504" s="756"/>
      <c r="X504" s="756"/>
      <c r="Y504" s="756"/>
      <c r="Z504" s="759"/>
      <c r="AA504" s="315">
        <f>Produzione!$G$40</f>
        <v>0</v>
      </c>
      <c r="AB504" s="758"/>
      <c r="AC504" s="758"/>
      <c r="AD504" s="756"/>
      <c r="AE504" s="756"/>
      <c r="AF504" s="756"/>
      <c r="AG504" s="759"/>
      <c r="AH504" s="315">
        <f>Produzione!$G$54</f>
        <v>0</v>
      </c>
      <c r="AI504" s="758"/>
      <c r="AJ504" s="758"/>
      <c r="AK504" s="756"/>
      <c r="AL504" s="756"/>
      <c r="AM504" s="756"/>
    </row>
    <row r="505" spans="1:39">
      <c r="A505" s="757">
        <v>496</v>
      </c>
      <c r="B505" s="789" t="s">
        <v>1468</v>
      </c>
      <c r="C505" s="790" t="s">
        <v>583</v>
      </c>
      <c r="D505" s="796"/>
      <c r="E505" s="795"/>
      <c r="F505" s="1344"/>
      <c r="G505" s="787"/>
      <c r="H505" s="798"/>
      <c r="J505" s="782"/>
      <c r="K505" s="783"/>
      <c r="L505" s="770">
        <v>2</v>
      </c>
      <c r="M505" s="315">
        <f>Produzione!$G$13</f>
        <v>0</v>
      </c>
      <c r="N505" s="764"/>
      <c r="O505" s="852"/>
      <c r="P505" s="756"/>
      <c r="Q505" s="756"/>
      <c r="R505" s="756"/>
      <c r="S505" s="759"/>
      <c r="T505" s="315">
        <f>Produzione!$G$27</f>
        <v>0</v>
      </c>
      <c r="U505" s="764"/>
      <c r="V505" s="768"/>
      <c r="W505" s="756"/>
      <c r="X505" s="756"/>
      <c r="Y505" s="756"/>
      <c r="Z505" s="759"/>
      <c r="AA505" s="315">
        <f>Produzione!$G$41</f>
        <v>0</v>
      </c>
      <c r="AB505" s="764"/>
      <c r="AC505" s="768"/>
      <c r="AD505" s="756"/>
      <c r="AE505" s="756"/>
      <c r="AF505" s="756"/>
      <c r="AG505" s="759"/>
      <c r="AH505" s="315">
        <f>Produzione!$G$55</f>
        <v>0</v>
      </c>
      <c r="AI505" s="764"/>
      <c r="AJ505" s="768"/>
      <c r="AK505" s="756"/>
      <c r="AL505" s="756"/>
      <c r="AM505" s="756"/>
    </row>
    <row r="506" spans="1:39">
      <c r="A506" s="757">
        <v>497</v>
      </c>
      <c r="B506" s="799" t="s">
        <v>857</v>
      </c>
      <c r="C506" s="831" t="s">
        <v>583</v>
      </c>
      <c r="D506" s="786"/>
      <c r="E506" s="786"/>
      <c r="F506" s="314"/>
      <c r="G506" s="787"/>
      <c r="H506" s="800"/>
      <c r="J506" s="782"/>
      <c r="K506" s="783"/>
      <c r="M506" s="315">
        <f>Produzione!$G$14</f>
        <v>0</v>
      </c>
      <c r="N506" s="764"/>
      <c r="O506" s="852"/>
      <c r="P506" s="756"/>
      <c r="Q506" s="756"/>
      <c r="R506" s="756"/>
      <c r="S506" s="759"/>
      <c r="T506" s="315">
        <f>Produzione!$G$28</f>
        <v>0</v>
      </c>
      <c r="U506" s="764"/>
      <c r="V506" s="764"/>
      <c r="W506" s="756"/>
      <c r="X506" s="756"/>
      <c r="Y506" s="756"/>
      <c r="Z506" s="759"/>
      <c r="AA506" s="315">
        <f>Produzione!$G$42</f>
        <v>0</v>
      </c>
      <c r="AB506" s="764"/>
      <c r="AC506" s="764"/>
      <c r="AD506" s="756"/>
      <c r="AE506" s="756"/>
      <c r="AF506" s="756"/>
      <c r="AG506" s="759"/>
      <c r="AH506" s="315">
        <f>Produzione!$G$56</f>
        <v>0</v>
      </c>
      <c r="AI506" s="764"/>
      <c r="AJ506" s="764"/>
      <c r="AK506" s="756"/>
      <c r="AL506" s="756"/>
      <c r="AM506" s="756"/>
    </row>
    <row r="507" spans="1:39">
      <c r="A507" s="757">
        <v>498</v>
      </c>
      <c r="B507" s="799" t="s">
        <v>731</v>
      </c>
      <c r="C507" s="865" t="s">
        <v>776</v>
      </c>
      <c r="D507" s="786"/>
      <c r="E507" s="786"/>
      <c r="F507" s="314"/>
      <c r="G507" s="796"/>
      <c r="H507" s="788"/>
      <c r="J507" s="782"/>
      <c r="K507" s="783"/>
      <c r="M507" s="315">
        <f>Produzione!$G$15</f>
        <v>0</v>
      </c>
      <c r="N507" s="758"/>
      <c r="O507" s="853"/>
      <c r="P507" s="756"/>
      <c r="Q507" s="756"/>
      <c r="R507" s="756" t="str">
        <f>IF(AND($K500=0,R510&lt;&gt;0),"Riscald. ausgewählt",IF(AND($J500=0,Q496&gt;0),"Acqua calda ausgewählt",""))</f>
        <v/>
      </c>
      <c r="S507" s="759"/>
      <c r="T507" s="315">
        <f>Produzione!$G$29</f>
        <v>0</v>
      </c>
      <c r="U507" s="758"/>
      <c r="V507" s="765"/>
      <c r="W507" s="756"/>
      <c r="X507" s="756"/>
      <c r="Y507" s="756" t="str">
        <f>IF(AND($K500=0,Y510&lt;&gt;0),"Riscald. ausgewählt",IF(AND($J500=0,X496&gt;0),"Acqua calda ausgewählt",""))</f>
        <v/>
      </c>
      <c r="Z507" s="759"/>
      <c r="AA507" s="315">
        <f>Produzione!$G$43</f>
        <v>0</v>
      </c>
      <c r="AB507" s="758"/>
      <c r="AC507" s="765"/>
      <c r="AD507" s="756"/>
      <c r="AE507" s="756"/>
      <c r="AF507" s="756" t="str">
        <f>IF(AND($K500=0,AF510&lt;&gt;0),"Riscald. ausgewählt",IF(AND($J500=0,AE496&gt;0),"Acqua calda ausgewählt",""))</f>
        <v/>
      </c>
      <c r="AG507" s="759"/>
      <c r="AH507" s="315">
        <f>Produzione!$G$57</f>
        <v>0</v>
      </c>
      <c r="AI507" s="758"/>
      <c r="AJ507" s="765"/>
      <c r="AK507" s="756"/>
      <c r="AL507" s="756"/>
      <c r="AM507" s="756" t="str">
        <f>IF(AND($K500=0,AM510&lt;&gt;0),"Riscald. ausgewählt",IF(AND($J500=0,AL496&gt;0),"Acqua calda ausgewählt",""))</f>
        <v/>
      </c>
    </row>
    <row r="508" spans="1:39">
      <c r="A508" s="757">
        <v>499</v>
      </c>
      <c r="B508" s="799" t="s">
        <v>1374</v>
      </c>
      <c r="C508" s="813" t="s">
        <v>410</v>
      </c>
      <c r="D508" s="795"/>
      <c r="E508" s="795"/>
      <c r="F508" s="791"/>
      <c r="G508" s="303"/>
      <c r="H508" s="317"/>
      <c r="J508" s="801"/>
      <c r="K508" s="802"/>
      <c r="M508" s="756"/>
      <c r="N508" s="321"/>
      <c r="O508" s="845">
        <f>IF(EBF&gt;0,-(M505-M506)/EBF,)</f>
        <v>0</v>
      </c>
      <c r="P508" s="756"/>
      <c r="Q508" s="756">
        <f>IF(Q509&lt;&gt;0,Q509,Q510)*J500</f>
        <v>0</v>
      </c>
      <c r="R508" s="756">
        <f>IF(R509&lt;&gt;0,R509,R510)*K500</f>
        <v>0</v>
      </c>
      <c r="S508" s="759"/>
      <c r="T508" s="756"/>
      <c r="U508" s="321"/>
      <c r="V508" s="845">
        <f>IF(EBF&gt;0,-(T505-T506)/EBF,)</f>
        <v>0</v>
      </c>
      <c r="W508" s="756"/>
      <c r="X508" s="756">
        <f>IF(X509&lt;&gt;0,X509,X510)*J500</f>
        <v>0</v>
      </c>
      <c r="Y508" s="756">
        <f>IF(Y509&lt;&gt;0,Y509,Y510)*K500</f>
        <v>0</v>
      </c>
      <c r="Z508" s="759"/>
      <c r="AA508" s="756"/>
      <c r="AB508" s="321"/>
      <c r="AC508" s="845">
        <f>IF(EBF&gt;0,-(AA505-AA506)/EBF,)</f>
        <v>0</v>
      </c>
      <c r="AD508" s="756"/>
      <c r="AE508" s="756">
        <f>IF(AE509&lt;&gt;0,AE509,AE510)*J500</f>
        <v>0</v>
      </c>
      <c r="AF508" s="756">
        <f>IF(AF509&lt;&gt;0,AF509,AF510)*K500</f>
        <v>0</v>
      </c>
      <c r="AG508" s="759"/>
      <c r="AH508" s="756"/>
      <c r="AI508" s="321"/>
      <c r="AJ508" s="845">
        <f>IF(EBF&gt;0,-(AH505-AH506)/EBF,)</f>
        <v>0</v>
      </c>
      <c r="AK508" s="756"/>
      <c r="AL508" s="756">
        <f>IF(AL509&lt;&gt;0,AL509,AL510)*J500</f>
        <v>0</v>
      </c>
      <c r="AM508" s="756">
        <f>IF(AM509&lt;&gt;0,AM509,AM510)*K500</f>
        <v>0</v>
      </c>
    </row>
    <row r="509" spans="1:39">
      <c r="A509" s="757">
        <v>500</v>
      </c>
      <c r="B509" s="789" t="s">
        <v>652</v>
      </c>
      <c r="C509" s="813" t="s">
        <v>410</v>
      </c>
      <c r="D509" s="795"/>
      <c r="E509" s="786"/>
      <c r="F509" s="792"/>
      <c r="G509" s="303"/>
      <c r="H509" s="318"/>
      <c r="J509" s="803"/>
      <c r="K509" s="804"/>
      <c r="M509" s="758"/>
      <c r="N509" s="321"/>
      <c r="O509" s="845">
        <f>IF(EBF&gt;0,IF(M504/EBF&gt;(qh/3.6+qw),(qh/3.6+qw),(Q508/100*qh/3.6+R508/100*qw)),)</f>
        <v>0</v>
      </c>
      <c r="P509" s="756"/>
      <c r="Q509" s="756"/>
      <c r="R509" s="756"/>
      <c r="S509" s="759"/>
      <c r="T509" s="756"/>
      <c r="U509" s="321"/>
      <c r="V509" s="845">
        <f>IF(EBF&gt;0,IF(T504/EBF&gt;(qh/3.6+qw),(qh/3.6+qw),(X508/100*qh/3.6+Y508/100*qw)),)</f>
        <v>0</v>
      </c>
      <c r="W509" s="756"/>
      <c r="X509" s="756"/>
      <c r="Y509" s="756"/>
      <c r="Z509" s="759"/>
      <c r="AA509" s="758"/>
      <c r="AB509" s="321"/>
      <c r="AC509" s="845">
        <f>IF(EBF&gt;0,IF(AA504/EBF&gt;(qh/3.6+qw),(qh/3.6+qw),(AE508/100*qh/3.6+AF508/100*qw)),)</f>
        <v>0</v>
      </c>
      <c r="AD509" s="756"/>
      <c r="AE509" s="756"/>
      <c r="AF509" s="756"/>
      <c r="AG509" s="759"/>
      <c r="AH509" s="758"/>
      <c r="AI509" s="321"/>
      <c r="AJ509" s="845">
        <f>IF(EBF&gt;0,IF(AH504/EBF&gt;(qh/3.6+qw),(qh/3.6+qw),(AL508/100*qh/3.6+AM508/100*qw)),)</f>
        <v>0</v>
      </c>
      <c r="AK509" s="756"/>
      <c r="AL509" s="756"/>
      <c r="AM509" s="756"/>
    </row>
    <row r="510" spans="1:39">
      <c r="A510" s="757">
        <v>501</v>
      </c>
      <c r="B510" s="812" t="s">
        <v>41</v>
      </c>
      <c r="C510" s="813" t="s">
        <v>410</v>
      </c>
      <c r="D510" s="806"/>
      <c r="E510" s="806"/>
      <c r="F510" s="774"/>
      <c r="G510" s="319"/>
      <c r="H510" s="320"/>
      <c r="J510" s="807"/>
      <c r="K510" s="808"/>
      <c r="M510" s="756"/>
      <c r="N510" s="325"/>
      <c r="O510" s="849" t="str">
        <f>IF(OR(O503=0,O509=0,O503=""),"",O509/(O503/100))</f>
        <v/>
      </c>
      <c r="P510" s="756"/>
      <c r="Q510" s="315">
        <f>Produzione!$K$18</f>
        <v>0</v>
      </c>
      <c r="R510" s="315">
        <f>Produzione!$L$18</f>
        <v>0</v>
      </c>
      <c r="T510" s="756"/>
      <c r="U510" s="325"/>
      <c r="V510" s="849" t="str">
        <f>IF(OR(V503=0,V509=0),"",V509/(V503/100))</f>
        <v/>
      </c>
      <c r="W510" s="756"/>
      <c r="X510" s="315">
        <f>Produzione!$K$32</f>
        <v>0</v>
      </c>
      <c r="Y510" s="315">
        <f>Produzione!$L$32</f>
        <v>0</v>
      </c>
      <c r="AA510" s="756"/>
      <c r="AB510" s="325"/>
      <c r="AC510" s="849" t="str">
        <f>IF(OR(AC503=0,AC509=0),"",AC509/(AC503/100))</f>
        <v/>
      </c>
      <c r="AD510" s="756"/>
      <c r="AE510" s="315">
        <f>Produzione!$K$46</f>
        <v>0</v>
      </c>
      <c r="AF510" s="315">
        <f>Produzione!$L$46</f>
        <v>0</v>
      </c>
      <c r="AH510" s="756"/>
      <c r="AI510" s="325"/>
      <c r="AJ510" s="849" t="str">
        <f>IF(OR(AJ503=0,AJ509=0),"",AJ509/(AJ503/100))</f>
        <v/>
      </c>
      <c r="AK510" s="756"/>
      <c r="AL510" s="315">
        <f>Produzione!$K$60</f>
        <v>0</v>
      </c>
      <c r="AM510" s="315">
        <f>Produzione!$L$60</f>
        <v>0</v>
      </c>
    </row>
    <row r="511" spans="1:39">
      <c r="A511" s="757">
        <v>502</v>
      </c>
      <c r="B511" s="759"/>
      <c r="C511" s="833"/>
      <c r="D511" s="759"/>
      <c r="E511" s="759"/>
      <c r="F511" s="817"/>
      <c r="G511" s="759"/>
      <c r="H511" s="759"/>
      <c r="I511" s="759"/>
      <c r="J511" s="759"/>
      <c r="Q511" s="761" t="str">
        <f>IF(Q509&lt;&gt;0,IF(Q510&lt;&gt;0,"Doppelte Eingabe",""),IF(R509&lt;&gt;0,IF(R510&lt;&gt;0,"Doppelte Eingabe",""),""))</f>
        <v/>
      </c>
      <c r="S511" s="759"/>
      <c r="X511" s="761" t="str">
        <f>IF(X509&lt;&gt;0,IF(X510&lt;&gt;0,"Doppelte Eingabe",""),IF(Y509&lt;&gt;0,IF(Y510&lt;&gt;0,"Doppelte Eingabe",""),""))</f>
        <v/>
      </c>
      <c r="Z511" s="759"/>
      <c r="AE511" s="761" t="str">
        <f>IF(AE509&lt;&gt;0,IF(AE510&lt;&gt;0,"Doppelte Eingabe",""),IF(AF509&lt;&gt;0,IF(AF510&lt;&gt;0,"Doppelte Eingabe",""),""))</f>
        <v/>
      </c>
      <c r="AG511" s="759"/>
      <c r="AL511" s="761" t="str">
        <f>IF(AL509&lt;&gt;0,IF(AL510&lt;&gt;0,"Doppelte Eingabe",""),IF(AM509&lt;&gt;0,IF(AM510&lt;&gt;0,"Doppelte Eingabe",""),""))</f>
        <v/>
      </c>
    </row>
    <row r="512" spans="1:39">
      <c r="A512" s="757">
        <v>503</v>
      </c>
      <c r="B512" s="755"/>
      <c r="C512" s="834"/>
      <c r="D512" s="762"/>
      <c r="E512" s="762"/>
      <c r="G512" s="762"/>
      <c r="H512" s="818"/>
      <c r="J512" s="762" t="s">
        <v>1177</v>
      </c>
      <c r="N512" s="762"/>
      <c r="O512" s="860"/>
      <c r="P512" s="759"/>
      <c r="Q512" s="762" t="s">
        <v>1177</v>
      </c>
      <c r="R512" s="759"/>
      <c r="S512" s="759"/>
      <c r="T512" s="759"/>
      <c r="U512" s="762"/>
      <c r="V512" s="769"/>
      <c r="W512" s="759"/>
      <c r="X512" s="762" t="s">
        <v>1177</v>
      </c>
      <c r="Y512" s="759"/>
      <c r="Z512" s="759"/>
      <c r="AA512" s="759"/>
      <c r="AB512" s="762"/>
      <c r="AC512" s="769"/>
      <c r="AD512" s="759"/>
      <c r="AE512" s="762" t="s">
        <v>1177</v>
      </c>
      <c r="AF512" s="759"/>
      <c r="AG512" s="759"/>
      <c r="AH512" s="759"/>
      <c r="AI512" s="762"/>
      <c r="AJ512" s="769"/>
      <c r="AK512" s="759"/>
      <c r="AL512" s="762" t="s">
        <v>1177</v>
      </c>
      <c r="AM512" s="759"/>
    </row>
    <row r="513" spans="1:39">
      <c r="A513" s="757">
        <v>504</v>
      </c>
      <c r="B513" s="772" t="str">
        <f>INDEX(Standardwerte!$V$6:$V$51,Rechnung!$C513,1)</f>
        <v>Aerazione con PdC aspirazione / immissione più  RC</v>
      </c>
      <c r="C513" s="835">
        <v>37</v>
      </c>
      <c r="D513" s="819"/>
      <c r="E513" s="820"/>
      <c r="F513" s="821"/>
      <c r="G513" s="819"/>
      <c r="H513" s="822"/>
      <c r="J513" s="760" t="s">
        <v>1178</v>
      </c>
      <c r="K513" s="756" t="s">
        <v>1179</v>
      </c>
      <c r="M513" s="756"/>
      <c r="N513" s="760"/>
      <c r="O513" s="852"/>
      <c r="P513" s="756"/>
      <c r="Q513" s="760" t="s">
        <v>1178</v>
      </c>
      <c r="R513" s="756" t="s">
        <v>1179</v>
      </c>
      <c r="S513" s="759"/>
      <c r="T513" s="756"/>
      <c r="U513" s="760"/>
      <c r="V513" s="764"/>
      <c r="W513" s="756"/>
      <c r="X513" s="760" t="s">
        <v>1178</v>
      </c>
      <c r="Y513" s="756" t="s">
        <v>1179</v>
      </c>
      <c r="Z513" s="759"/>
      <c r="AA513" s="777"/>
      <c r="AB513" s="776"/>
      <c r="AC513" s="934"/>
      <c r="AD513" s="777"/>
      <c r="AE513" s="776" t="s">
        <v>1178</v>
      </c>
      <c r="AF513" s="777" t="s">
        <v>1179</v>
      </c>
      <c r="AG513" s="759"/>
      <c r="AH513" s="777"/>
      <c r="AI513" s="776"/>
      <c r="AJ513" s="934"/>
      <c r="AK513" s="777"/>
      <c r="AL513" s="776" t="s">
        <v>1178</v>
      </c>
      <c r="AM513" s="777" t="s">
        <v>1179</v>
      </c>
    </row>
    <row r="514" spans="1:39">
      <c r="A514" s="757">
        <v>505</v>
      </c>
      <c r="B514" s="778" t="s">
        <v>526</v>
      </c>
      <c r="C514" s="830"/>
      <c r="D514" s="779"/>
      <c r="E514" s="312"/>
      <c r="F514" s="313">
        <f>INDEX($M$10:$AM$162,$A$10+(_typ1-1)*14,1)</f>
        <v>0</v>
      </c>
      <c r="G514" s="780"/>
      <c r="H514" s="781"/>
      <c r="J514" s="782">
        <f>INDEX(Standardwerte!$Y$6:$Z$51,$C513,2)</f>
        <v>1</v>
      </c>
      <c r="K514" s="783">
        <f>INDEX(Standardwerte!$Y$6:$Z$51,$C513,1)</f>
        <v>0</v>
      </c>
      <c r="M514" s="315">
        <f>Produzione!$G$8</f>
        <v>0</v>
      </c>
      <c r="N514" s="764"/>
      <c r="O514" s="852"/>
      <c r="P514" s="756"/>
      <c r="Q514" s="756"/>
      <c r="R514" s="756"/>
      <c r="S514" s="759"/>
      <c r="T514" s="315">
        <f>Produzione!$G$22</f>
        <v>0</v>
      </c>
      <c r="U514" s="764"/>
      <c r="V514" s="764"/>
      <c r="W514" s="756"/>
      <c r="X514" s="756"/>
      <c r="Y514" s="756"/>
      <c r="Z514" s="759"/>
      <c r="AA514" s="315">
        <f>Produzione!$G$36</f>
        <v>0</v>
      </c>
      <c r="AB514" s="764"/>
      <c r="AC514" s="764"/>
      <c r="AD514" s="756"/>
      <c r="AE514" s="756"/>
      <c r="AF514" s="756"/>
      <c r="AG514" s="759"/>
      <c r="AH514" s="315">
        <f>Produzione!$G$50</f>
        <v>0</v>
      </c>
      <c r="AI514" s="764"/>
      <c r="AJ514" s="764"/>
      <c r="AK514" s="756"/>
      <c r="AL514" s="756"/>
      <c r="AM514" s="756"/>
    </row>
    <row r="515" spans="1:39">
      <c r="A515" s="757">
        <v>506</v>
      </c>
      <c r="B515" s="784" t="s">
        <v>697</v>
      </c>
      <c r="C515" s="794" t="s">
        <v>776</v>
      </c>
      <c r="E515" s="786"/>
      <c r="F515" s="809">
        <f>INDEX(Standardwerte!$W$6:$W$51,$C513,1)</f>
        <v>2.2999999999999998</v>
      </c>
      <c r="G515" s="787"/>
      <c r="H515" s="788"/>
      <c r="J515" s="782"/>
      <c r="K515" s="783"/>
      <c r="M515" s="315">
        <f>Produzione!$G$10</f>
        <v>0</v>
      </c>
      <c r="N515" s="764"/>
      <c r="O515" s="1544">
        <f>F515</f>
        <v>2.2999999999999998</v>
      </c>
      <c r="P515" s="756"/>
      <c r="Q515" s="756"/>
      <c r="R515" s="756"/>
      <c r="S515" s="759"/>
      <c r="T515" s="315">
        <f>Produzione!$G$24</f>
        <v>0</v>
      </c>
      <c r="U515" s="764"/>
      <c r="V515" s="1544">
        <f>F515</f>
        <v>2.2999999999999998</v>
      </c>
      <c r="W515" s="756"/>
      <c r="X515" s="756"/>
      <c r="Y515" s="756"/>
      <c r="Z515" s="759"/>
      <c r="AA515" s="315">
        <f>Produzione!$G$38</f>
        <v>0</v>
      </c>
      <c r="AB515" s="764"/>
      <c r="AC515" s="1544">
        <f>F515</f>
        <v>2.2999999999999998</v>
      </c>
      <c r="AD515" s="756"/>
      <c r="AE515" s="756"/>
      <c r="AF515" s="756"/>
      <c r="AG515" s="759"/>
      <c r="AH515" s="315">
        <f>Produzione!$G$52</f>
        <v>0</v>
      </c>
      <c r="AI515" s="764"/>
      <c r="AJ515" s="1544">
        <f>F515</f>
        <v>2.2999999999999998</v>
      </c>
      <c r="AK515" s="756"/>
      <c r="AL515" s="756"/>
      <c r="AM515" s="756"/>
    </row>
    <row r="516" spans="1:39">
      <c r="A516" s="757">
        <v>507</v>
      </c>
      <c r="B516" s="789" t="s">
        <v>698</v>
      </c>
      <c r="C516" s="794" t="s">
        <v>776</v>
      </c>
      <c r="D516" s="786"/>
      <c r="E516" s="786" t="str">
        <f>IF(OR(M515&gt;O515,T515&gt;V515,AA515&gt;AC515,AH515&gt;AJ515),"","")</f>
        <v/>
      </c>
      <c r="F516" s="1344"/>
      <c r="G516" s="792"/>
      <c r="H516" s="793"/>
      <c r="J516" s="782"/>
      <c r="K516" s="783"/>
      <c r="L516" s="770">
        <v>1</v>
      </c>
      <c r="M516" s="756"/>
      <c r="N516" s="766"/>
      <c r="O516" s="854"/>
      <c r="P516" s="756"/>
      <c r="Q516" s="756"/>
      <c r="R516" s="756"/>
      <c r="S516" s="759"/>
      <c r="T516" s="756"/>
      <c r="U516" s="766"/>
      <c r="V516" s="767"/>
      <c r="W516" s="756"/>
      <c r="X516" s="756"/>
      <c r="Y516" s="756"/>
      <c r="Z516" s="759"/>
      <c r="AA516" s="756"/>
      <c r="AB516" s="766"/>
      <c r="AC516" s="767"/>
      <c r="AD516" s="756"/>
      <c r="AE516" s="756"/>
      <c r="AF516" s="756"/>
      <c r="AG516" s="759"/>
      <c r="AH516" s="756"/>
      <c r="AI516" s="766"/>
      <c r="AJ516" s="767"/>
      <c r="AK516" s="756"/>
      <c r="AL516" s="756"/>
      <c r="AM516" s="756"/>
    </row>
    <row r="517" spans="1:39">
      <c r="A517" s="757">
        <v>508</v>
      </c>
      <c r="B517" s="789" t="s">
        <v>699</v>
      </c>
      <c r="C517" s="794" t="s">
        <v>776</v>
      </c>
      <c r="D517" s="786"/>
      <c r="E517" s="786"/>
      <c r="F517" s="791"/>
      <c r="G517" s="303"/>
      <c r="H517" s="316"/>
      <c r="J517" s="782"/>
      <c r="K517" s="783"/>
      <c r="M517" s="756"/>
      <c r="N517" s="321"/>
      <c r="O517" s="855" t="str">
        <f>IF(M515&lt;&gt;0,M515,IF(Produzione!$E$10&lt;&gt;"",Produzione!$E$10,Produzione!$G$9))</f>
        <v/>
      </c>
      <c r="P517" s="756"/>
      <c r="Q517" s="756"/>
      <c r="R517" s="756"/>
      <c r="S517" s="759"/>
      <c r="T517" s="756"/>
      <c r="U517" s="321"/>
      <c r="V517" s="322" t="str">
        <f>IF(T515&lt;&gt;0,T515,IF(Produzione!$E$24&lt;&gt;"",Produzione!$E$24,Produzione!$G$23))</f>
        <v/>
      </c>
      <c r="W517" s="756"/>
      <c r="X517" s="756"/>
      <c r="Y517" s="756"/>
      <c r="Z517" s="759"/>
      <c r="AA517" s="756"/>
      <c r="AB517" s="321"/>
      <c r="AC517" s="322" t="str">
        <f>IF(AA515&lt;&gt;0,AA515,IF(Produzione!$E$38&lt;&gt;"",Produzione!$E$38,Produzione!$G$37))</f>
        <v/>
      </c>
      <c r="AD517" s="756"/>
      <c r="AE517" s="756"/>
      <c r="AF517" s="756"/>
      <c r="AG517" s="759"/>
      <c r="AH517" s="756"/>
      <c r="AI517" s="321"/>
      <c r="AJ517" s="322" t="str">
        <f>IF(AH515&lt;&gt;0,AH515,IF(Produzione!$E$52&lt;&gt;"",Produzione!$E$52,Produzione!$G$51))</f>
        <v/>
      </c>
      <c r="AK517" s="756"/>
      <c r="AL517" s="756"/>
      <c r="AM517" s="756"/>
    </row>
    <row r="518" spans="1:39">
      <c r="A518" s="757">
        <v>509</v>
      </c>
      <c r="B518" s="789" t="s">
        <v>51</v>
      </c>
      <c r="C518" s="790" t="s">
        <v>761</v>
      </c>
      <c r="D518" s="787"/>
      <c r="E518" s="795"/>
      <c r="F518" s="1344"/>
      <c r="G518" s="796"/>
      <c r="H518" s="797"/>
      <c r="J518" s="782"/>
      <c r="K518" s="783"/>
      <c r="L518" s="770">
        <v>2</v>
      </c>
      <c r="M518" s="315">
        <f>Produzione!$G$12</f>
        <v>0</v>
      </c>
      <c r="N518" s="758"/>
      <c r="O518" s="854"/>
      <c r="P518" s="756"/>
      <c r="Q518" s="756"/>
      <c r="R518" s="756"/>
      <c r="S518" s="759"/>
      <c r="T518" s="315">
        <f>Produzione!$G$26</f>
        <v>0</v>
      </c>
      <c r="U518" s="758"/>
      <c r="V518" s="758"/>
      <c r="W518" s="756"/>
      <c r="X518" s="756"/>
      <c r="Y518" s="756"/>
      <c r="Z518" s="759"/>
      <c r="AA518" s="315">
        <f>Produzione!$G$40</f>
        <v>0</v>
      </c>
      <c r="AB518" s="758"/>
      <c r="AC518" s="758"/>
      <c r="AD518" s="756"/>
      <c r="AE518" s="756"/>
      <c r="AF518" s="756"/>
      <c r="AG518" s="759"/>
      <c r="AH518" s="315">
        <f>Produzione!$G$54</f>
        <v>0</v>
      </c>
      <c r="AI518" s="758"/>
      <c r="AJ518" s="758"/>
      <c r="AK518" s="756"/>
      <c r="AL518" s="756"/>
      <c r="AM518" s="756"/>
    </row>
    <row r="519" spans="1:39">
      <c r="A519" s="757">
        <v>510</v>
      </c>
      <c r="B519" s="789" t="str">
        <f>IF(J514=1,"fabbisogno di potenza termica dell'edificio","")</f>
        <v>fabbisogno di potenza termica dell'edificio</v>
      </c>
      <c r="C519" s="790" t="str">
        <f>IF(J514=1,"kW","")</f>
        <v>kW</v>
      </c>
      <c r="D519" s="796"/>
      <c r="E519" s="795"/>
      <c r="F519" s="1344"/>
      <c r="G519" s="787"/>
      <c r="H519" s="798"/>
      <c r="J519" s="782"/>
      <c r="K519" s="783"/>
      <c r="L519" s="770">
        <v>2</v>
      </c>
      <c r="M519" s="315">
        <f>Produzione!$G$13</f>
        <v>0</v>
      </c>
      <c r="N519" s="764"/>
      <c r="O519" s="852"/>
      <c r="P519" s="756"/>
      <c r="Q519" s="756"/>
      <c r="R519" s="756"/>
      <c r="S519" s="759"/>
      <c r="T519" s="315">
        <f>Produzione!$G$27</f>
        <v>0</v>
      </c>
      <c r="U519" s="764"/>
      <c r="V519" s="768"/>
      <c r="W519" s="756"/>
      <c r="X519" s="756"/>
      <c r="Y519" s="756"/>
      <c r="Z519" s="759"/>
      <c r="AA519" s="315">
        <f>Produzione!$G$41</f>
        <v>0</v>
      </c>
      <c r="AB519" s="764"/>
      <c r="AC519" s="768"/>
      <c r="AD519" s="756"/>
      <c r="AE519" s="756"/>
      <c r="AF519" s="756"/>
      <c r="AG519" s="759"/>
      <c r="AH519" s="315">
        <f>Produzione!$G$55</f>
        <v>0</v>
      </c>
      <c r="AI519" s="764"/>
      <c r="AJ519" s="768"/>
      <c r="AK519" s="756"/>
      <c r="AL519" s="756"/>
      <c r="AM519" s="756"/>
    </row>
    <row r="520" spans="1:39">
      <c r="A520" s="757">
        <v>511</v>
      </c>
      <c r="B520" s="799" t="str">
        <f>IF(J514=1,"Temperatura di mandata riscaldamento","")</f>
        <v>Temperatura di mandata riscaldamento</v>
      </c>
      <c r="C520" s="831" t="str">
        <f>IF(J514=1,"°C","")</f>
        <v>°C</v>
      </c>
      <c r="D520" s="786"/>
      <c r="E520" s="786"/>
      <c r="F520" s="1344"/>
      <c r="G520" s="787"/>
      <c r="H520" s="800"/>
      <c r="J520" s="782"/>
      <c r="K520" s="783"/>
      <c r="L520" s="770">
        <v>2</v>
      </c>
      <c r="M520" s="315">
        <f>Produzione!$G$14</f>
        <v>0</v>
      </c>
      <c r="N520" s="764"/>
      <c r="P520" s="756"/>
      <c r="Q520" s="756"/>
      <c r="R520" s="756"/>
      <c r="S520" s="759"/>
      <c r="T520" s="315">
        <f>Produzione!$G$28</f>
        <v>0</v>
      </c>
      <c r="U520" s="764"/>
      <c r="W520" s="756"/>
      <c r="X520" s="756"/>
      <c r="Y520" s="756"/>
      <c r="Z520" s="759"/>
      <c r="AA520" s="315">
        <f>Produzione!$G$42</f>
        <v>0</v>
      </c>
      <c r="AB520" s="764"/>
      <c r="AD520" s="756"/>
      <c r="AE520" s="756"/>
      <c r="AF520" s="756"/>
      <c r="AG520" s="759"/>
      <c r="AH520" s="315">
        <f>Produzione!$G$56</f>
        <v>0</v>
      </c>
      <c r="AI520" s="764"/>
      <c r="AK520" s="756"/>
      <c r="AL520" s="756"/>
      <c r="AM520" s="756"/>
    </row>
    <row r="521" spans="1:39">
      <c r="A521" s="757">
        <v>512</v>
      </c>
      <c r="B521" s="799" t="str">
        <f>IF(AND(Warmwasser,K514=1),"Temperatura acqua calda sanitaria","")</f>
        <v/>
      </c>
      <c r="C521" s="831" t="str">
        <f>IF(AND(Warmwasser,K514=1),"°C","")</f>
        <v/>
      </c>
      <c r="D521" s="786"/>
      <c r="E521" s="786"/>
      <c r="F521" s="1344"/>
      <c r="G521" s="796"/>
      <c r="H521" s="788"/>
      <c r="J521" s="782"/>
      <c r="K521" s="783"/>
      <c r="M521" s="315">
        <f>Produzione!$G$15</f>
        <v>0</v>
      </c>
      <c r="N521" s="758"/>
      <c r="O521" s="853"/>
      <c r="P521" s="756"/>
      <c r="Q521" s="756"/>
      <c r="R521" s="756" t="str">
        <f>IF(AND($K514=0,R524&lt;&gt;0),"Heizung ausgewählt",IF(AND($J514=0,Q496&gt;0),"Warmwasser ausgewählt",""))</f>
        <v/>
      </c>
      <c r="S521" s="759"/>
      <c r="T521" s="315">
        <f>Produzione!$G$29</f>
        <v>0</v>
      </c>
      <c r="U521" s="758"/>
      <c r="V521" s="765"/>
      <c r="W521" s="756"/>
      <c r="X521" s="756"/>
      <c r="Y521" s="756" t="str">
        <f>IF(AND($K514=0,Y524&lt;&gt;0),"Heizung ausgewählt",IF(AND($J514=0,X496&gt;0),"Warmwasser ausgewählt",""))</f>
        <v/>
      </c>
      <c r="Z521" s="759"/>
      <c r="AA521" s="315">
        <f>Produzione!$G$43</f>
        <v>0</v>
      </c>
      <c r="AB521" s="758"/>
      <c r="AC521" s="765"/>
      <c r="AD521" s="756"/>
      <c r="AE521" s="756"/>
      <c r="AF521" s="756" t="str">
        <f>IF(AND($K514=0,AF524&lt;&gt;0),"Heizung ausgewählt",IF(AND($J514=0,AE496&gt;0),"Warmwasser ausgewählt",""))</f>
        <v/>
      </c>
      <c r="AG521" s="759"/>
      <c r="AH521" s="315">
        <f>Produzione!$G$57</f>
        <v>0</v>
      </c>
      <c r="AI521" s="758"/>
      <c r="AJ521" s="765"/>
      <c r="AK521" s="756"/>
      <c r="AL521" s="756"/>
      <c r="AM521" s="756" t="str">
        <f>IF(AND($K514=0,AM524&lt;&gt;0),"Heizung ausgewählt",IF(AND($J514=0,AL496&gt;0),"Warmwasser ausgewählt",""))</f>
        <v/>
      </c>
    </row>
    <row r="522" spans="1:39">
      <c r="A522" s="757">
        <v>513</v>
      </c>
      <c r="B522" s="799" t="s">
        <v>1374</v>
      </c>
      <c r="C522" s="790" t="s">
        <v>410</v>
      </c>
      <c r="D522" s="795"/>
      <c r="E522" s="795"/>
      <c r="F522" s="791"/>
      <c r="G522" s="303"/>
      <c r="H522" s="317"/>
      <c r="J522" s="801"/>
      <c r="K522" s="802"/>
      <c r="M522" s="756"/>
      <c r="N522" s="321"/>
      <c r="O522" s="849">
        <f>IF(O517="",,R522/100*qw/O517+Q522/100*qh/3.6/O517)</f>
        <v>0</v>
      </c>
      <c r="P522" s="756"/>
      <c r="Q522" s="756">
        <f>IF(AND(Q524&lt;&gt;0,Q523=0),Q524,IF(Q524&lt;&gt;0,MIN(Q524,Q523),Q523))*$J514</f>
        <v>0</v>
      </c>
      <c r="R522" s="756">
        <f>IF(AND(R524&lt;&gt;0,R523=0),R524,IF(R524&lt;&gt;0,MIN(R524,R523),R523))*$K514</f>
        <v>0</v>
      </c>
      <c r="S522" s="759"/>
      <c r="T522" s="756"/>
      <c r="U522" s="321"/>
      <c r="V522" s="847">
        <f>IF(V517="",,Y522/100*qw/V517+X522/100*qh/3.6/V517)</f>
        <v>0</v>
      </c>
      <c r="W522" s="756"/>
      <c r="X522" s="756">
        <f>IF(AND(X524&lt;&gt;0,X523=0),X524,IF(X524&lt;&gt;0,MIN(X524,X523),X523))*J514</f>
        <v>0</v>
      </c>
      <c r="Y522" s="756">
        <f>IF(AND(Y524&lt;&gt;0,Y523=0),Y524,IF(Y524&lt;&gt;0,MIN(Y524,Y523),Y523))*$K514</f>
        <v>0</v>
      </c>
      <c r="Z522" s="759"/>
      <c r="AA522" s="756"/>
      <c r="AB522" s="321"/>
      <c r="AC522" s="847">
        <f>IF(AC517="",,AF522/100*qw/AC517+AE522/100*qh/3.6/AC517)</f>
        <v>0</v>
      </c>
      <c r="AD522" s="756"/>
      <c r="AE522" s="756">
        <f>IF(AND(AE524&lt;&gt;0,AE523=0),AE524,IF(AE524&lt;&gt;0,MIN(AE524,AE523),AE523))*J514</f>
        <v>0</v>
      </c>
      <c r="AF522" s="756">
        <f>IF(AND(AF524&lt;&gt;0,AF523=0),AF524,IF(AF524&lt;&gt;0,MIN(AF524,AF523),AF523))*$K514</f>
        <v>0</v>
      </c>
      <c r="AG522" s="759"/>
      <c r="AH522" s="756"/>
      <c r="AI522" s="321"/>
      <c r="AJ522" s="847">
        <f>IF(AJ517="",,AM522/100*qw/AJ517+AL522/100*qh/3.6/AJ517)</f>
        <v>0</v>
      </c>
      <c r="AK522" s="756"/>
      <c r="AL522" s="756">
        <f>IF(AND(AL524&lt;&gt;0,AL523=0),AL524,IF(AL524&lt;&gt;0,MIN(AL524,AL523),AL523))*J514</f>
        <v>0</v>
      </c>
      <c r="AM522" s="756">
        <f>IF(AND(AM524&lt;&gt;0,AM523=0),AM524,IF(AM524&lt;&gt;0,MIN(AM524,AM523),AM523))*$K514</f>
        <v>0</v>
      </c>
    </row>
    <row r="523" spans="1:39">
      <c r="A523" s="757">
        <v>514</v>
      </c>
      <c r="B523" s="789" t="s">
        <v>652</v>
      </c>
      <c r="C523" s="1545" t="s">
        <v>410</v>
      </c>
      <c r="D523" s="795"/>
      <c r="E523" s="786"/>
      <c r="F523" s="792"/>
      <c r="G523" s="303"/>
      <c r="H523" s="318"/>
      <c r="J523" s="803"/>
      <c r="K523" s="804"/>
      <c r="M523" s="758"/>
      <c r="N523" s="321"/>
      <c r="O523" s="845">
        <f>IF(O517=0,,(Q522/100*qh/3.6+R522/100*qw))</f>
        <v>0</v>
      </c>
      <c r="P523" s="756"/>
      <c r="Q523" s="756">
        <f>IF(M519&gt;0,(1-MIN((1-MIN((1-MIN(MIN(R522,R524)/100*qw*EBF/8760/M518/O517*1000,1))*M518*O517/1000/M519,1))^2,1))*100,0)*$J514</f>
        <v>0</v>
      </c>
      <c r="R523" s="756">
        <f>IF(EBF&gt;0,(0.9*MIN(M518/1000*O517/qw/EBF*8760,1))*100*$K514,)</f>
        <v>0</v>
      </c>
      <c r="S523" s="759"/>
      <c r="T523" s="756"/>
      <c r="U523" s="321"/>
      <c r="V523" s="845">
        <f>IF(V517=0,,(X522/100*qh/3.6+Y522/100*qw))</f>
        <v>0</v>
      </c>
      <c r="W523" s="756"/>
      <c r="X523" s="756">
        <f>IF(T519&gt;0,(1-MIN((1-MIN((1-MIN(MIN(Y522,Y524)/100*qw*EBF/8760/T518/V517*1000,1))*T518*V517/1000/T519,1))^2,1))*100,0)*$J514</f>
        <v>0</v>
      </c>
      <c r="Y523" s="756">
        <f>IF(EBF&gt;0,(0.9*MIN(T518/1000*V517/qw/EBF*8760,1))*100*$K514,)</f>
        <v>0</v>
      </c>
      <c r="Z523" s="759"/>
      <c r="AA523" s="758"/>
      <c r="AB523" s="321"/>
      <c r="AC523" s="845">
        <f>IF(AC517=0,,(AE522/100*qh/3.6+AF522/100*qw))</f>
        <v>0</v>
      </c>
      <c r="AD523" s="756"/>
      <c r="AE523" s="756">
        <f>IF(AA519&gt;0,(1-MIN((1-MIN((1-MIN(MIN(AF522,AF524)/100*qw*EBF/8760/AA518/AC517*1000,1))*AA518*AC517/1000/AA519,1))^2,1))*100,0)*$J514</f>
        <v>0</v>
      </c>
      <c r="AF523" s="756">
        <f>IF(EBF&gt;0,(0.9*MIN(AA518/1000*AC517/qw/EBF*8760,1))*100*$K514,)</f>
        <v>0</v>
      </c>
      <c r="AG523" s="759"/>
      <c r="AH523" s="758"/>
      <c r="AI523" s="321"/>
      <c r="AJ523" s="845">
        <f>IF(AJ517=0,,(AL522/100*qh/3.6+AM522/100*qw))</f>
        <v>0</v>
      </c>
      <c r="AK523" s="756"/>
      <c r="AL523" s="756">
        <f>IF(AH519&gt;0,(1-MIN((1-MIN((1-MIN(MIN(AM522,AM524)/100*qw*EBF/8760/AH518/AJ517*1000,1))*AH518*AJ517/1000/AH519,1))^2,1))*100,0)*$J514</f>
        <v>0</v>
      </c>
      <c r="AM523" s="756">
        <f>IF(EBF&gt;0,(0.9*MIN(AH518/1000*AJ517/qw/EBF*8760,1))*100*$K514,)</f>
        <v>0</v>
      </c>
    </row>
    <row r="524" spans="1:39">
      <c r="A524" s="757">
        <v>515</v>
      </c>
      <c r="B524" s="824"/>
      <c r="C524" s="1546"/>
      <c r="D524" s="806"/>
      <c r="E524" s="806"/>
      <c r="F524" s="774"/>
      <c r="G524" s="319"/>
      <c r="H524" s="320"/>
      <c r="J524" s="807"/>
      <c r="K524" s="808"/>
      <c r="M524" s="756"/>
      <c r="N524" s="325"/>
      <c r="O524" s="858"/>
      <c r="P524" s="756"/>
      <c r="Q524" s="315">
        <f>Produzione!$K$18</f>
        <v>0</v>
      </c>
      <c r="R524" s="315">
        <f>Produzione!$L$18</f>
        <v>0</v>
      </c>
      <c r="S524" s="759"/>
      <c r="T524" s="756"/>
      <c r="U524" s="325"/>
      <c r="V524" s="325"/>
      <c r="W524" s="756"/>
      <c r="X524" s="315">
        <f>Produzione!$K$32</f>
        <v>0</v>
      </c>
      <c r="Y524" s="315">
        <f>Produzione!$L$32</f>
        <v>0</v>
      </c>
      <c r="Z524" s="759"/>
      <c r="AA524" s="756"/>
      <c r="AB524" s="325"/>
      <c r="AC524" s="325"/>
      <c r="AD524" s="756"/>
      <c r="AE524" s="315">
        <f>Produzione!$K$46</f>
        <v>0</v>
      </c>
      <c r="AF524" s="315">
        <f>Produzione!$L$46</f>
        <v>0</v>
      </c>
      <c r="AG524" s="759"/>
      <c r="AH524" s="756"/>
      <c r="AI524" s="325"/>
      <c r="AJ524" s="325"/>
      <c r="AK524" s="756"/>
      <c r="AL524" s="315">
        <f>Produzione!$K$60</f>
        <v>0</v>
      </c>
      <c r="AM524" s="315">
        <f>Produzione!$L$60</f>
        <v>0</v>
      </c>
    </row>
    <row r="525" spans="1:39">
      <c r="A525" s="757">
        <v>516</v>
      </c>
      <c r="B525" s="759"/>
      <c r="C525" s="833"/>
      <c r="D525" s="759"/>
      <c r="E525" s="759"/>
      <c r="F525" s="817"/>
      <c r="G525" s="759"/>
      <c r="H525" s="759"/>
      <c r="I525" s="759"/>
      <c r="J525" s="759"/>
      <c r="P525" s="761"/>
      <c r="Q525" s="761" t="str">
        <f>IF(AND(R524="",R523=""),"",IF(R524&gt;R523,"tasso troppo alto",IF(AND(Q524="",Q523=""),"",IF(Q524&gt;Q523,"tasso troppo alto",""))))</f>
        <v/>
      </c>
      <c r="S525" s="759"/>
      <c r="X525" s="761" t="str">
        <f>IF(AND(Y524="",Y523=""),"",IF(Y524&gt;Y523,"tasso troppo alto",IF(AND(X524="",X523=""),"",IF(X524&gt;X523,"tasso troppo alto",""))))</f>
        <v/>
      </c>
      <c r="Z525" s="759"/>
      <c r="AE525" s="761" t="str">
        <f>IF(AND(AF524="",AF523=""),"",IF(AF524&gt;AF523,"tasso troppo alto",IF(AND(AE524="",AE523=""),"",IF(AE524&gt;AE523,"tasso troppo alto",""))))</f>
        <v/>
      </c>
      <c r="AG525" s="759"/>
      <c r="AL525" s="761" t="str">
        <f>IF(AND(AM524="",AM523=""),"",IF(AM524&gt;AM523,"tasso troppo alto",IF(AND(AL524="",AL523=""),"",IF(AL524&gt;AL523,"tasso troppo alto",""))))</f>
        <v/>
      </c>
    </row>
    <row r="526" spans="1:39">
      <c r="A526" s="757">
        <v>517</v>
      </c>
      <c r="B526" s="755"/>
      <c r="D526" s="762"/>
      <c r="E526" s="762"/>
      <c r="G526" s="762"/>
      <c r="H526" s="818"/>
      <c r="J526" s="762" t="s">
        <v>1177</v>
      </c>
      <c r="N526" s="762"/>
      <c r="O526" s="860"/>
      <c r="P526" s="759"/>
      <c r="Q526" s="762" t="s">
        <v>1177</v>
      </c>
      <c r="R526" s="759"/>
      <c r="S526" s="759"/>
      <c r="T526" s="759"/>
      <c r="U526" s="762"/>
      <c r="V526" s="769"/>
      <c r="W526" s="759"/>
      <c r="X526" s="762" t="s">
        <v>1177</v>
      </c>
      <c r="Y526" s="759"/>
      <c r="Z526" s="759"/>
      <c r="AA526" s="759"/>
      <c r="AB526" s="762"/>
      <c r="AC526" s="769"/>
      <c r="AD526" s="759"/>
      <c r="AE526" s="762" t="s">
        <v>1177</v>
      </c>
      <c r="AF526" s="759"/>
      <c r="AG526" s="759"/>
      <c r="AH526" s="759"/>
      <c r="AI526" s="762"/>
      <c r="AJ526" s="769"/>
      <c r="AK526" s="759"/>
      <c r="AL526" s="762" t="s">
        <v>1177</v>
      </c>
      <c r="AM526" s="759"/>
    </row>
    <row r="527" spans="1:39">
      <c r="A527" s="757">
        <v>518</v>
      </c>
      <c r="B527" s="772" t="str">
        <f>INDEX(Standardwerte!$V$6:$V$51,Rechnung!$C527,1)</f>
        <v>Aerazione con PdC aspirazione / immissione senza RC</v>
      </c>
      <c r="C527" s="835">
        <v>38</v>
      </c>
      <c r="D527" s="819"/>
      <c r="E527" s="820"/>
      <c r="F527" s="821"/>
      <c r="G527" s="819"/>
      <c r="H527" s="822"/>
      <c r="J527" s="760" t="s">
        <v>1178</v>
      </c>
      <c r="K527" s="756" t="s">
        <v>1179</v>
      </c>
      <c r="M527" s="756"/>
      <c r="N527" s="760"/>
      <c r="O527" s="852"/>
      <c r="P527" s="756"/>
      <c r="Q527" s="760" t="s">
        <v>1178</v>
      </c>
      <c r="R527" s="756" t="s">
        <v>1179</v>
      </c>
      <c r="S527" s="759"/>
      <c r="T527" s="756"/>
      <c r="U527" s="760"/>
      <c r="V527" s="764"/>
      <c r="W527" s="756"/>
      <c r="X527" s="760" t="s">
        <v>1178</v>
      </c>
      <c r="Y527" s="756" t="s">
        <v>1179</v>
      </c>
      <c r="Z527" s="759"/>
      <c r="AA527" s="777"/>
      <c r="AB527" s="776"/>
      <c r="AC527" s="934"/>
      <c r="AD527" s="777"/>
      <c r="AE527" s="776" t="s">
        <v>1178</v>
      </c>
      <c r="AF527" s="777" t="s">
        <v>1179</v>
      </c>
      <c r="AG527" s="759"/>
      <c r="AH527" s="777"/>
      <c r="AI527" s="776"/>
      <c r="AJ527" s="934"/>
      <c r="AK527" s="777"/>
      <c r="AL527" s="776" t="s">
        <v>1178</v>
      </c>
      <c r="AM527" s="777" t="s">
        <v>1179</v>
      </c>
    </row>
    <row r="528" spans="1:39">
      <c r="A528" s="757">
        <v>519</v>
      </c>
      <c r="B528" s="778" t="s">
        <v>526</v>
      </c>
      <c r="C528" s="830"/>
      <c r="D528" s="779"/>
      <c r="E528" s="312"/>
      <c r="F528" s="313">
        <f>INDEX($M$10:$AM$162,$A$10+(_typ1-1)*14,1)</f>
        <v>0</v>
      </c>
      <c r="G528" s="780"/>
      <c r="H528" s="781"/>
      <c r="J528" s="782">
        <f>INDEX(Standardwerte!$Y$6:$Z$51,$C527,2)</f>
        <v>1</v>
      </c>
      <c r="K528" s="783">
        <f>INDEX(Standardwerte!$Y$6:$Z$51,$C527,1)</f>
        <v>0</v>
      </c>
      <c r="M528" s="315">
        <f>Produzione!$G$8</f>
        <v>0</v>
      </c>
      <c r="N528" s="764"/>
      <c r="O528" s="852"/>
      <c r="P528" s="756"/>
      <c r="Q528" s="756"/>
      <c r="R528" s="756"/>
      <c r="S528" s="759"/>
      <c r="T528" s="315">
        <f>Produzione!$G$22</f>
        <v>0</v>
      </c>
      <c r="U528" s="764"/>
      <c r="V528" s="764"/>
      <c r="W528" s="756"/>
      <c r="X528" s="756"/>
      <c r="Y528" s="756"/>
      <c r="Z528" s="759"/>
      <c r="AA528" s="315">
        <f>Produzione!$G$36</f>
        <v>0</v>
      </c>
      <c r="AB528" s="764"/>
      <c r="AC528" s="764"/>
      <c r="AD528" s="756"/>
      <c r="AE528" s="756"/>
      <c r="AF528" s="756"/>
      <c r="AG528" s="759"/>
      <c r="AH528" s="315">
        <f>Produzione!$G$50</f>
        <v>0</v>
      </c>
      <c r="AI528" s="764"/>
      <c r="AJ528" s="764"/>
      <c r="AK528" s="756"/>
      <c r="AL528" s="756"/>
      <c r="AM528" s="756"/>
    </row>
    <row r="529" spans="1:39">
      <c r="A529" s="757">
        <v>520</v>
      </c>
      <c r="B529" s="784" t="s">
        <v>697</v>
      </c>
      <c r="C529" s="794" t="s">
        <v>776</v>
      </c>
      <c r="E529" s="786"/>
      <c r="F529" s="809">
        <f>INDEX(Standardwerte!$W$6:$W$51,$C527,1)</f>
        <v>2.7</v>
      </c>
      <c r="G529" s="787"/>
      <c r="H529" s="788"/>
      <c r="J529" s="782"/>
      <c r="K529" s="783"/>
      <c r="M529" s="315">
        <f>Produzione!$G$10</f>
        <v>0</v>
      </c>
      <c r="N529" s="764"/>
      <c r="O529" s="1544">
        <f>F529</f>
        <v>2.7</v>
      </c>
      <c r="P529" s="756"/>
      <c r="Q529" s="756"/>
      <c r="R529" s="756"/>
      <c r="S529" s="759"/>
      <c r="T529" s="315">
        <f>Produzione!$G$24</f>
        <v>0</v>
      </c>
      <c r="U529" s="764"/>
      <c r="V529" s="1544">
        <f>F529</f>
        <v>2.7</v>
      </c>
      <c r="W529" s="756"/>
      <c r="X529" s="756"/>
      <c r="Y529" s="756"/>
      <c r="Z529" s="759"/>
      <c r="AA529" s="315">
        <f>Produzione!$G$38</f>
        <v>0</v>
      </c>
      <c r="AB529" s="764"/>
      <c r="AC529" s="1544">
        <f>F529</f>
        <v>2.7</v>
      </c>
      <c r="AD529" s="756"/>
      <c r="AE529" s="756"/>
      <c r="AF529" s="756"/>
      <c r="AG529" s="759"/>
      <c r="AH529" s="315">
        <f>Produzione!$G$52</f>
        <v>0</v>
      </c>
      <c r="AI529" s="764"/>
      <c r="AJ529" s="1544">
        <f>F529</f>
        <v>2.7</v>
      </c>
      <c r="AK529" s="756"/>
      <c r="AL529" s="756"/>
      <c r="AM529" s="756"/>
    </row>
    <row r="530" spans="1:39">
      <c r="A530" s="757">
        <v>521</v>
      </c>
      <c r="B530" s="789" t="s">
        <v>698</v>
      </c>
      <c r="C530" s="794" t="s">
        <v>776</v>
      </c>
      <c r="D530" s="786"/>
      <c r="E530" s="786" t="str">
        <f>IF(OR(M529&gt;O529,T529&gt;V529,AA529&gt;AC529,AH529&gt;AJ529),"","")</f>
        <v/>
      </c>
      <c r="F530" s="1344"/>
      <c r="G530" s="792"/>
      <c r="H530" s="793"/>
      <c r="J530" s="782"/>
      <c r="K530" s="783"/>
      <c r="L530" s="770">
        <v>1</v>
      </c>
      <c r="M530" s="756"/>
      <c r="N530" s="766"/>
      <c r="O530" s="854"/>
      <c r="P530" s="756"/>
      <c r="Q530" s="756"/>
      <c r="R530" s="756"/>
      <c r="S530" s="759"/>
      <c r="T530" s="756"/>
      <c r="U530" s="766"/>
      <c r="V530" s="767"/>
      <c r="W530" s="756"/>
      <c r="X530" s="756"/>
      <c r="Y530" s="756"/>
      <c r="Z530" s="759"/>
      <c r="AA530" s="756"/>
      <c r="AB530" s="766"/>
      <c r="AC530" s="767"/>
      <c r="AD530" s="756"/>
      <c r="AE530" s="756"/>
      <c r="AF530" s="756"/>
      <c r="AG530" s="759"/>
      <c r="AH530" s="756"/>
      <c r="AI530" s="766"/>
      <c r="AJ530" s="767"/>
      <c r="AK530" s="756"/>
      <c r="AL530" s="756"/>
      <c r="AM530" s="756"/>
    </row>
    <row r="531" spans="1:39">
      <c r="A531" s="757">
        <v>522</v>
      </c>
      <c r="B531" s="789" t="s">
        <v>699</v>
      </c>
      <c r="C531" s="794" t="s">
        <v>776</v>
      </c>
      <c r="D531" s="786"/>
      <c r="E531" s="786"/>
      <c r="F531" s="791"/>
      <c r="G531" s="303"/>
      <c r="H531" s="316"/>
      <c r="J531" s="782"/>
      <c r="K531" s="783"/>
      <c r="M531" s="756"/>
      <c r="N531" s="321"/>
      <c r="O531" s="855" t="str">
        <f>IF(M529&lt;&gt;0,M529,IF(Produzione!$E$10&lt;&gt;"",Produzione!$E$10,Produzione!$G$9))</f>
        <v/>
      </c>
      <c r="P531" s="756"/>
      <c r="Q531" s="756"/>
      <c r="R531" s="756"/>
      <c r="S531" s="759"/>
      <c r="T531" s="756"/>
      <c r="U531" s="321"/>
      <c r="V531" s="322" t="str">
        <f>IF(T529&lt;&gt;0,T529,IF(Produzione!$E$24&lt;&gt;"",Produzione!$E$24,Produzione!$G$23))</f>
        <v/>
      </c>
      <c r="W531" s="756"/>
      <c r="X531" s="756"/>
      <c r="Y531" s="756"/>
      <c r="Z531" s="759"/>
      <c r="AA531" s="756"/>
      <c r="AB531" s="321"/>
      <c r="AC531" s="322" t="str">
        <f>IF(AA529&lt;&gt;0,AA529,IF(Produzione!$E$38&lt;&gt;"",Produzione!$E$38,Produzione!$G$37))</f>
        <v/>
      </c>
      <c r="AD531" s="756"/>
      <c r="AE531" s="756"/>
      <c r="AF531" s="756"/>
      <c r="AG531" s="759"/>
      <c r="AH531" s="756"/>
      <c r="AI531" s="321"/>
      <c r="AJ531" s="322" t="str">
        <f>IF(AH529&lt;&gt;0,AH529,IF(Produzione!$E$52&lt;&gt;"",Produzione!$E$52,Produzione!$G$51))</f>
        <v/>
      </c>
      <c r="AK531" s="756"/>
      <c r="AL531" s="756"/>
      <c r="AM531" s="756"/>
    </row>
    <row r="532" spans="1:39">
      <c r="A532" s="757">
        <v>523</v>
      </c>
      <c r="B532" s="789" t="s">
        <v>51</v>
      </c>
      <c r="C532" s="790" t="s">
        <v>761</v>
      </c>
      <c r="D532" s="787"/>
      <c r="E532" s="795"/>
      <c r="F532" s="1344"/>
      <c r="G532" s="796"/>
      <c r="H532" s="797"/>
      <c r="J532" s="782"/>
      <c r="K532" s="783"/>
      <c r="L532" s="770">
        <v>2</v>
      </c>
      <c r="M532" s="315">
        <f>Produzione!$G$12</f>
        <v>0</v>
      </c>
      <c r="N532" s="758"/>
      <c r="O532" s="854"/>
      <c r="P532" s="756"/>
      <c r="Q532" s="756"/>
      <c r="R532" s="756"/>
      <c r="S532" s="759"/>
      <c r="T532" s="315">
        <f>Produzione!$G$26</f>
        <v>0</v>
      </c>
      <c r="U532" s="758"/>
      <c r="V532" s="758"/>
      <c r="W532" s="756"/>
      <c r="X532" s="756"/>
      <c r="Y532" s="756"/>
      <c r="Z532" s="759"/>
      <c r="AA532" s="315">
        <f>Produzione!$G$40</f>
        <v>0</v>
      </c>
      <c r="AB532" s="758"/>
      <c r="AC532" s="758"/>
      <c r="AD532" s="756"/>
      <c r="AE532" s="756"/>
      <c r="AF532" s="756"/>
      <c r="AG532" s="759"/>
      <c r="AH532" s="315">
        <f>Produzione!$G$54</f>
        <v>0</v>
      </c>
      <c r="AI532" s="758"/>
      <c r="AJ532" s="758"/>
      <c r="AK532" s="756"/>
      <c r="AL532" s="756"/>
      <c r="AM532" s="756"/>
    </row>
    <row r="533" spans="1:39">
      <c r="A533" s="757">
        <v>524</v>
      </c>
      <c r="B533" s="789" t="str">
        <f>IF(J528=1,"fabbisogno di potenza termica dell'edificio","")</f>
        <v>fabbisogno di potenza termica dell'edificio</v>
      </c>
      <c r="C533" s="790" t="str">
        <f>IF(J528=1,"kW","")</f>
        <v>kW</v>
      </c>
      <c r="D533" s="796"/>
      <c r="E533" s="795"/>
      <c r="F533" s="1344"/>
      <c r="G533" s="787"/>
      <c r="H533" s="798"/>
      <c r="J533" s="782"/>
      <c r="K533" s="783"/>
      <c r="L533" s="770">
        <v>2</v>
      </c>
      <c r="M533" s="315">
        <f>Produzione!$G$13</f>
        <v>0</v>
      </c>
      <c r="N533" s="764"/>
      <c r="O533" s="852"/>
      <c r="P533" s="756"/>
      <c r="Q533" s="756"/>
      <c r="R533" s="756"/>
      <c r="S533" s="759"/>
      <c r="T533" s="315">
        <f>Produzione!$G$27</f>
        <v>0</v>
      </c>
      <c r="U533" s="764"/>
      <c r="V533" s="768"/>
      <c r="W533" s="756"/>
      <c r="X533" s="756"/>
      <c r="Y533" s="756"/>
      <c r="Z533" s="759"/>
      <c r="AA533" s="315">
        <f>Produzione!$G$41</f>
        <v>0</v>
      </c>
      <c r="AB533" s="764"/>
      <c r="AC533" s="768"/>
      <c r="AD533" s="756"/>
      <c r="AE533" s="756"/>
      <c r="AF533" s="756"/>
      <c r="AG533" s="759"/>
      <c r="AH533" s="315">
        <f>Produzione!$G$55</f>
        <v>0</v>
      </c>
      <c r="AI533" s="764"/>
      <c r="AJ533" s="768"/>
      <c r="AK533" s="756"/>
      <c r="AL533" s="756"/>
      <c r="AM533" s="756"/>
    </row>
    <row r="534" spans="1:39">
      <c r="A534" s="757">
        <v>525</v>
      </c>
      <c r="B534" s="799" t="str">
        <f>IF(J528=1,"Temperatura di mandata riscaldamento","")</f>
        <v>Temperatura di mandata riscaldamento</v>
      </c>
      <c r="C534" s="831" t="str">
        <f>IF(J528=1,"°C","")</f>
        <v>°C</v>
      </c>
      <c r="D534" s="786"/>
      <c r="E534" s="786"/>
      <c r="F534" s="1344"/>
      <c r="G534" s="787"/>
      <c r="H534" s="800"/>
      <c r="J534" s="782"/>
      <c r="K534" s="783"/>
      <c r="L534" s="770">
        <v>2</v>
      </c>
      <c r="M534" s="315">
        <f>Produzione!$G$14</f>
        <v>0</v>
      </c>
      <c r="N534" s="764"/>
      <c r="P534" s="756"/>
      <c r="Q534" s="756"/>
      <c r="R534" s="756"/>
      <c r="S534" s="759"/>
      <c r="T534" s="315">
        <f>Produzione!$G$28</f>
        <v>0</v>
      </c>
      <c r="U534" s="764"/>
      <c r="W534" s="756"/>
      <c r="X534" s="756"/>
      <c r="Y534" s="756"/>
      <c r="Z534" s="759"/>
      <c r="AA534" s="315">
        <f>Produzione!$G$42</f>
        <v>0</v>
      </c>
      <c r="AB534" s="764"/>
      <c r="AD534" s="756"/>
      <c r="AE534" s="756"/>
      <c r="AF534" s="756"/>
      <c r="AG534" s="759"/>
      <c r="AH534" s="315">
        <f>Produzione!$G$56</f>
        <v>0</v>
      </c>
      <c r="AI534" s="764"/>
      <c r="AK534" s="756"/>
      <c r="AL534" s="756"/>
      <c r="AM534" s="756"/>
    </row>
    <row r="535" spans="1:39">
      <c r="A535" s="757">
        <v>526</v>
      </c>
      <c r="B535" s="799" t="str">
        <f>IF(AND(Warmwasser,K528=1),"Temperatura acqua calda sanitaria","")</f>
        <v/>
      </c>
      <c r="C535" s="831" t="str">
        <f>IF(AND(Warmwasser,K528=1),"°C","")</f>
        <v/>
      </c>
      <c r="D535" s="786"/>
      <c r="E535" s="786"/>
      <c r="F535" s="1344"/>
      <c r="G535" s="796"/>
      <c r="H535" s="788"/>
      <c r="J535" s="782"/>
      <c r="K535" s="783"/>
      <c r="M535" s="315">
        <f>Produzione!$G$15</f>
        <v>0</v>
      </c>
      <c r="N535" s="758"/>
      <c r="O535" s="853"/>
      <c r="P535" s="756"/>
      <c r="Q535" s="756"/>
      <c r="R535" s="756" t="str">
        <f>IF(AND($K528=0,R538&lt;&gt;0),"Heizung ausgewählt",IF(AND($J528=0,Q510&gt;0),"Warmwasser ausgewählt",""))</f>
        <v/>
      </c>
      <c r="S535" s="759"/>
      <c r="T535" s="315">
        <f>Produzione!$G$29</f>
        <v>0</v>
      </c>
      <c r="U535" s="758"/>
      <c r="V535" s="765"/>
      <c r="W535" s="756"/>
      <c r="X535" s="756"/>
      <c r="Y535" s="756" t="str">
        <f>IF(AND($K528=0,Y538&lt;&gt;0),"Heizung ausgewählt",IF(AND($J528=0,X510&gt;0),"Warmwasser ausgewählt",""))</f>
        <v/>
      </c>
      <c r="Z535" s="759"/>
      <c r="AA535" s="315">
        <f>Produzione!$G$43</f>
        <v>0</v>
      </c>
      <c r="AB535" s="758"/>
      <c r="AC535" s="765"/>
      <c r="AD535" s="756"/>
      <c r="AE535" s="756"/>
      <c r="AF535" s="756" t="str">
        <f>IF(AND($K528=0,AF538&lt;&gt;0),"Heizung ausgewählt",IF(AND($J528=0,AE510&gt;0),"Warmwasser ausgewählt",""))</f>
        <v/>
      </c>
      <c r="AG535" s="759"/>
      <c r="AH535" s="315">
        <f>Produzione!$G$57</f>
        <v>0</v>
      </c>
      <c r="AI535" s="758"/>
      <c r="AJ535" s="765"/>
      <c r="AK535" s="756"/>
      <c r="AL535" s="756"/>
      <c r="AM535" s="756" t="str">
        <f>IF(AND($K528=0,AM538&lt;&gt;0),"Heizung ausgewählt",IF(AND($J528=0,AL510&gt;0),"Warmwasser ausgewählt",""))</f>
        <v/>
      </c>
    </row>
    <row r="536" spans="1:39">
      <c r="A536" s="757">
        <v>527</v>
      </c>
      <c r="B536" s="799" t="s">
        <v>1374</v>
      </c>
      <c r="C536" s="790" t="s">
        <v>410</v>
      </c>
      <c r="D536" s="795"/>
      <c r="E536" s="795"/>
      <c r="F536" s="791"/>
      <c r="G536" s="303"/>
      <c r="H536" s="317"/>
      <c r="J536" s="801"/>
      <c r="K536" s="802"/>
      <c r="M536" s="756"/>
      <c r="N536" s="321"/>
      <c r="O536" s="849">
        <f>IF(O531="",,R536/100*qw/O531+Q536/100*qh/3.6/O531)</f>
        <v>0</v>
      </c>
      <c r="P536" s="756"/>
      <c r="Q536" s="756">
        <f>IF(AND(Q538&lt;&gt;0,Q537=0),Q538,IF(Q538&lt;&gt;0,MIN(Q538,Q537),Q537))*$J528</f>
        <v>0</v>
      </c>
      <c r="R536" s="756">
        <f>IF(AND(R538&lt;&gt;0,R537=0),R538,IF(R538&lt;&gt;0,MIN(R538,R537),R537))*$K528</f>
        <v>0</v>
      </c>
      <c r="S536" s="759"/>
      <c r="T536" s="756"/>
      <c r="U536" s="321"/>
      <c r="V536" s="847">
        <f>IF(V531="",,Y536/100*qw/V531+X536/100*qh/3.6/V531)</f>
        <v>0</v>
      </c>
      <c r="W536" s="756"/>
      <c r="X536" s="756">
        <f>IF(AND(X538&lt;&gt;0,X537=0),X538,IF(X538&lt;&gt;0,MIN(X538,X537),X537))*J528</f>
        <v>0</v>
      </c>
      <c r="Y536" s="756">
        <f>IF(AND(Y538&lt;&gt;0,Y537=0),Y538,IF(Y538&lt;&gt;0,MIN(Y538,Y537),Y537))*$K528</f>
        <v>0</v>
      </c>
      <c r="Z536" s="759"/>
      <c r="AA536" s="756"/>
      <c r="AB536" s="321"/>
      <c r="AC536" s="847">
        <f>IF(AC531="",,AF536/100*qw/AC531+AE536/100*qh/3.6/AC531)</f>
        <v>0</v>
      </c>
      <c r="AD536" s="756"/>
      <c r="AE536" s="756">
        <f>IF(AND(AE538&lt;&gt;0,AE537=0),AE538,IF(AE538&lt;&gt;0,MIN(AE538,AE537),AE537))*J528</f>
        <v>0</v>
      </c>
      <c r="AF536" s="756">
        <f>IF(AND(AF538&lt;&gt;0,AF537=0),AF538,IF(AF538&lt;&gt;0,MIN(AF538,AF537),AF537))*$K528</f>
        <v>0</v>
      </c>
      <c r="AG536" s="759"/>
      <c r="AH536" s="756"/>
      <c r="AI536" s="321"/>
      <c r="AJ536" s="847">
        <f>IF(AJ531="",,AM536/100*qw/AJ531+AL536/100*qh/3.6/AJ531)</f>
        <v>0</v>
      </c>
      <c r="AK536" s="756"/>
      <c r="AL536" s="756">
        <f>IF(AND(AL538&lt;&gt;0,AL537=0),AL538,IF(AL538&lt;&gt;0,MIN(AL538,AL537),AL537))*J528</f>
        <v>0</v>
      </c>
      <c r="AM536" s="756">
        <f>IF(AND(AM538&lt;&gt;0,AM537=0),AM538,IF(AM538&lt;&gt;0,MIN(AM538,AM537),AM537))*$K528</f>
        <v>0</v>
      </c>
    </row>
    <row r="537" spans="1:39">
      <c r="A537" s="757">
        <v>528</v>
      </c>
      <c r="B537" s="789" t="s">
        <v>652</v>
      </c>
      <c r="C537" s="1545" t="s">
        <v>410</v>
      </c>
      <c r="D537" s="795"/>
      <c r="E537" s="786"/>
      <c r="F537" s="792"/>
      <c r="G537" s="303"/>
      <c r="H537" s="318"/>
      <c r="J537" s="803"/>
      <c r="K537" s="804"/>
      <c r="M537" s="758"/>
      <c r="N537" s="321"/>
      <c r="O537" s="845">
        <f>IF(O531=0,,(Q536/100*qh/3.6+R536/100*qw))</f>
        <v>0</v>
      </c>
      <c r="P537" s="756"/>
      <c r="Q537" s="756">
        <f>IF(M533&gt;0,(1-MIN((1-MIN((1-MIN(MIN(R536,R538)/100*qw*EBF/8760/M532/O531*1000,1))*M532*O531/1000/M533,1))^2,1))*100,0)*$J528</f>
        <v>0</v>
      </c>
      <c r="R537" s="756">
        <f>IF(EBF&gt;0,(0.9*MIN(M532/1000*O531/qw/EBF*8760,1))*100*$K528,)</f>
        <v>0</v>
      </c>
      <c r="S537" s="759"/>
      <c r="T537" s="756"/>
      <c r="U537" s="321"/>
      <c r="V537" s="845">
        <f>IF(V531=0,,(X536/100*qh/3.6+Y536/100*qw))</f>
        <v>0</v>
      </c>
      <c r="W537" s="756"/>
      <c r="X537" s="756">
        <f>IF(T533&gt;0,(1-MIN((1-MIN((1-MIN(MIN(Y536,Y538)/100*qw*EBF/8760/T532/V531*1000,1))*T532*V531/1000/T533,1))^2,1))*100,0)*$J528</f>
        <v>0</v>
      </c>
      <c r="Y537" s="756">
        <f>IF(EBF&gt;0,(0.9*MIN(T532/1000*V531/qw/EBF*8760,1))*100*$K528,)</f>
        <v>0</v>
      </c>
      <c r="Z537" s="759"/>
      <c r="AA537" s="758"/>
      <c r="AB537" s="321"/>
      <c r="AC537" s="845">
        <f>IF(AC531=0,,(AE536/100*qh/3.6+AF536/100*qw))</f>
        <v>0</v>
      </c>
      <c r="AD537" s="756"/>
      <c r="AE537" s="756">
        <f>IF(AA533&gt;0,(1-MIN((1-MIN((1-MIN(MIN(AF536,AF538)/100*qw*EBF/8760/AA532/AC531*1000,1))*AA532*AC531/1000/AA533,1))^2,1))*100,0)*$J528</f>
        <v>0</v>
      </c>
      <c r="AF537" s="756">
        <f>IF(EBF&gt;0,(0.9*MIN(AA532/1000*AC531/qw/EBF*8760,1))*100*$K528,)</f>
        <v>0</v>
      </c>
      <c r="AG537" s="759"/>
      <c r="AH537" s="758"/>
      <c r="AI537" s="321"/>
      <c r="AJ537" s="845">
        <f>IF(AJ531=0,,(AL536/100*qh/3.6+AM536/100*qw))</f>
        <v>0</v>
      </c>
      <c r="AK537" s="756"/>
      <c r="AL537" s="756">
        <f>IF(AH533&gt;0,(1-MIN((1-MIN((1-MIN(MIN(AM536,AM538)/100*qw*EBF/8760/AH532/AJ531*1000,1))*AH532*AJ531/1000/AH533,1))^2,1))*100,0)*$J528</f>
        <v>0</v>
      </c>
      <c r="AM537" s="756">
        <f>IF(EBF&gt;0,(0.9*MIN(AH532/1000*AJ531/qw/EBF*8760,1))*100*$K528,)</f>
        <v>0</v>
      </c>
    </row>
    <row r="538" spans="1:39">
      <c r="A538" s="757">
        <v>529</v>
      </c>
      <c r="B538" s="824"/>
      <c r="C538" s="1546"/>
      <c r="D538" s="806"/>
      <c r="E538" s="806"/>
      <c r="F538" s="774"/>
      <c r="G538" s="319"/>
      <c r="H538" s="320"/>
      <c r="J538" s="807"/>
      <c r="K538" s="808"/>
      <c r="M538" s="756"/>
      <c r="N538" s="325"/>
      <c r="O538" s="858"/>
      <c r="P538" s="756"/>
      <c r="Q538" s="315">
        <f>Produzione!$K$18</f>
        <v>0</v>
      </c>
      <c r="R538" s="315">
        <f>Produzione!$L$18</f>
        <v>0</v>
      </c>
      <c r="S538" s="759"/>
      <c r="T538" s="756"/>
      <c r="U538" s="325"/>
      <c r="V538" s="325"/>
      <c r="W538" s="756"/>
      <c r="X538" s="315">
        <f>Produzione!$K$32</f>
        <v>0</v>
      </c>
      <c r="Y538" s="315">
        <f>Produzione!$L$32</f>
        <v>0</v>
      </c>
      <c r="Z538" s="759"/>
      <c r="AA538" s="756"/>
      <c r="AB538" s="325"/>
      <c r="AC538" s="325"/>
      <c r="AD538" s="756"/>
      <c r="AE538" s="315">
        <f>Produzione!$K$46</f>
        <v>0</v>
      </c>
      <c r="AF538" s="315">
        <f>Produzione!$L$46</f>
        <v>0</v>
      </c>
      <c r="AG538" s="759"/>
      <c r="AH538" s="756"/>
      <c r="AI538" s="325"/>
      <c r="AJ538" s="325"/>
      <c r="AK538" s="756"/>
      <c r="AL538" s="315">
        <f>Produzione!$K$60</f>
        <v>0</v>
      </c>
      <c r="AM538" s="315">
        <f>Produzione!$L$60</f>
        <v>0</v>
      </c>
    </row>
    <row r="539" spans="1:39">
      <c r="A539" s="757">
        <v>530</v>
      </c>
      <c r="B539" s="759"/>
      <c r="C539" s="833"/>
      <c r="D539" s="759"/>
      <c r="E539" s="759"/>
      <c r="F539" s="817"/>
      <c r="G539" s="759"/>
      <c r="H539" s="759"/>
      <c r="I539" s="759"/>
      <c r="J539" s="759"/>
      <c r="Q539" s="761" t="str">
        <f>IF(AND(R538="",R537=""),"",IF(R538&gt;R537,"tasso troppo alto",IF(AND(Q538="",Q537=""),"",IF(Q538&gt;Q537,"tasso troppo alto",""))))</f>
        <v/>
      </c>
      <c r="S539" s="759"/>
      <c r="X539" s="761" t="str">
        <f>IF(AND(Y538="",Y537=""),"",IF(Y538&gt;Y537,"tasso troppo alto",IF(AND(X538="",X537=""),"",IF(X538&gt;X537,"tasso troppo alto",""))))</f>
        <v/>
      </c>
      <c r="Z539" s="759"/>
      <c r="AE539" s="761" t="str">
        <f>IF(AND(AF538="",AF537=""),"",IF(AF538&gt;AF537,"tasso troppo alto",IF(AND(AE538="",AE537=""),"",IF(AE538&gt;AE537,"tasso troppo alto",""))))</f>
        <v/>
      </c>
      <c r="AG539" s="759"/>
      <c r="AL539" s="761" t="str">
        <f>IF(AND(AM538="",AM537=""),"",IF(AM538&gt;AM537,"tasso troppo alto",IF(AND(AL538="",AL537=""),"",IF(AL538&gt;AL537,"tasso troppo alto",""))))</f>
        <v/>
      </c>
    </row>
    <row r="540" spans="1:39">
      <c r="A540" s="757">
        <v>531</v>
      </c>
      <c r="B540" s="755"/>
      <c r="C540" s="834"/>
      <c r="D540" s="762"/>
      <c r="E540" s="762"/>
      <c r="G540" s="762"/>
      <c r="H540" s="818"/>
      <c r="J540" s="762" t="s">
        <v>1177</v>
      </c>
      <c r="N540" s="762"/>
      <c r="O540" s="860"/>
      <c r="P540" s="759"/>
      <c r="Q540" s="762" t="s">
        <v>1177</v>
      </c>
      <c r="R540" s="759"/>
      <c r="S540" s="759"/>
      <c r="T540" s="759"/>
      <c r="U540" s="762"/>
      <c r="V540" s="769"/>
      <c r="W540" s="759"/>
      <c r="X540" s="762" t="s">
        <v>1177</v>
      </c>
      <c r="Y540" s="759"/>
      <c r="Z540" s="759"/>
      <c r="AA540" s="759"/>
      <c r="AB540" s="762"/>
      <c r="AC540" s="769"/>
      <c r="AD540" s="759"/>
      <c r="AE540" s="762" t="s">
        <v>1177</v>
      </c>
      <c r="AF540" s="759"/>
      <c r="AG540" s="759"/>
      <c r="AH540" s="759"/>
      <c r="AI540" s="762"/>
      <c r="AJ540" s="769"/>
      <c r="AK540" s="759"/>
      <c r="AL540" s="762" t="s">
        <v>1177</v>
      </c>
      <c r="AM540" s="759"/>
    </row>
    <row r="541" spans="1:39">
      <c r="A541" s="757">
        <v>532</v>
      </c>
      <c r="B541" s="772" t="str">
        <f>INDEX(Standardwerte!$V$6:$V$51,Rechnung!$C541,1)</f>
        <v>Aerazione con PdC sull'aspirazione per AC (nessuna immissione)</v>
      </c>
      <c r="C541" s="835">
        <v>39</v>
      </c>
      <c r="D541" s="819"/>
      <c r="E541" s="820"/>
      <c r="F541" s="821"/>
      <c r="G541" s="819"/>
      <c r="H541" s="822"/>
      <c r="J541" s="760" t="s">
        <v>1178</v>
      </c>
      <c r="K541" s="756" t="s">
        <v>1179</v>
      </c>
      <c r="M541" s="756"/>
      <c r="N541" s="760"/>
      <c r="O541" s="852"/>
      <c r="P541" s="756"/>
      <c r="Q541" s="760" t="s">
        <v>1178</v>
      </c>
      <c r="R541" s="756" t="s">
        <v>1179</v>
      </c>
      <c r="S541" s="759"/>
      <c r="T541" s="756"/>
      <c r="U541" s="760"/>
      <c r="V541" s="764"/>
      <c r="W541" s="756"/>
      <c r="X541" s="760" t="s">
        <v>1178</v>
      </c>
      <c r="Y541" s="756" t="s">
        <v>1179</v>
      </c>
      <c r="Z541" s="759"/>
      <c r="AA541" s="777"/>
      <c r="AB541" s="776"/>
      <c r="AC541" s="934"/>
      <c r="AD541" s="777"/>
      <c r="AE541" s="776" t="s">
        <v>1178</v>
      </c>
      <c r="AF541" s="777" t="s">
        <v>1179</v>
      </c>
      <c r="AG541" s="759"/>
      <c r="AH541" s="777"/>
      <c r="AI541" s="776"/>
      <c r="AJ541" s="934"/>
      <c r="AK541" s="777"/>
      <c r="AL541" s="776" t="s">
        <v>1178</v>
      </c>
      <c r="AM541" s="777" t="s">
        <v>1179</v>
      </c>
    </row>
    <row r="542" spans="1:39">
      <c r="A542" s="757">
        <v>533</v>
      </c>
      <c r="B542" s="778" t="s">
        <v>526</v>
      </c>
      <c r="C542" s="830"/>
      <c r="D542" s="779"/>
      <c r="E542" s="312"/>
      <c r="F542" s="313">
        <f>INDEX($M$10:$AM$162,$A$10+(_typ1-1)*14,1)</f>
        <v>0</v>
      </c>
      <c r="G542" s="780"/>
      <c r="H542" s="781"/>
      <c r="J542" s="782">
        <f>INDEX(Standardwerte!$Y$6:$Z$51,$C541,2)</f>
        <v>1</v>
      </c>
      <c r="K542" s="783">
        <f>INDEX(Standardwerte!$Y$6:$Z$51,$C541,1)</f>
        <v>1</v>
      </c>
      <c r="M542" s="315">
        <f>Produzione!$G$8</f>
        <v>0</v>
      </c>
      <c r="N542" s="764"/>
      <c r="O542" s="852"/>
      <c r="P542" s="756"/>
      <c r="Q542" s="756"/>
      <c r="R542" s="756"/>
      <c r="S542" s="759"/>
      <c r="T542" s="315">
        <f>Produzione!$G$22</f>
        <v>0</v>
      </c>
      <c r="U542" s="764"/>
      <c r="V542" s="764"/>
      <c r="W542" s="756"/>
      <c r="X542" s="756"/>
      <c r="Y542" s="756"/>
      <c r="Z542" s="759"/>
      <c r="AA542" s="315">
        <f>Produzione!$G$36</f>
        <v>0</v>
      </c>
      <c r="AB542" s="764"/>
      <c r="AC542" s="764"/>
      <c r="AD542" s="756"/>
      <c r="AE542" s="756"/>
      <c r="AF542" s="756"/>
      <c r="AG542" s="759"/>
      <c r="AH542" s="315">
        <f>Produzione!$G$50</f>
        <v>0</v>
      </c>
      <c r="AI542" s="764"/>
      <c r="AJ542" s="764"/>
      <c r="AK542" s="756"/>
      <c r="AL542" s="756"/>
      <c r="AM542" s="756"/>
    </row>
    <row r="543" spans="1:39">
      <c r="A543" s="757">
        <v>534</v>
      </c>
      <c r="B543" s="784" t="s">
        <v>697</v>
      </c>
      <c r="C543" s="794" t="s">
        <v>776</v>
      </c>
      <c r="E543" s="786"/>
      <c r="F543" s="809">
        <f>INDEX(Standardwerte!$W$6:$W$51,$C541,1)</f>
        <v>2.5</v>
      </c>
      <c r="G543" s="787"/>
      <c r="H543" s="788"/>
      <c r="J543" s="782"/>
      <c r="K543" s="783"/>
      <c r="M543" s="315">
        <f>Produzione!$G$10</f>
        <v>0</v>
      </c>
      <c r="N543" s="764"/>
      <c r="O543" s="1544">
        <f>F543</f>
        <v>2.5</v>
      </c>
      <c r="P543" s="756"/>
      <c r="Q543" s="756"/>
      <c r="R543" s="756"/>
      <c r="S543" s="759"/>
      <c r="T543" s="315">
        <f>Produzione!$G$24</f>
        <v>0</v>
      </c>
      <c r="U543" s="764"/>
      <c r="V543" s="1544">
        <f>F543</f>
        <v>2.5</v>
      </c>
      <c r="W543" s="756"/>
      <c r="X543" s="756"/>
      <c r="Y543" s="756"/>
      <c r="Z543" s="759"/>
      <c r="AA543" s="315">
        <f>Produzione!$G$38</f>
        <v>0</v>
      </c>
      <c r="AB543" s="764"/>
      <c r="AC543" s="1544">
        <f>F543</f>
        <v>2.5</v>
      </c>
      <c r="AD543" s="756"/>
      <c r="AE543" s="756"/>
      <c r="AF543" s="756"/>
      <c r="AG543" s="759"/>
      <c r="AH543" s="315">
        <f>Produzione!$G$52</f>
        <v>0</v>
      </c>
      <c r="AI543" s="764"/>
      <c r="AJ543" s="1544">
        <f>F543</f>
        <v>2.5</v>
      </c>
      <c r="AK543" s="756"/>
      <c r="AL543" s="756"/>
      <c r="AM543" s="756"/>
    </row>
    <row r="544" spans="1:39">
      <c r="A544" s="757">
        <v>535</v>
      </c>
      <c r="B544" s="789" t="s">
        <v>698</v>
      </c>
      <c r="C544" s="794" t="s">
        <v>776</v>
      </c>
      <c r="D544" s="786"/>
      <c r="E544" s="786" t="str">
        <f>IF(OR(M543&gt;O543,T543&gt;V543,AA543&gt;AC543,AH543&gt;AJ543),"","")</f>
        <v/>
      </c>
      <c r="F544" s="1344"/>
      <c r="G544" s="792"/>
      <c r="H544" s="793"/>
      <c r="J544" s="782"/>
      <c r="K544" s="783"/>
      <c r="L544" s="770">
        <v>1</v>
      </c>
      <c r="M544" s="756"/>
      <c r="N544" s="766"/>
      <c r="O544" s="854"/>
      <c r="P544" s="756"/>
      <c r="Q544" s="756"/>
      <c r="R544" s="756"/>
      <c r="S544" s="759"/>
      <c r="T544" s="756"/>
      <c r="U544" s="766"/>
      <c r="V544" s="767"/>
      <c r="W544" s="756"/>
      <c r="X544" s="756"/>
      <c r="Y544" s="756"/>
      <c r="Z544" s="759"/>
      <c r="AA544" s="756"/>
      <c r="AB544" s="766"/>
      <c r="AC544" s="767"/>
      <c r="AD544" s="756"/>
      <c r="AE544" s="756"/>
      <c r="AF544" s="756"/>
      <c r="AG544" s="759"/>
      <c r="AH544" s="756"/>
      <c r="AI544" s="766"/>
      <c r="AJ544" s="767"/>
      <c r="AK544" s="756"/>
      <c r="AL544" s="756"/>
      <c r="AM544" s="756"/>
    </row>
    <row r="545" spans="1:39">
      <c r="A545" s="757">
        <v>536</v>
      </c>
      <c r="B545" s="789" t="s">
        <v>699</v>
      </c>
      <c r="C545" s="794" t="s">
        <v>776</v>
      </c>
      <c r="D545" s="786"/>
      <c r="E545" s="786"/>
      <c r="F545" s="791"/>
      <c r="G545" s="303"/>
      <c r="H545" s="316"/>
      <c r="J545" s="782"/>
      <c r="K545" s="783"/>
      <c r="M545" s="756"/>
      <c r="N545" s="321"/>
      <c r="O545" s="855" t="str">
        <f>IF(M543&lt;&gt;0,M543,IF(Produzione!$E$10&lt;&gt;"",Produzione!$E$10,Produzione!$G$9))</f>
        <v/>
      </c>
      <c r="P545" s="756"/>
      <c r="Q545" s="756"/>
      <c r="R545" s="756"/>
      <c r="S545" s="759"/>
      <c r="T545" s="756"/>
      <c r="U545" s="321"/>
      <c r="V545" s="322" t="str">
        <f>IF(T543&lt;&gt;0,T543,IF(Produzione!$E$24&lt;&gt;"",Produzione!$E$24,Produzione!$G$23))</f>
        <v/>
      </c>
      <c r="W545" s="756"/>
      <c r="X545" s="756"/>
      <c r="Y545" s="756"/>
      <c r="Z545" s="759"/>
      <c r="AA545" s="756"/>
      <c r="AB545" s="321"/>
      <c r="AC545" s="322" t="str">
        <f>IF(AA543&lt;&gt;0,AA543,IF(Produzione!$E$38&lt;&gt;"",Produzione!$E$38,Produzione!$G$37))</f>
        <v/>
      </c>
      <c r="AD545" s="756"/>
      <c r="AE545" s="756"/>
      <c r="AF545" s="756"/>
      <c r="AG545" s="759"/>
      <c r="AH545" s="756"/>
      <c r="AI545" s="321"/>
      <c r="AJ545" s="322" t="str">
        <f>IF(AH543&lt;&gt;0,AH543,IF(Produzione!$E$52&lt;&gt;"",Produzione!$E$52,Produzione!$G$51))</f>
        <v/>
      </c>
      <c r="AK545" s="756"/>
      <c r="AL545" s="756"/>
      <c r="AM545" s="756"/>
    </row>
    <row r="546" spans="1:39">
      <c r="A546" s="757">
        <v>537</v>
      </c>
      <c r="B546" s="789" t="s">
        <v>51</v>
      </c>
      <c r="C546" s="790" t="s">
        <v>761</v>
      </c>
      <c r="D546" s="787"/>
      <c r="E546" s="795"/>
      <c r="F546" s="1344"/>
      <c r="G546" s="796"/>
      <c r="H546" s="797"/>
      <c r="J546" s="782"/>
      <c r="K546" s="783"/>
      <c r="L546" s="770">
        <v>2</v>
      </c>
      <c r="M546" s="315">
        <f>Produzione!$G$12</f>
        <v>0</v>
      </c>
      <c r="N546" s="758"/>
      <c r="O546" s="854"/>
      <c r="P546" s="756"/>
      <c r="Q546" s="756"/>
      <c r="R546" s="756"/>
      <c r="S546" s="759"/>
      <c r="T546" s="315">
        <f>Produzione!$G$26</f>
        <v>0</v>
      </c>
      <c r="U546" s="758"/>
      <c r="V546" s="758"/>
      <c r="W546" s="756"/>
      <c r="X546" s="756"/>
      <c r="Y546" s="756"/>
      <c r="Z546" s="759"/>
      <c r="AA546" s="315">
        <f>Produzione!$G$40</f>
        <v>0</v>
      </c>
      <c r="AB546" s="758"/>
      <c r="AC546" s="758"/>
      <c r="AD546" s="756"/>
      <c r="AE546" s="756"/>
      <c r="AF546" s="756"/>
      <c r="AG546" s="759"/>
      <c r="AH546" s="315">
        <f>Produzione!$G$54</f>
        <v>0</v>
      </c>
      <c r="AI546" s="758"/>
      <c r="AJ546" s="758"/>
      <c r="AK546" s="756"/>
      <c r="AL546" s="756"/>
      <c r="AM546" s="756"/>
    </row>
    <row r="547" spans="1:39">
      <c r="A547" s="757">
        <v>538</v>
      </c>
      <c r="B547" s="789" t="str">
        <f>IF(J542=1,"fabbisogno di potenza termica dell'edificio","")</f>
        <v>fabbisogno di potenza termica dell'edificio</v>
      </c>
      <c r="C547" s="790" t="str">
        <f>IF(J542=1,"kW","")</f>
        <v>kW</v>
      </c>
      <c r="D547" s="796"/>
      <c r="E547" s="795"/>
      <c r="F547" s="1344"/>
      <c r="G547" s="787"/>
      <c r="H547" s="798"/>
      <c r="J547" s="782"/>
      <c r="K547" s="783"/>
      <c r="L547" s="770">
        <v>2</v>
      </c>
      <c r="M547" s="315">
        <f>Produzione!$G$13</f>
        <v>0</v>
      </c>
      <c r="N547" s="764"/>
      <c r="O547" s="852"/>
      <c r="P547" s="756"/>
      <c r="Q547" s="756"/>
      <c r="R547" s="756"/>
      <c r="S547" s="759"/>
      <c r="T547" s="315">
        <f>Produzione!$G$27</f>
        <v>0</v>
      </c>
      <c r="U547" s="764"/>
      <c r="V547" s="768"/>
      <c r="W547" s="756"/>
      <c r="X547" s="756"/>
      <c r="Y547" s="756"/>
      <c r="Z547" s="759"/>
      <c r="AA547" s="315">
        <f>Produzione!$G$41</f>
        <v>0</v>
      </c>
      <c r="AB547" s="764"/>
      <c r="AC547" s="768"/>
      <c r="AD547" s="756"/>
      <c r="AE547" s="756"/>
      <c r="AF547" s="756"/>
      <c r="AG547" s="759"/>
      <c r="AH547" s="315">
        <f>Produzione!$G$55</f>
        <v>0</v>
      </c>
      <c r="AI547" s="764"/>
      <c r="AJ547" s="768"/>
      <c r="AK547" s="756"/>
      <c r="AL547" s="756"/>
      <c r="AM547" s="756"/>
    </row>
    <row r="548" spans="1:39">
      <c r="A548" s="757">
        <v>539</v>
      </c>
      <c r="B548" s="799" t="str">
        <f>IF(J542=1,"Temperatura di mandata riscaldamento","")</f>
        <v>Temperatura di mandata riscaldamento</v>
      </c>
      <c r="C548" s="831" t="str">
        <f>IF(J542=1,"°C","")</f>
        <v>°C</v>
      </c>
      <c r="D548" s="786"/>
      <c r="E548" s="786"/>
      <c r="F548" s="1344"/>
      <c r="G548" s="787"/>
      <c r="H548" s="800"/>
      <c r="J548" s="782"/>
      <c r="K548" s="783"/>
      <c r="L548" s="770">
        <v>2</v>
      </c>
      <c r="M548" s="315">
        <f>Produzione!$G$14</f>
        <v>0</v>
      </c>
      <c r="N548" s="764"/>
      <c r="P548" s="756"/>
      <c r="Q548" s="756"/>
      <c r="R548" s="756"/>
      <c r="S548" s="759"/>
      <c r="T548" s="315">
        <f>Produzione!$G$28</f>
        <v>0</v>
      </c>
      <c r="U548" s="764"/>
      <c r="W548" s="756"/>
      <c r="X548" s="756"/>
      <c r="Y548" s="756"/>
      <c r="Z548" s="759"/>
      <c r="AA548" s="315">
        <f>Produzione!$G$42</f>
        <v>0</v>
      </c>
      <c r="AB548" s="764"/>
      <c r="AD548" s="756"/>
      <c r="AE548" s="756"/>
      <c r="AF548" s="756"/>
      <c r="AG548" s="759"/>
      <c r="AH548" s="315">
        <f>Produzione!$G$56</f>
        <v>0</v>
      </c>
      <c r="AI548" s="764"/>
      <c r="AK548" s="756"/>
      <c r="AL548" s="756"/>
      <c r="AM548" s="756"/>
    </row>
    <row r="549" spans="1:39">
      <c r="A549" s="757">
        <v>540</v>
      </c>
      <c r="B549" s="799" t="str">
        <f>IF(AND(Warmwasser,K542=1),"Temperatura acqua calda sanitaria","")</f>
        <v/>
      </c>
      <c r="C549" s="831" t="str">
        <f>IF(AND(Warmwasser,K542=1),"°C","")</f>
        <v/>
      </c>
      <c r="D549" s="786"/>
      <c r="E549" s="786"/>
      <c r="F549" s="1344"/>
      <c r="G549" s="796"/>
      <c r="H549" s="788"/>
      <c r="J549" s="782"/>
      <c r="K549" s="783"/>
      <c r="M549" s="315">
        <f>Produzione!$G$15</f>
        <v>0</v>
      </c>
      <c r="N549" s="758"/>
      <c r="O549" s="853"/>
      <c r="P549" s="756"/>
      <c r="Q549" s="756"/>
      <c r="R549" s="756" t="str">
        <f>IF(AND($K542=0,R552&lt;&gt;0),"Heizung ausgewählt",IF(AND($J542=0,Q524&gt;0),"Warmwasser ausgewählt",""))</f>
        <v/>
      </c>
      <c r="S549" s="759"/>
      <c r="T549" s="315">
        <f>Produzione!$G$29</f>
        <v>0</v>
      </c>
      <c r="U549" s="758"/>
      <c r="V549" s="765"/>
      <c r="W549" s="756"/>
      <c r="X549" s="756"/>
      <c r="Y549" s="756" t="str">
        <f>IF(AND($K542=0,Y552&lt;&gt;0),"Heizung ausgewählt",IF(AND($J542=0,X524&gt;0),"Warmwasser ausgewählt",""))</f>
        <v/>
      </c>
      <c r="Z549" s="759"/>
      <c r="AA549" s="315">
        <f>Produzione!$G$43</f>
        <v>0</v>
      </c>
      <c r="AB549" s="758"/>
      <c r="AC549" s="765"/>
      <c r="AD549" s="756"/>
      <c r="AE549" s="756"/>
      <c r="AF549" s="756" t="str">
        <f>IF(AND($K542=0,AF552&lt;&gt;0),"Heizung ausgewählt",IF(AND($J542=0,AE524&gt;0),"Warmwasser ausgewählt",""))</f>
        <v/>
      </c>
      <c r="AG549" s="759"/>
      <c r="AH549" s="315">
        <f>Produzione!$G$57</f>
        <v>0</v>
      </c>
      <c r="AI549" s="758"/>
      <c r="AJ549" s="765"/>
      <c r="AK549" s="756"/>
      <c r="AL549" s="756"/>
      <c r="AM549" s="756" t="str">
        <f>IF(AND($K542=0,AM552&lt;&gt;0),"Heizung ausgewählt",IF(AND($J542=0,AL524&gt;0),"Warmwasser ausgewählt",""))</f>
        <v/>
      </c>
    </row>
    <row r="550" spans="1:39">
      <c r="A550" s="757">
        <v>541</v>
      </c>
      <c r="B550" s="799" t="s">
        <v>1374</v>
      </c>
      <c r="C550" s="790" t="s">
        <v>410</v>
      </c>
      <c r="D550" s="795"/>
      <c r="E550" s="795"/>
      <c r="F550" s="791"/>
      <c r="G550" s="303"/>
      <c r="H550" s="317"/>
      <c r="J550" s="801"/>
      <c r="K550" s="802"/>
      <c r="M550" s="756"/>
      <c r="N550" s="321"/>
      <c r="O550" s="849">
        <f>IF(O545="",,R550/100*qw/O545+Q550/100*qh/3.6/O545)</f>
        <v>0</v>
      </c>
      <c r="P550" s="756"/>
      <c r="Q550" s="756">
        <f>IF(AND(Q552&lt;&gt;0,Q551=0),Q552,IF(Q552&lt;&gt;0,MIN(Q552,Q551),Q551))*$J542</f>
        <v>0</v>
      </c>
      <c r="R550" s="756">
        <f>IF(AND(R552&lt;&gt;0,R551=0),R552,IF(R552&lt;&gt;0,MIN(R552,R551),R551))*$K542</f>
        <v>0</v>
      </c>
      <c r="S550" s="759"/>
      <c r="T550" s="756"/>
      <c r="U550" s="321"/>
      <c r="V550" s="847">
        <f>IF(V545="",,Y550/100*qw/V545+X550/100*qh/3.6/V545)</f>
        <v>0</v>
      </c>
      <c r="W550" s="756"/>
      <c r="X550" s="756">
        <f>IF(AND(X552&lt;&gt;0,X551=0),X552,IF(X552&lt;&gt;0,MIN(X552,X551),X551))*J542</f>
        <v>0</v>
      </c>
      <c r="Y550" s="756">
        <f>IF(AND(Y552&lt;&gt;0,Y551=0),Y552,IF(Y552&lt;&gt;0,MIN(Y552,Y551),Y551))*$K542</f>
        <v>0</v>
      </c>
      <c r="Z550" s="759"/>
      <c r="AA550" s="756"/>
      <c r="AB550" s="321"/>
      <c r="AC550" s="847">
        <f>IF(AC545="",,AF550/100*qw/AC545+AE550/100*qh/3.6/AC545)</f>
        <v>0</v>
      </c>
      <c r="AD550" s="756"/>
      <c r="AE550" s="756">
        <f>IF(AND(AE552&lt;&gt;0,AE551=0),AE552,IF(AE552&lt;&gt;0,MIN(AE552,AE551),AE551))*J542</f>
        <v>0</v>
      </c>
      <c r="AF550" s="756">
        <f>IF(AND(AF552&lt;&gt;0,AF551=0),AF552,IF(AF552&lt;&gt;0,MIN(AF552,AF551),AF551))*$K542</f>
        <v>0</v>
      </c>
      <c r="AG550" s="759"/>
      <c r="AH550" s="756"/>
      <c r="AI550" s="321"/>
      <c r="AJ550" s="847">
        <f>IF(AJ545="",,AM550/100*qw/AJ545+AL550/100*qh/3.6/AJ545)</f>
        <v>0</v>
      </c>
      <c r="AK550" s="756"/>
      <c r="AL550" s="756">
        <f>IF(AND(AL552&lt;&gt;0,AL551=0),AL552,IF(AL552&lt;&gt;0,MIN(AL552,AL551),AL551))*J542</f>
        <v>0</v>
      </c>
      <c r="AM550" s="756">
        <f>IF(AND(AM552&lt;&gt;0,AM551=0),AM552,IF(AM552&lt;&gt;0,MIN(AM552,AM551),AM551))*$K542</f>
        <v>0</v>
      </c>
    </row>
    <row r="551" spans="1:39">
      <c r="A551" s="757">
        <v>542</v>
      </c>
      <c r="B551" s="789" t="s">
        <v>652</v>
      </c>
      <c r="C551" s="1545" t="s">
        <v>410</v>
      </c>
      <c r="D551" s="795"/>
      <c r="E551" s="786"/>
      <c r="F551" s="792"/>
      <c r="G551" s="303"/>
      <c r="H551" s="318"/>
      <c r="J551" s="803"/>
      <c r="K551" s="804"/>
      <c r="M551" s="758"/>
      <c r="N551" s="321"/>
      <c r="O551" s="845">
        <f>IF(O545=0,,(Q550/100*qh/3.6+R550/100*qw))</f>
        <v>0</v>
      </c>
      <c r="P551" s="756"/>
      <c r="Q551" s="756">
        <f>IF(M547&gt;0,(1-MIN((1-MIN((1-MIN(MIN(R550,R552)/100*qw*EBF/8760/M546/O545*1000,1))*M546*O545/1000/M547,1))^2,1))*100,0)*$J542</f>
        <v>0</v>
      </c>
      <c r="R551" s="756">
        <f>IF(EBF&gt;0,(0.9*MIN(M546/1000*O545/qw/EBF*8760,1))*100*$K542,)</f>
        <v>0</v>
      </c>
      <c r="S551" s="759"/>
      <c r="T551" s="756"/>
      <c r="U551" s="321"/>
      <c r="V551" s="845">
        <f>IF(V545=0,,(X550/100*qh/3.6+Y550/100*qw))</f>
        <v>0</v>
      </c>
      <c r="W551" s="756"/>
      <c r="X551" s="756">
        <f>IF(T547&gt;0,(1-MIN((1-MIN((1-MIN(MIN(Y550,Y552)/100*qw*EBF/8760/T546/V545*1000,1))*T546*V545/1000/T547,1))^2,1))*100,0)*$J542</f>
        <v>0</v>
      </c>
      <c r="Y551" s="756">
        <f>IF(EBF&gt;0,(0.9*MIN(T546/1000*V545/qw/EBF*8760,1))*100*$K542,)</f>
        <v>0</v>
      </c>
      <c r="Z551" s="759"/>
      <c r="AA551" s="758"/>
      <c r="AB551" s="321"/>
      <c r="AC551" s="845">
        <f>IF(AC545=0,,(AE550/100*qh/3.6+AF550/100*qw))</f>
        <v>0</v>
      </c>
      <c r="AD551" s="756"/>
      <c r="AE551" s="756">
        <f>IF(AA547&gt;0,(1-MIN((1-MIN((1-MIN(MIN(AF550,AF552)/100*qw*EBF/8760/AA546/AC545*1000,1))*AA546*AC545/1000/AA547,1))^2,1))*100,0)*$J542</f>
        <v>0</v>
      </c>
      <c r="AF551" s="756">
        <f>IF(EBF&gt;0,(0.9*MIN(AA546/1000*AC545/qw/EBF*8760,1))*100*$K542,)</f>
        <v>0</v>
      </c>
      <c r="AG551" s="759"/>
      <c r="AH551" s="758"/>
      <c r="AI551" s="321"/>
      <c r="AJ551" s="845">
        <f>IF(AJ545=0,,(AL550/100*qh/3.6+AM550/100*qw))</f>
        <v>0</v>
      </c>
      <c r="AK551" s="756"/>
      <c r="AL551" s="756">
        <f>IF(AH547&gt;0,(1-MIN((1-MIN((1-MIN(MIN(AM550,AM552)/100*qw*EBF/8760/AH546/AJ545*1000,1))*AH546*AJ545/1000/AH547,1))^2,1))*100,0)*$J542</f>
        <v>0</v>
      </c>
      <c r="AM551" s="756">
        <f>IF(EBF&gt;0,(0.9*MIN(AH546/1000*AJ545/qw/EBF*8760,1))*100*$K542,)</f>
        <v>0</v>
      </c>
    </row>
    <row r="552" spans="1:39">
      <c r="A552" s="757">
        <v>543</v>
      </c>
      <c r="B552" s="824"/>
      <c r="C552" s="1546"/>
      <c r="D552" s="806"/>
      <c r="E552" s="806"/>
      <c r="F552" s="774"/>
      <c r="G552" s="319"/>
      <c r="H552" s="320"/>
      <c r="J552" s="807"/>
      <c r="K552" s="808"/>
      <c r="M552" s="756"/>
      <c r="N552" s="325"/>
      <c r="O552" s="858"/>
      <c r="P552" s="756"/>
      <c r="Q552" s="315">
        <f>Produzione!$K$18</f>
        <v>0</v>
      </c>
      <c r="R552" s="315">
        <f>Produzione!$L$18</f>
        <v>0</v>
      </c>
      <c r="S552" s="759"/>
      <c r="T552" s="756"/>
      <c r="U552" s="325"/>
      <c r="V552" s="325"/>
      <c r="W552" s="756"/>
      <c r="X552" s="315">
        <f>Produzione!$K$32</f>
        <v>0</v>
      </c>
      <c r="Y552" s="315">
        <f>Produzione!$L$32</f>
        <v>0</v>
      </c>
      <c r="Z552" s="759"/>
      <c r="AA552" s="756"/>
      <c r="AB552" s="325"/>
      <c r="AC552" s="325"/>
      <c r="AD552" s="756"/>
      <c r="AE552" s="315">
        <f>Produzione!$K$46</f>
        <v>0</v>
      </c>
      <c r="AF552" s="315">
        <f>Produzione!$L$46</f>
        <v>0</v>
      </c>
      <c r="AG552" s="759"/>
      <c r="AH552" s="756"/>
      <c r="AI552" s="325"/>
      <c r="AJ552" s="325"/>
      <c r="AK552" s="756"/>
      <c r="AL552" s="315">
        <f>Produzione!$K$60</f>
        <v>0</v>
      </c>
      <c r="AM552" s="315">
        <f>Produzione!$L$60</f>
        <v>0</v>
      </c>
    </row>
    <row r="553" spans="1:39">
      <c r="A553" s="757">
        <v>544</v>
      </c>
      <c r="B553" s="759"/>
      <c r="C553" s="833"/>
      <c r="D553" s="759"/>
      <c r="E553" s="759"/>
      <c r="F553" s="817"/>
      <c r="G553" s="759"/>
      <c r="H553" s="759"/>
      <c r="I553" s="759"/>
      <c r="J553" s="759"/>
      <c r="Q553" s="761" t="str">
        <f>IF(AND(R552="",R551=""),"",IF(R552&gt;R551,"tasso troppo alto",IF(AND(Q552="",Q551=""),"",IF(Q552&gt;Q551,"tasso troppo alto",""))))</f>
        <v/>
      </c>
      <c r="S553" s="759"/>
      <c r="X553" s="761" t="str">
        <f>IF(AND(Y552="",Y551=""),"",IF(Y552&gt;Y551,"tasso troppo alto",IF(AND(X552="",X551=""),"",IF(X552&gt;X551,"tasso troppo alto",""))))</f>
        <v/>
      </c>
      <c r="Z553" s="759"/>
      <c r="AE553" s="761" t="str">
        <f>IF(AND(AF552="",AF551=""),"",IF(AF552&gt;AF551,"tasso troppo alto",IF(AND(AE552="",AE551=""),"",IF(AE552&gt;AE551,"tasso troppo alto",""))))</f>
        <v/>
      </c>
      <c r="AG553" s="759"/>
      <c r="AL553" s="761" t="str">
        <f>IF(AND(AM552="",AM551=""),"",IF(AM552&gt;AM551,"tasso troppo alto",IF(AND(AL552="",AL551=""),"",IF(AL552&gt;AL551,"tasso troppo alto",""))))</f>
        <v/>
      </c>
    </row>
    <row r="554" spans="1:39">
      <c r="A554" s="757">
        <v>545</v>
      </c>
      <c r="B554" s="755"/>
      <c r="C554" s="834"/>
      <c r="D554" s="762"/>
      <c r="E554" s="762"/>
      <c r="G554" s="762"/>
      <c r="H554" s="818"/>
      <c r="J554" s="762" t="s">
        <v>1177</v>
      </c>
      <c r="N554" s="762"/>
      <c r="O554" s="860"/>
      <c r="P554" s="759"/>
      <c r="Q554" s="762" t="s">
        <v>1177</v>
      </c>
      <c r="R554" s="759"/>
      <c r="S554" s="759"/>
      <c r="T554" s="759"/>
      <c r="U554" s="762"/>
      <c r="V554" s="769"/>
      <c r="W554" s="759"/>
      <c r="X554" s="762" t="s">
        <v>1177</v>
      </c>
      <c r="Y554" s="759"/>
      <c r="Z554" s="759"/>
      <c r="AA554" s="759"/>
      <c r="AB554" s="762"/>
      <c r="AC554" s="769"/>
      <c r="AD554" s="759"/>
      <c r="AE554" s="762" t="s">
        <v>1177</v>
      </c>
      <c r="AF554" s="759"/>
      <c r="AG554" s="759"/>
      <c r="AH554" s="759"/>
      <c r="AI554" s="762"/>
      <c r="AJ554" s="769"/>
      <c r="AK554" s="759"/>
      <c r="AL554" s="762" t="s">
        <v>1177</v>
      </c>
      <c r="AM554" s="759"/>
    </row>
    <row r="555" spans="1:39">
      <c r="A555" s="757">
        <v>546</v>
      </c>
      <c r="B555" s="772" t="str">
        <f>INDEX(Standardwerte!$V$6:$V$51,Rechnung!$C555,1)</f>
        <v>PdC compatta con immissione e aspirazione / AC più RC</v>
      </c>
      <c r="C555" s="835">
        <v>40</v>
      </c>
      <c r="D555" s="819"/>
      <c r="E555" s="820"/>
      <c r="F555" s="821"/>
      <c r="G555" s="819"/>
      <c r="H555" s="822"/>
      <c r="J555" s="760" t="s">
        <v>1178</v>
      </c>
      <c r="K555" s="756" t="s">
        <v>1179</v>
      </c>
      <c r="M555" s="756"/>
      <c r="N555" s="760"/>
      <c r="O555" s="852"/>
      <c r="P555" s="756"/>
      <c r="Q555" s="760" t="s">
        <v>1178</v>
      </c>
      <c r="R555" s="756" t="s">
        <v>1179</v>
      </c>
      <c r="S555" s="759"/>
      <c r="T555" s="756"/>
      <c r="U555" s="760"/>
      <c r="V555" s="764"/>
      <c r="W555" s="756"/>
      <c r="X555" s="760" t="s">
        <v>1178</v>
      </c>
      <c r="Y555" s="756" t="s">
        <v>1179</v>
      </c>
      <c r="Z555" s="759"/>
      <c r="AA555" s="777"/>
      <c r="AB555" s="776"/>
      <c r="AC555" s="934"/>
      <c r="AD555" s="777"/>
      <c r="AE555" s="776" t="s">
        <v>1178</v>
      </c>
      <c r="AF555" s="777" t="s">
        <v>1179</v>
      </c>
      <c r="AG555" s="759"/>
      <c r="AH555" s="777"/>
      <c r="AI555" s="776"/>
      <c r="AJ555" s="934"/>
      <c r="AK555" s="777"/>
      <c r="AL555" s="776" t="s">
        <v>1178</v>
      </c>
      <c r="AM555" s="777" t="s">
        <v>1179</v>
      </c>
    </row>
    <row r="556" spans="1:39">
      <c r="A556" s="757">
        <v>547</v>
      </c>
      <c r="B556" s="778" t="s">
        <v>526</v>
      </c>
      <c r="C556" s="830"/>
      <c r="D556" s="779"/>
      <c r="E556" s="312"/>
      <c r="F556" s="313">
        <f>INDEX($M$10:$AM$162,$A$10+(_typ1-1)*14,1)</f>
        <v>0</v>
      </c>
      <c r="G556" s="780"/>
      <c r="H556" s="781"/>
      <c r="J556" s="782">
        <f>INDEX(Standardwerte!$Y$6:$Z$51,$C555,2)</f>
        <v>1</v>
      </c>
      <c r="K556" s="783">
        <f>INDEX(Standardwerte!$Y$6:$Z$51,$C555,1)</f>
        <v>1</v>
      </c>
      <c r="M556" s="315">
        <f>Produzione!$G$8</f>
        <v>0</v>
      </c>
      <c r="N556" s="764"/>
      <c r="O556" s="852"/>
      <c r="P556" s="756"/>
      <c r="Q556" s="756"/>
      <c r="R556" s="756"/>
      <c r="S556" s="759"/>
      <c r="T556" s="315">
        <f>Produzione!$G$22</f>
        <v>0</v>
      </c>
      <c r="U556" s="764"/>
      <c r="V556" s="764"/>
      <c r="W556" s="756"/>
      <c r="X556" s="756"/>
      <c r="Y556" s="756"/>
      <c r="Z556" s="759"/>
      <c r="AA556" s="315">
        <f>Produzione!$G$36</f>
        <v>0</v>
      </c>
      <c r="AB556" s="764"/>
      <c r="AC556" s="764"/>
      <c r="AD556" s="756"/>
      <c r="AE556" s="756"/>
      <c r="AF556" s="756"/>
      <c r="AG556" s="759"/>
      <c r="AH556" s="315">
        <f>Produzione!$G$50</f>
        <v>0</v>
      </c>
      <c r="AI556" s="764"/>
      <c r="AJ556" s="764"/>
      <c r="AK556" s="756"/>
      <c r="AL556" s="756"/>
      <c r="AM556" s="756"/>
    </row>
    <row r="557" spans="1:39">
      <c r="A557" s="757">
        <v>548</v>
      </c>
      <c r="B557" s="784" t="s">
        <v>697</v>
      </c>
      <c r="C557" s="794" t="s">
        <v>776</v>
      </c>
      <c r="E557" s="786"/>
      <c r="F557" s="809">
        <f>INDEX(Standardwerte!$W$6:$W$51,$C555,1)</f>
        <v>2.2999999999999998</v>
      </c>
      <c r="G557" s="787"/>
      <c r="H557" s="788"/>
      <c r="J557" s="782"/>
      <c r="K557" s="783"/>
      <c r="M557" s="315">
        <f>Produzione!$G$10</f>
        <v>0</v>
      </c>
      <c r="N557" s="764"/>
      <c r="O557" s="1544">
        <f>F557</f>
        <v>2.2999999999999998</v>
      </c>
      <c r="P557" s="756"/>
      <c r="Q557" s="756"/>
      <c r="R557" s="756"/>
      <c r="S557" s="759"/>
      <c r="T557" s="315">
        <f>Produzione!$G$24</f>
        <v>0</v>
      </c>
      <c r="U557" s="764"/>
      <c r="V557" s="1544">
        <f>F557</f>
        <v>2.2999999999999998</v>
      </c>
      <c r="W557" s="756"/>
      <c r="X557" s="756"/>
      <c r="Y557" s="756"/>
      <c r="Z557" s="759"/>
      <c r="AA557" s="315">
        <f>Produzione!$G$38</f>
        <v>0</v>
      </c>
      <c r="AB557" s="764"/>
      <c r="AC557" s="1544">
        <f>F557</f>
        <v>2.2999999999999998</v>
      </c>
      <c r="AD557" s="756"/>
      <c r="AE557" s="756"/>
      <c r="AF557" s="756"/>
      <c r="AG557" s="759"/>
      <c r="AH557" s="315">
        <f>Produzione!$G$52</f>
        <v>0</v>
      </c>
      <c r="AI557" s="764"/>
      <c r="AJ557" s="1544">
        <f>F557</f>
        <v>2.2999999999999998</v>
      </c>
      <c r="AK557" s="756"/>
      <c r="AL557" s="756"/>
      <c r="AM557" s="756"/>
    </row>
    <row r="558" spans="1:39">
      <c r="A558" s="757">
        <v>549</v>
      </c>
      <c r="B558" s="789" t="s">
        <v>698</v>
      </c>
      <c r="C558" s="794" t="s">
        <v>776</v>
      </c>
      <c r="D558" s="786"/>
      <c r="E558" s="786" t="str">
        <f>IF(OR(M557&gt;O557,T557&gt;V557,AA557&gt;AC557,AH557&gt;AJ557),"","")</f>
        <v/>
      </c>
      <c r="F558" s="1344"/>
      <c r="G558" s="792"/>
      <c r="H558" s="793"/>
      <c r="J558" s="782"/>
      <c r="K558" s="783"/>
      <c r="L558" s="770">
        <v>1</v>
      </c>
      <c r="M558" s="756"/>
      <c r="N558" s="766"/>
      <c r="O558" s="854"/>
      <c r="P558" s="756"/>
      <c r="Q558" s="756"/>
      <c r="R558" s="756"/>
      <c r="S558" s="759"/>
      <c r="T558" s="756"/>
      <c r="U558" s="766"/>
      <c r="V558" s="767"/>
      <c r="W558" s="756"/>
      <c r="X558" s="756"/>
      <c r="Y558" s="756"/>
      <c r="Z558" s="759"/>
      <c r="AA558" s="756"/>
      <c r="AB558" s="766"/>
      <c r="AC558" s="767"/>
      <c r="AD558" s="756"/>
      <c r="AE558" s="756"/>
      <c r="AF558" s="756"/>
      <c r="AG558" s="759"/>
      <c r="AH558" s="756"/>
      <c r="AI558" s="766"/>
      <c r="AJ558" s="767"/>
      <c r="AK558" s="756"/>
      <c r="AL558" s="756"/>
      <c r="AM558" s="756"/>
    </row>
    <row r="559" spans="1:39">
      <c r="A559" s="757">
        <v>550</v>
      </c>
      <c r="B559" s="789" t="s">
        <v>699</v>
      </c>
      <c r="C559" s="794" t="s">
        <v>776</v>
      </c>
      <c r="D559" s="786"/>
      <c r="E559" s="786"/>
      <c r="F559" s="791"/>
      <c r="G559" s="303"/>
      <c r="H559" s="316"/>
      <c r="J559" s="782"/>
      <c r="K559" s="783"/>
      <c r="M559" s="756"/>
      <c r="N559" s="321"/>
      <c r="O559" s="855" t="str">
        <f>IF(M557&lt;&gt;0,M557,IF(Produzione!$E$10&lt;&gt;"",Produzione!$E$10,Produzione!$G$9))</f>
        <v/>
      </c>
      <c r="P559" s="756"/>
      <c r="Q559" s="756"/>
      <c r="R559" s="756"/>
      <c r="S559" s="759"/>
      <c r="T559" s="756"/>
      <c r="U559" s="321"/>
      <c r="V559" s="322" t="str">
        <f>IF(T557&lt;&gt;0,T557,IF(Produzione!$E$24&lt;&gt;"",Produzione!$E$24,Produzione!$G$23))</f>
        <v/>
      </c>
      <c r="W559" s="756"/>
      <c r="X559" s="756"/>
      <c r="Y559" s="756"/>
      <c r="Z559" s="759"/>
      <c r="AA559" s="756"/>
      <c r="AB559" s="321"/>
      <c r="AC559" s="322" t="str">
        <f>IF(AA557&lt;&gt;0,AA557,IF(Produzione!$E$38&lt;&gt;"",Produzione!$E$38,Produzione!$G$37))</f>
        <v/>
      </c>
      <c r="AD559" s="756"/>
      <c r="AE559" s="756"/>
      <c r="AF559" s="756"/>
      <c r="AG559" s="759"/>
      <c r="AH559" s="756"/>
      <c r="AI559" s="321"/>
      <c r="AJ559" s="322" t="str">
        <f>IF(AH557&lt;&gt;0,AH557,IF(Produzione!$E$52&lt;&gt;"",Produzione!$E$52,Produzione!$G$51))</f>
        <v/>
      </c>
      <c r="AK559" s="756"/>
      <c r="AL559" s="756"/>
      <c r="AM559" s="756"/>
    </row>
    <row r="560" spans="1:39">
      <c r="A560" s="757">
        <v>551</v>
      </c>
      <c r="B560" s="789" t="s">
        <v>51</v>
      </c>
      <c r="C560" s="790" t="s">
        <v>761</v>
      </c>
      <c r="D560" s="787"/>
      <c r="E560" s="795"/>
      <c r="F560" s="1344"/>
      <c r="G560" s="796"/>
      <c r="H560" s="797"/>
      <c r="J560" s="782"/>
      <c r="K560" s="783"/>
      <c r="L560" s="770">
        <v>2</v>
      </c>
      <c r="M560" s="315">
        <f>Produzione!$G$12</f>
        <v>0</v>
      </c>
      <c r="N560" s="758"/>
      <c r="O560" s="854"/>
      <c r="P560" s="756"/>
      <c r="Q560" s="756"/>
      <c r="R560" s="756"/>
      <c r="S560" s="759"/>
      <c r="T560" s="315">
        <f>Produzione!$G$26</f>
        <v>0</v>
      </c>
      <c r="U560" s="758"/>
      <c r="V560" s="758"/>
      <c r="W560" s="756"/>
      <c r="X560" s="756"/>
      <c r="Y560" s="756"/>
      <c r="Z560" s="759"/>
      <c r="AA560" s="315">
        <f>Produzione!$G$40</f>
        <v>0</v>
      </c>
      <c r="AB560" s="758"/>
      <c r="AC560" s="758"/>
      <c r="AD560" s="756"/>
      <c r="AE560" s="756"/>
      <c r="AF560" s="756"/>
      <c r="AG560" s="759"/>
      <c r="AH560" s="315">
        <f>Produzione!$G$54</f>
        <v>0</v>
      </c>
      <c r="AI560" s="758"/>
      <c r="AJ560" s="758"/>
      <c r="AK560" s="756"/>
      <c r="AL560" s="756"/>
      <c r="AM560" s="756"/>
    </row>
    <row r="561" spans="1:39">
      <c r="A561" s="757">
        <v>552</v>
      </c>
      <c r="B561" s="789" t="str">
        <f>IF(J556=1,"fabbisogno di potenza termica dell'edificio","")</f>
        <v>fabbisogno di potenza termica dell'edificio</v>
      </c>
      <c r="C561" s="790" t="str">
        <f>IF(J556=1,"kW","")</f>
        <v>kW</v>
      </c>
      <c r="D561" s="796"/>
      <c r="E561" s="795"/>
      <c r="F561" s="1344"/>
      <c r="G561" s="787"/>
      <c r="H561" s="798"/>
      <c r="J561" s="782"/>
      <c r="K561" s="783"/>
      <c r="L561" s="770">
        <v>2</v>
      </c>
      <c r="M561" s="315">
        <f>Produzione!$G$13</f>
        <v>0</v>
      </c>
      <c r="N561" s="764"/>
      <c r="O561" s="852"/>
      <c r="P561" s="756"/>
      <c r="Q561" s="756"/>
      <c r="R561" s="756"/>
      <c r="S561" s="759"/>
      <c r="T561" s="315">
        <f>Produzione!$G$27</f>
        <v>0</v>
      </c>
      <c r="U561" s="764"/>
      <c r="V561" s="768"/>
      <c r="W561" s="756"/>
      <c r="X561" s="756"/>
      <c r="Y561" s="756"/>
      <c r="Z561" s="759"/>
      <c r="AA561" s="315">
        <f>Produzione!$G$41</f>
        <v>0</v>
      </c>
      <c r="AB561" s="764"/>
      <c r="AC561" s="768"/>
      <c r="AD561" s="756"/>
      <c r="AE561" s="756"/>
      <c r="AF561" s="756"/>
      <c r="AG561" s="759"/>
      <c r="AH561" s="315">
        <f>Produzione!$G$55</f>
        <v>0</v>
      </c>
      <c r="AI561" s="764"/>
      <c r="AJ561" s="768"/>
      <c r="AK561" s="756"/>
      <c r="AL561" s="756"/>
      <c r="AM561" s="756"/>
    </row>
    <row r="562" spans="1:39">
      <c r="A562" s="757">
        <v>553</v>
      </c>
      <c r="B562" s="799" t="str">
        <f>IF(J556=1,"Temperatura di mandata riscaldamento","")</f>
        <v>Temperatura di mandata riscaldamento</v>
      </c>
      <c r="C562" s="831" t="str">
        <f>IF(J556=1,"°C","")</f>
        <v>°C</v>
      </c>
      <c r="D562" s="786"/>
      <c r="E562" s="786"/>
      <c r="F562" s="1344"/>
      <c r="G562" s="787"/>
      <c r="H562" s="800"/>
      <c r="J562" s="782"/>
      <c r="K562" s="783"/>
      <c r="L562" s="770">
        <v>2</v>
      </c>
      <c r="M562" s="315">
        <f>Produzione!$G$14</f>
        <v>0</v>
      </c>
      <c r="N562" s="764"/>
      <c r="P562" s="756"/>
      <c r="Q562" s="756"/>
      <c r="R562" s="756"/>
      <c r="S562" s="759"/>
      <c r="T562" s="315">
        <f>Produzione!$G$28</f>
        <v>0</v>
      </c>
      <c r="U562" s="764"/>
      <c r="W562" s="756"/>
      <c r="X562" s="756"/>
      <c r="Y562" s="756"/>
      <c r="Z562" s="759"/>
      <c r="AA562" s="315">
        <f>Produzione!$G$42</f>
        <v>0</v>
      </c>
      <c r="AB562" s="764"/>
      <c r="AD562" s="756"/>
      <c r="AE562" s="756"/>
      <c r="AF562" s="756"/>
      <c r="AG562" s="759"/>
      <c r="AH562" s="315">
        <f>Produzione!$G$56</f>
        <v>0</v>
      </c>
      <c r="AI562" s="764"/>
      <c r="AK562" s="756"/>
      <c r="AL562" s="756"/>
      <c r="AM562" s="756"/>
    </row>
    <row r="563" spans="1:39">
      <c r="A563" s="757">
        <v>554</v>
      </c>
      <c r="B563" s="799" t="str">
        <f>IF(AND(Warmwasser,K556=1),"Temperatura acqua calda sanitaria","")</f>
        <v/>
      </c>
      <c r="C563" s="831" t="str">
        <f>IF(AND(Warmwasser,K556=1),"°C","")</f>
        <v/>
      </c>
      <c r="D563" s="786"/>
      <c r="E563" s="786"/>
      <c r="F563" s="1344"/>
      <c r="G563" s="796"/>
      <c r="H563" s="788"/>
      <c r="J563" s="782"/>
      <c r="K563" s="783"/>
      <c r="M563" s="315">
        <f>Produzione!$G$15</f>
        <v>0</v>
      </c>
      <c r="N563" s="758"/>
      <c r="O563" s="853"/>
      <c r="P563" s="756"/>
      <c r="Q563" s="756"/>
      <c r="R563" s="756" t="str">
        <f>IF(AND($K556=0,R566&lt;&gt;0),"Heizung ausgewählt",IF(AND($J556=0,Q538&gt;0),"Warmwasser ausgewählt",""))</f>
        <v/>
      </c>
      <c r="S563" s="759"/>
      <c r="T563" s="315">
        <f>Produzione!$G$29</f>
        <v>0</v>
      </c>
      <c r="U563" s="758"/>
      <c r="V563" s="765"/>
      <c r="W563" s="756"/>
      <c r="X563" s="756"/>
      <c r="Y563" s="756" t="str">
        <f>IF(AND($K556=0,Y566&lt;&gt;0),"Heizung ausgewählt",IF(AND($J556=0,X538&gt;0),"Warmwasser ausgewählt",""))</f>
        <v/>
      </c>
      <c r="Z563" s="759"/>
      <c r="AA563" s="315">
        <f>Produzione!$G$43</f>
        <v>0</v>
      </c>
      <c r="AB563" s="758"/>
      <c r="AC563" s="765"/>
      <c r="AD563" s="756"/>
      <c r="AE563" s="756"/>
      <c r="AF563" s="756" t="str">
        <f>IF(AND($K556=0,AF566&lt;&gt;0),"Heizung ausgewählt",IF(AND($J556=0,AE538&gt;0),"Warmwasser ausgewählt",""))</f>
        <v/>
      </c>
      <c r="AG563" s="759"/>
      <c r="AH563" s="315">
        <f>Produzione!$G$57</f>
        <v>0</v>
      </c>
      <c r="AI563" s="758"/>
      <c r="AJ563" s="765"/>
      <c r="AK563" s="756"/>
      <c r="AL563" s="756"/>
      <c r="AM563" s="756" t="str">
        <f>IF(AND($K556=0,AM566&lt;&gt;0),"Heizung ausgewählt",IF(AND($J556=0,AL538&gt;0),"Warmwasser ausgewählt",""))</f>
        <v/>
      </c>
    </row>
    <row r="564" spans="1:39">
      <c r="A564" s="757">
        <v>555</v>
      </c>
      <c r="B564" s="799" t="s">
        <v>1374</v>
      </c>
      <c r="C564" s="790" t="s">
        <v>410</v>
      </c>
      <c r="D564" s="795"/>
      <c r="E564" s="795"/>
      <c r="F564" s="791"/>
      <c r="G564" s="303"/>
      <c r="H564" s="317"/>
      <c r="J564" s="801"/>
      <c r="K564" s="802"/>
      <c r="M564" s="756"/>
      <c r="N564" s="321"/>
      <c r="O564" s="849">
        <f>IF(O559="",,R564/100*qw/O559+Q564/100*qh/3.6/O559)</f>
        <v>0</v>
      </c>
      <c r="P564" s="756"/>
      <c r="Q564" s="756">
        <f>IF(AND(Q566&lt;&gt;0,Q565=0),Q566,IF(Q566&lt;&gt;0,MIN(Q566,Q565),Q565))*$J556</f>
        <v>0</v>
      </c>
      <c r="R564" s="756">
        <f>IF(AND(R566&lt;&gt;0,R565=0),R566,IF(R566&lt;&gt;0,MIN(R566,R565),R565))*$K556</f>
        <v>0</v>
      </c>
      <c r="S564" s="759"/>
      <c r="T564" s="756"/>
      <c r="U564" s="321"/>
      <c r="V564" s="847">
        <f>IF(V559="",,Y564/100*qw/V559+X564/100*qh/3.6/V559)</f>
        <v>0</v>
      </c>
      <c r="W564" s="756"/>
      <c r="X564" s="756">
        <f>IF(AND(X566&lt;&gt;0,X565=0),X566,IF(X566&lt;&gt;0,MIN(X566,X565),X565))*J556</f>
        <v>0</v>
      </c>
      <c r="Y564" s="756">
        <f>IF(AND(Y566&lt;&gt;0,Y565=0),Y566,IF(Y566&lt;&gt;0,MIN(Y566,Y565),Y565))*$K556</f>
        <v>0</v>
      </c>
      <c r="Z564" s="759"/>
      <c r="AA564" s="756"/>
      <c r="AB564" s="321"/>
      <c r="AC564" s="847">
        <f>IF(AC559="",,AF564/100*qw/AC559+AE564/100*qh/3.6/AC559)</f>
        <v>0</v>
      </c>
      <c r="AD564" s="756"/>
      <c r="AE564" s="756">
        <f>IF(AND(AE566&lt;&gt;0,AE565=0),AE566,IF(AE566&lt;&gt;0,MIN(AE566,AE565),AE565))*J556</f>
        <v>0</v>
      </c>
      <c r="AF564" s="756">
        <f>IF(AND(AF566&lt;&gt;0,AF565=0),AF566,IF(AF566&lt;&gt;0,MIN(AF566,AF565),AF565))*$K556</f>
        <v>0</v>
      </c>
      <c r="AG564" s="759"/>
      <c r="AH564" s="756"/>
      <c r="AI564" s="321"/>
      <c r="AJ564" s="847">
        <f>IF(AJ559="",,AM564/100*qw/AJ559+AL564/100*qh/3.6/AJ559)</f>
        <v>0</v>
      </c>
      <c r="AK564" s="756"/>
      <c r="AL564" s="756">
        <f>IF(AND(AL566&lt;&gt;0,AL565=0),AL566,IF(AL566&lt;&gt;0,MIN(AL566,AL565),AL565))*J556</f>
        <v>0</v>
      </c>
      <c r="AM564" s="756">
        <f>IF(AND(AM566&lt;&gt;0,AM565=0),AM566,IF(AM566&lt;&gt;0,MIN(AM566,AM565),AM565))*$K556</f>
        <v>0</v>
      </c>
    </row>
    <row r="565" spans="1:39">
      <c r="A565" s="757">
        <v>556</v>
      </c>
      <c r="B565" s="789" t="s">
        <v>652</v>
      </c>
      <c r="C565" s="1545" t="s">
        <v>410</v>
      </c>
      <c r="D565" s="795"/>
      <c r="E565" s="786"/>
      <c r="F565" s="792"/>
      <c r="G565" s="303"/>
      <c r="H565" s="318"/>
      <c r="J565" s="803"/>
      <c r="K565" s="804"/>
      <c r="M565" s="758"/>
      <c r="N565" s="321"/>
      <c r="O565" s="845">
        <f>IF(O559=0,,(Q564/100*qh/3.6+R564/100*qw))</f>
        <v>0</v>
      </c>
      <c r="P565" s="756"/>
      <c r="Q565" s="756">
        <f>IF(M561&gt;0,(1-MIN((1-MIN((1-MIN(MIN(R564,R566)/100*qw*EBF/8760/M560/O559*1000,1))*M560*O559/1000/M561,1))^2,1))*100,0)*$J556</f>
        <v>0</v>
      </c>
      <c r="R565" s="756">
        <f>IF(EBF&gt;0,(0.9*MIN(M560/1000*O559/qw/EBF*8760,1))*100*$K556,)</f>
        <v>0</v>
      </c>
      <c r="S565" s="759"/>
      <c r="T565" s="756"/>
      <c r="U565" s="321"/>
      <c r="V565" s="845">
        <f>IF(V559=0,,(X564/100*qh/3.6+Y564/100*qw))</f>
        <v>0</v>
      </c>
      <c r="W565" s="756"/>
      <c r="X565" s="756">
        <f>IF(T561&gt;0,(1-MIN((1-MIN((1-MIN(MIN(Y564,Y566)/100*qw*EBF/8760/T560/V559*1000,1))*T560*V559/1000/T561,1))^2,1))*100,0)*$J556</f>
        <v>0</v>
      </c>
      <c r="Y565" s="756">
        <f>IF(EBF&gt;0,(0.9*MIN(T560/1000*V559/qw/EBF*8760,1))*100*$K556,)</f>
        <v>0</v>
      </c>
      <c r="Z565" s="759"/>
      <c r="AA565" s="758"/>
      <c r="AB565" s="321"/>
      <c r="AC565" s="845">
        <f>IF(AC559=0,,(AE564/100*qh/3.6+AF564/100*qw))</f>
        <v>0</v>
      </c>
      <c r="AD565" s="756"/>
      <c r="AE565" s="756">
        <f>IF(AA561&gt;0,(1-MIN((1-MIN((1-MIN(MIN(AF564,AF566)/100*qw*EBF/8760/AA560/AC559*1000,1))*AA560*AC559/1000/AA561,1))^2,1))*100,0)*$J556</f>
        <v>0</v>
      </c>
      <c r="AF565" s="756">
        <f>IF(EBF&gt;0,(0.9*MIN(AA560/1000*AC559/qw/EBF*8760,1))*100*$K556,)</f>
        <v>0</v>
      </c>
      <c r="AG565" s="759"/>
      <c r="AH565" s="758"/>
      <c r="AI565" s="321"/>
      <c r="AJ565" s="845">
        <f>IF(AJ559=0,,(AL564/100*qh/3.6+AM564/100*qw))</f>
        <v>0</v>
      </c>
      <c r="AK565" s="756"/>
      <c r="AL565" s="756">
        <f>IF(AH561&gt;0,(1-MIN((1-MIN((1-MIN(MIN(AM564,AM566)/100*qw*EBF/8760/AH560/AJ559*1000,1))*AH560*AJ559/1000/AH561,1))^2,1))*100,0)*$J556</f>
        <v>0</v>
      </c>
      <c r="AM565" s="756">
        <f>IF(EBF&gt;0,(0.9*MIN(AH560/1000*AJ559/qw/EBF*8760,1))*100*$K556,)</f>
        <v>0</v>
      </c>
    </row>
    <row r="566" spans="1:39">
      <c r="A566" s="757">
        <v>557</v>
      </c>
      <c r="B566" s="824"/>
      <c r="C566" s="1546"/>
      <c r="D566" s="806"/>
      <c r="E566" s="806"/>
      <c r="F566" s="774"/>
      <c r="G566" s="319"/>
      <c r="H566" s="320"/>
      <c r="J566" s="807"/>
      <c r="K566" s="808"/>
      <c r="M566" s="756"/>
      <c r="N566" s="325"/>
      <c r="O566" s="858"/>
      <c r="P566" s="756"/>
      <c r="Q566" s="315">
        <f>Produzione!$K$18</f>
        <v>0</v>
      </c>
      <c r="R566" s="315">
        <f>Produzione!$L$18</f>
        <v>0</v>
      </c>
      <c r="S566" s="759"/>
      <c r="T566" s="756"/>
      <c r="U566" s="325"/>
      <c r="V566" s="325"/>
      <c r="W566" s="756"/>
      <c r="X566" s="315">
        <f>Produzione!$K$32</f>
        <v>0</v>
      </c>
      <c r="Y566" s="315">
        <f>Produzione!$L$32</f>
        <v>0</v>
      </c>
      <c r="Z566" s="759"/>
      <c r="AA566" s="756"/>
      <c r="AB566" s="325"/>
      <c r="AC566" s="325"/>
      <c r="AD566" s="756"/>
      <c r="AE566" s="315">
        <f>Produzione!$K$46</f>
        <v>0</v>
      </c>
      <c r="AF566" s="315">
        <f>Produzione!$L$46</f>
        <v>0</v>
      </c>
      <c r="AG566" s="759"/>
      <c r="AH566" s="756"/>
      <c r="AI566" s="325"/>
      <c r="AJ566" s="325"/>
      <c r="AK566" s="756"/>
      <c r="AL566" s="315">
        <f>Produzione!$K$60</f>
        <v>0</v>
      </c>
      <c r="AM566" s="315">
        <f>Produzione!$L$60</f>
        <v>0</v>
      </c>
    </row>
    <row r="567" spans="1:39">
      <c r="A567" s="757">
        <v>558</v>
      </c>
      <c r="B567" s="759"/>
      <c r="C567" s="833"/>
      <c r="D567" s="759"/>
      <c r="E567" s="759"/>
      <c r="F567" s="817"/>
      <c r="G567" s="759"/>
      <c r="H567" s="759"/>
      <c r="I567" s="759"/>
      <c r="J567" s="759"/>
      <c r="Q567" s="761" t="str">
        <f>IF(AND(R566="",R565=""),"",IF(R566&gt;R565,"tasso troppo alto",IF(AND(Q566="",Q565=""),"",IF(Q566&gt;Q565,"tasso troppo alto",""))))</f>
        <v/>
      </c>
      <c r="S567" s="759"/>
      <c r="X567" s="761" t="str">
        <f>IF(AND(Y566="",Y565=""),"",IF(Y566&gt;Y565,"tasso troppo alto",IF(AND(X566="",X565=""),"",IF(X566&gt;X565,"tasso troppo alto",""))))</f>
        <v/>
      </c>
      <c r="Z567" s="759"/>
      <c r="AE567" s="761" t="str">
        <f>IF(AND(AF566="",AF565=""),"",IF(AF566&gt;AF565,"tasso troppo alto",IF(AND(AE566="",AE565=""),"",IF(AE566&gt;AE565,"tasso troppo alto",""))))</f>
        <v/>
      </c>
      <c r="AG567" s="759"/>
      <c r="AL567" s="761" t="str">
        <f>IF(AND(AM566="",AM565=""),"",IF(AM566&gt;AM565,"tasso troppo alto",IF(AND(AL566="",AL565=""),"",IF(AL566&gt;AL565,"tasso troppo alto",""))))</f>
        <v/>
      </c>
    </row>
    <row r="568" spans="1:39">
      <c r="A568" s="757">
        <v>559</v>
      </c>
      <c r="B568" s="755"/>
      <c r="C568" s="834"/>
      <c r="D568" s="762"/>
      <c r="E568" s="762"/>
      <c r="G568" s="762"/>
      <c r="H568" s="818"/>
      <c r="J568" s="762" t="s">
        <v>1177</v>
      </c>
      <c r="N568" s="762"/>
      <c r="O568" s="860"/>
      <c r="P568" s="759"/>
      <c r="Q568" s="762" t="s">
        <v>1177</v>
      </c>
      <c r="R568" s="759"/>
      <c r="S568" s="759"/>
      <c r="T568" s="759"/>
      <c r="U568" s="762"/>
      <c r="V568" s="769"/>
      <c r="W568" s="759"/>
      <c r="X568" s="762" t="s">
        <v>1177</v>
      </c>
      <c r="Y568" s="759"/>
      <c r="Z568" s="759"/>
      <c r="AA568" s="759"/>
      <c r="AB568" s="762"/>
      <c r="AC568" s="769"/>
      <c r="AD568" s="759"/>
      <c r="AE568" s="762" t="s">
        <v>1177</v>
      </c>
      <c r="AF568" s="759"/>
      <c r="AG568" s="759"/>
      <c r="AH568" s="759"/>
      <c r="AI568" s="762"/>
      <c r="AJ568" s="769"/>
      <c r="AK568" s="759"/>
      <c r="AL568" s="762" t="s">
        <v>1177</v>
      </c>
      <c r="AM568" s="759"/>
    </row>
    <row r="569" spans="1:39">
      <c r="A569" s="757">
        <v>560</v>
      </c>
      <c r="B569" s="772" t="str">
        <f>INDEX(Standardwerte!$V$6:$V$51,Rechnung!$C569,1)</f>
        <v>PdC compatta / AC senza RC (solo riscaldamento)</v>
      </c>
      <c r="C569" s="835">
        <v>41</v>
      </c>
      <c r="D569" s="819"/>
      <c r="E569" s="820"/>
      <c r="F569" s="821"/>
      <c r="G569" s="819"/>
      <c r="H569" s="822"/>
      <c r="J569" s="760" t="s">
        <v>1178</v>
      </c>
      <c r="K569" s="756" t="s">
        <v>1179</v>
      </c>
      <c r="M569" s="756"/>
      <c r="N569" s="760"/>
      <c r="O569" s="852"/>
      <c r="P569" s="756"/>
      <c r="Q569" s="760" t="s">
        <v>1178</v>
      </c>
      <c r="R569" s="756" t="s">
        <v>1179</v>
      </c>
      <c r="S569" s="759"/>
      <c r="T569" s="756"/>
      <c r="U569" s="760"/>
      <c r="V569" s="764"/>
      <c r="W569" s="756"/>
      <c r="X569" s="760" t="s">
        <v>1178</v>
      </c>
      <c r="Y569" s="756" t="s">
        <v>1179</v>
      </c>
      <c r="Z569" s="759"/>
      <c r="AA569" s="777"/>
      <c r="AB569" s="776"/>
      <c r="AC569" s="934"/>
      <c r="AD569" s="777"/>
      <c r="AE569" s="776" t="s">
        <v>1178</v>
      </c>
      <c r="AF569" s="777" t="s">
        <v>1179</v>
      </c>
      <c r="AG569" s="759"/>
      <c r="AH569" s="777"/>
      <c r="AI569" s="776"/>
      <c r="AJ569" s="934"/>
      <c r="AK569" s="777"/>
      <c r="AL569" s="776" t="s">
        <v>1178</v>
      </c>
      <c r="AM569" s="777" t="s">
        <v>1179</v>
      </c>
    </row>
    <row r="570" spans="1:39">
      <c r="A570" s="757">
        <v>561</v>
      </c>
      <c r="B570" s="778" t="s">
        <v>526</v>
      </c>
      <c r="C570" s="830"/>
      <c r="D570" s="779"/>
      <c r="E570" s="312"/>
      <c r="F570" s="313">
        <f>INDEX($M$10:$AM$162,$A$10+(_typ1-1)*14,1)</f>
        <v>0</v>
      </c>
      <c r="G570" s="780"/>
      <c r="H570" s="781"/>
      <c r="J570" s="782">
        <f>INDEX(Standardwerte!$Y$6:$Z$51,$C569,2)</f>
        <v>1</v>
      </c>
      <c r="K570" s="783">
        <f>INDEX(Standardwerte!$Y$6:$Z$51,$C569,1)</f>
        <v>0</v>
      </c>
      <c r="M570" s="315">
        <f>Produzione!$G$8</f>
        <v>0</v>
      </c>
      <c r="N570" s="764"/>
      <c r="O570" s="852"/>
      <c r="P570" s="756"/>
      <c r="Q570" s="756"/>
      <c r="R570" s="756"/>
      <c r="S570" s="759"/>
      <c r="T570" s="315">
        <f>Produzione!$G$22</f>
        <v>0</v>
      </c>
      <c r="U570" s="764"/>
      <c r="V570" s="764"/>
      <c r="W570" s="756"/>
      <c r="X570" s="756"/>
      <c r="Y570" s="756"/>
      <c r="Z570" s="759"/>
      <c r="AA570" s="315">
        <f>Produzione!$G$36</f>
        <v>0</v>
      </c>
      <c r="AB570" s="764"/>
      <c r="AC570" s="764"/>
      <c r="AD570" s="756"/>
      <c r="AE570" s="756"/>
      <c r="AF570" s="756"/>
      <c r="AG570" s="759"/>
      <c r="AH570" s="315">
        <f>Produzione!$G$50</f>
        <v>0</v>
      </c>
      <c r="AI570" s="764"/>
      <c r="AJ570" s="764"/>
      <c r="AK570" s="756"/>
      <c r="AL570" s="756"/>
      <c r="AM570" s="756"/>
    </row>
    <row r="571" spans="1:39">
      <c r="A571" s="757">
        <v>562</v>
      </c>
      <c r="B571" s="784" t="s">
        <v>700</v>
      </c>
      <c r="C571" s="794" t="s">
        <v>776</v>
      </c>
      <c r="E571" s="786"/>
      <c r="F571" s="809">
        <f>INDEX(Standardwerte!$W$6:$W$51,$C569,1)</f>
        <v>2.7</v>
      </c>
      <c r="G571" s="787"/>
      <c r="H571" s="788"/>
      <c r="J571" s="782"/>
      <c r="K571" s="783"/>
      <c r="M571" s="315">
        <f>Produzione!$G$10</f>
        <v>0</v>
      </c>
      <c r="N571" s="764"/>
      <c r="O571" s="1544">
        <f>F571</f>
        <v>2.7</v>
      </c>
      <c r="P571" s="756"/>
      <c r="Q571" s="756"/>
      <c r="R571" s="756"/>
      <c r="S571" s="759"/>
      <c r="T571" s="315">
        <f>Produzione!$G$24</f>
        <v>0</v>
      </c>
      <c r="U571" s="764"/>
      <c r="V571" s="1544">
        <f>F571</f>
        <v>2.7</v>
      </c>
      <c r="W571" s="756"/>
      <c r="X571" s="756"/>
      <c r="Y571" s="756"/>
      <c r="Z571" s="759"/>
      <c r="AA571" s="315">
        <f>Produzione!$G$38</f>
        <v>0</v>
      </c>
      <c r="AB571" s="764"/>
      <c r="AC571" s="1544">
        <f>F571</f>
        <v>2.7</v>
      </c>
      <c r="AD571" s="756"/>
      <c r="AE571" s="756"/>
      <c r="AF571" s="756"/>
      <c r="AG571" s="759"/>
      <c r="AH571" s="315">
        <f>Produzione!$G$52</f>
        <v>0</v>
      </c>
      <c r="AI571" s="764"/>
      <c r="AJ571" s="1544">
        <f>F571</f>
        <v>2.7</v>
      </c>
      <c r="AK571" s="756"/>
      <c r="AL571" s="756"/>
      <c r="AM571" s="756"/>
    </row>
    <row r="572" spans="1:39">
      <c r="A572" s="757">
        <v>563</v>
      </c>
      <c r="B572" s="789" t="s">
        <v>698</v>
      </c>
      <c r="C572" s="794" t="s">
        <v>776</v>
      </c>
      <c r="D572" s="786"/>
      <c r="E572" s="786" t="str">
        <f>IF(OR(M571&gt;O571,T571&gt;V571,AA571&gt;AC571,AH571&gt;AJ571),"","")</f>
        <v/>
      </c>
      <c r="F572" s="1344"/>
      <c r="G572" s="792"/>
      <c r="H572" s="793"/>
      <c r="J572" s="782"/>
      <c r="K572" s="783"/>
      <c r="L572" s="770">
        <v>1</v>
      </c>
      <c r="M572" s="756"/>
      <c r="N572" s="766"/>
      <c r="O572" s="854"/>
      <c r="P572" s="756"/>
      <c r="Q572" s="756"/>
      <c r="R572" s="756"/>
      <c r="S572" s="759"/>
      <c r="T572" s="756"/>
      <c r="U572" s="766"/>
      <c r="V572" s="767"/>
      <c r="W572" s="756"/>
      <c r="X572" s="756"/>
      <c r="Y572" s="756"/>
      <c r="Z572" s="759"/>
      <c r="AA572" s="756"/>
      <c r="AB572" s="766"/>
      <c r="AC572" s="767"/>
      <c r="AD572" s="756"/>
      <c r="AE572" s="756"/>
      <c r="AF572" s="756"/>
      <c r="AG572" s="759"/>
      <c r="AH572" s="756"/>
      <c r="AI572" s="766"/>
      <c r="AJ572" s="767"/>
      <c r="AK572" s="756"/>
      <c r="AL572" s="756"/>
      <c r="AM572" s="756"/>
    </row>
    <row r="573" spans="1:39">
      <c r="A573" s="757">
        <v>564</v>
      </c>
      <c r="B573" s="789" t="s">
        <v>699</v>
      </c>
      <c r="C573" s="794" t="s">
        <v>776</v>
      </c>
      <c r="D573" s="786"/>
      <c r="E573" s="786"/>
      <c r="F573" s="791"/>
      <c r="G573" s="303"/>
      <c r="H573" s="316"/>
      <c r="J573" s="782"/>
      <c r="K573" s="783"/>
      <c r="M573" s="756"/>
      <c r="N573" s="321"/>
      <c r="O573" s="855" t="str">
        <f>IF(M571&lt;&gt;0,M571,IF(Produzione!$E$10&lt;&gt;"",Produzione!$E$10,Produzione!$G$9))</f>
        <v/>
      </c>
      <c r="P573" s="756"/>
      <c r="Q573" s="756"/>
      <c r="R573" s="756"/>
      <c r="S573" s="759"/>
      <c r="T573" s="756"/>
      <c r="U573" s="321"/>
      <c r="V573" s="322" t="str">
        <f>IF(T571&lt;&gt;0,T571,IF(Produzione!$E$24&lt;&gt;"",Produzione!$E$24,Produzione!$G$23))</f>
        <v/>
      </c>
      <c r="W573" s="756"/>
      <c r="X573" s="756"/>
      <c r="Y573" s="756"/>
      <c r="Z573" s="759"/>
      <c r="AA573" s="756"/>
      <c r="AB573" s="321"/>
      <c r="AC573" s="322" t="str">
        <f>IF(AA571&lt;&gt;0,AA571,IF(Produzione!$E$38&lt;&gt;"",Produzione!$E$38,Produzione!$G$37))</f>
        <v/>
      </c>
      <c r="AD573" s="756"/>
      <c r="AE573" s="756"/>
      <c r="AF573" s="756"/>
      <c r="AG573" s="759"/>
      <c r="AH573" s="756"/>
      <c r="AI573" s="321"/>
      <c r="AJ573" s="322" t="str">
        <f>IF(AH571&lt;&gt;0,AH571,IF(Produzione!$E$52&lt;&gt;"",Produzione!$E$52,Produzione!$G$51))</f>
        <v/>
      </c>
      <c r="AK573" s="756"/>
      <c r="AL573" s="756"/>
      <c r="AM573" s="756"/>
    </row>
    <row r="574" spans="1:39">
      <c r="A574" s="757">
        <v>565</v>
      </c>
      <c r="B574" s="789" t="s">
        <v>51</v>
      </c>
      <c r="C574" s="790" t="s">
        <v>761</v>
      </c>
      <c r="D574" s="787"/>
      <c r="E574" s="795"/>
      <c r="F574" s="1344"/>
      <c r="G574" s="796"/>
      <c r="H574" s="797"/>
      <c r="J574" s="782"/>
      <c r="K574" s="783"/>
      <c r="L574" s="770">
        <v>2</v>
      </c>
      <c r="M574" s="315">
        <f>Produzione!$G$12</f>
        <v>0</v>
      </c>
      <c r="N574" s="758"/>
      <c r="O574" s="854"/>
      <c r="P574" s="756"/>
      <c r="Q574" s="756"/>
      <c r="R574" s="756"/>
      <c r="S574" s="759"/>
      <c r="T574" s="315">
        <f>Produzione!$G$26</f>
        <v>0</v>
      </c>
      <c r="U574" s="758"/>
      <c r="V574" s="758"/>
      <c r="W574" s="756"/>
      <c r="X574" s="756"/>
      <c r="Y574" s="756"/>
      <c r="Z574" s="759"/>
      <c r="AA574" s="315">
        <f>Produzione!$G$40</f>
        <v>0</v>
      </c>
      <c r="AB574" s="758"/>
      <c r="AC574" s="758"/>
      <c r="AD574" s="756"/>
      <c r="AE574" s="756"/>
      <c r="AF574" s="756"/>
      <c r="AG574" s="759"/>
      <c r="AH574" s="315">
        <f>Produzione!$G$54</f>
        <v>0</v>
      </c>
      <c r="AI574" s="758"/>
      <c r="AJ574" s="758"/>
      <c r="AK574" s="756"/>
      <c r="AL574" s="756"/>
      <c r="AM574" s="756"/>
    </row>
    <row r="575" spans="1:39">
      <c r="A575" s="757">
        <v>566</v>
      </c>
      <c r="B575" s="789" t="str">
        <f>IF(J570=1,"fabbisogno di potenza termica dell'edificio","")</f>
        <v>fabbisogno di potenza termica dell'edificio</v>
      </c>
      <c r="C575" s="790" t="str">
        <f>IF(J570=1,"kW","")</f>
        <v>kW</v>
      </c>
      <c r="D575" s="796"/>
      <c r="E575" s="795"/>
      <c r="F575" s="1344"/>
      <c r="G575" s="787"/>
      <c r="H575" s="798"/>
      <c r="J575" s="782"/>
      <c r="K575" s="783"/>
      <c r="L575" s="770">
        <v>2</v>
      </c>
      <c r="M575" s="315">
        <f>Produzione!$G$13</f>
        <v>0</v>
      </c>
      <c r="N575" s="764"/>
      <c r="O575" s="852"/>
      <c r="P575" s="756"/>
      <c r="Q575" s="756"/>
      <c r="R575" s="756"/>
      <c r="S575" s="759"/>
      <c r="T575" s="315">
        <f>Produzione!$G$27</f>
        <v>0</v>
      </c>
      <c r="U575" s="764"/>
      <c r="V575" s="768"/>
      <c r="W575" s="756"/>
      <c r="X575" s="756"/>
      <c r="Y575" s="756"/>
      <c r="Z575" s="759"/>
      <c r="AA575" s="315">
        <f>Produzione!$G$41</f>
        <v>0</v>
      </c>
      <c r="AB575" s="764"/>
      <c r="AC575" s="768"/>
      <c r="AD575" s="756"/>
      <c r="AE575" s="756"/>
      <c r="AF575" s="756"/>
      <c r="AG575" s="759"/>
      <c r="AH575" s="315">
        <f>Produzione!$G$55</f>
        <v>0</v>
      </c>
      <c r="AI575" s="764"/>
      <c r="AJ575" s="768"/>
      <c r="AK575" s="756"/>
      <c r="AL575" s="756"/>
      <c r="AM575" s="756"/>
    </row>
    <row r="576" spans="1:39">
      <c r="A576" s="757">
        <v>567</v>
      </c>
      <c r="B576" s="799" t="str">
        <f>IF(J570=1,"Temperatura di mandata riscaldamento","")</f>
        <v>Temperatura di mandata riscaldamento</v>
      </c>
      <c r="C576" s="831" t="str">
        <f>IF(J570=1,"°C","")</f>
        <v>°C</v>
      </c>
      <c r="D576" s="786"/>
      <c r="E576" s="786"/>
      <c r="F576" s="1344"/>
      <c r="G576" s="787"/>
      <c r="H576" s="800"/>
      <c r="J576" s="782"/>
      <c r="K576" s="783"/>
      <c r="L576" s="770">
        <v>2</v>
      </c>
      <c r="M576" s="315">
        <f>Produzione!$G$14</f>
        <v>0</v>
      </c>
      <c r="N576" s="764"/>
      <c r="P576" s="756"/>
      <c r="Q576" s="756"/>
      <c r="R576" s="756"/>
      <c r="S576" s="759"/>
      <c r="T576" s="315">
        <f>Produzione!$G$28</f>
        <v>0</v>
      </c>
      <c r="U576" s="764"/>
      <c r="W576" s="756"/>
      <c r="X576" s="756"/>
      <c r="Y576" s="756"/>
      <c r="Z576" s="759"/>
      <c r="AA576" s="315">
        <f>Produzione!$G$42</f>
        <v>0</v>
      </c>
      <c r="AB576" s="764"/>
      <c r="AD576" s="756"/>
      <c r="AE576" s="756"/>
      <c r="AF576" s="756"/>
      <c r="AG576" s="759"/>
      <c r="AH576" s="315">
        <f>Produzione!$G$56</f>
        <v>0</v>
      </c>
      <c r="AI576" s="764"/>
      <c r="AK576" s="756"/>
      <c r="AL576" s="756"/>
      <c r="AM576" s="756"/>
    </row>
    <row r="577" spans="1:39">
      <c r="A577" s="757">
        <v>568</v>
      </c>
      <c r="B577" s="799" t="str">
        <f>IF(AND(Warmwasser,K570=1),"Temperatura acqua calda sanitaria","")</f>
        <v/>
      </c>
      <c r="C577" s="831" t="str">
        <f>IF(AND(Warmwasser,K570=1),"°C","")</f>
        <v/>
      </c>
      <c r="D577" s="786"/>
      <c r="E577" s="786"/>
      <c r="F577" s="1344"/>
      <c r="G577" s="796"/>
      <c r="H577" s="788"/>
      <c r="J577" s="782"/>
      <c r="K577" s="783"/>
      <c r="M577" s="315">
        <f>Produzione!$G$15</f>
        <v>0</v>
      </c>
      <c r="N577" s="758"/>
      <c r="O577" s="853"/>
      <c r="P577" s="756"/>
      <c r="Q577" s="756"/>
      <c r="R577" s="756" t="str">
        <f>IF(AND($K570=0,R580&lt;&gt;0),"Heizung ausgewählt",IF(AND($J570=0,Q552&gt;0),"Warmwasser ausgewählt",""))</f>
        <v/>
      </c>
      <c r="S577" s="759"/>
      <c r="T577" s="315">
        <f>Produzione!$G$29</f>
        <v>0</v>
      </c>
      <c r="U577" s="758"/>
      <c r="V577" s="765"/>
      <c r="W577" s="756"/>
      <c r="X577" s="756"/>
      <c r="Y577" s="756" t="str">
        <f>IF(AND($K570=0,Y580&lt;&gt;0),"Heizung ausgewählt",IF(AND($J570=0,X552&gt;0),"Warmwasser ausgewählt",""))</f>
        <v/>
      </c>
      <c r="Z577" s="759"/>
      <c r="AA577" s="315">
        <f>Produzione!$G$43</f>
        <v>0</v>
      </c>
      <c r="AB577" s="758"/>
      <c r="AC577" s="765"/>
      <c r="AD577" s="756"/>
      <c r="AE577" s="756"/>
      <c r="AF577" s="756" t="str">
        <f>IF(AND($K570=0,AF580&lt;&gt;0),"Heizung ausgewählt",IF(AND($J570=0,AE552&gt;0),"Warmwasser ausgewählt",""))</f>
        <v/>
      </c>
      <c r="AG577" s="759"/>
      <c r="AH577" s="315">
        <f>Produzione!$G$57</f>
        <v>0</v>
      </c>
      <c r="AI577" s="758"/>
      <c r="AJ577" s="765"/>
      <c r="AK577" s="756"/>
      <c r="AL577" s="756"/>
      <c r="AM577" s="756" t="str">
        <f>IF(AND($K570=0,AM580&lt;&gt;0),"Heizung ausgewählt",IF(AND($J570=0,AL552&gt;0),"Warmwasser ausgewählt",""))</f>
        <v/>
      </c>
    </row>
    <row r="578" spans="1:39">
      <c r="A578" s="757">
        <v>569</v>
      </c>
      <c r="B578" s="799" t="s">
        <v>1374</v>
      </c>
      <c r="C578" s="790" t="s">
        <v>410</v>
      </c>
      <c r="D578" s="795"/>
      <c r="E578" s="795"/>
      <c r="F578" s="791"/>
      <c r="G578" s="303"/>
      <c r="H578" s="317"/>
      <c r="J578" s="801"/>
      <c r="K578" s="802"/>
      <c r="M578" s="756"/>
      <c r="N578" s="321"/>
      <c r="O578" s="849">
        <f>IF(O573="",,R578/100*qw/O573+Q578/100*qh/3.6/O573)</f>
        <v>0</v>
      </c>
      <c r="P578" s="756"/>
      <c r="Q578" s="756">
        <f>IF(AND(Q580&lt;&gt;0,Q579=0),Q580,IF(Q580&lt;&gt;0,MIN(Q580,Q579),Q579))*$J570</f>
        <v>0</v>
      </c>
      <c r="R578" s="756">
        <f>IF(AND(R580&lt;&gt;0,R579=0),R580,IF(R580&lt;&gt;0,MIN(R580,R579),R579))*$K570</f>
        <v>0</v>
      </c>
      <c r="S578" s="759"/>
      <c r="T578" s="756"/>
      <c r="U578" s="321"/>
      <c r="V578" s="847">
        <f>IF(V573="",,Y578/100*qw/V573+X578/100*qh/3.6/V573)</f>
        <v>0</v>
      </c>
      <c r="W578" s="756"/>
      <c r="X578" s="756">
        <f>IF(AND(X580&lt;&gt;0,X579=0),X580,IF(X580&lt;&gt;0,MIN(X580,X579),X579))*J570</f>
        <v>0</v>
      </c>
      <c r="Y578" s="756">
        <f>IF(AND(Y580&lt;&gt;0,Y579=0),Y580,IF(Y580&lt;&gt;0,MIN(Y580,Y579),Y579))*$K570</f>
        <v>0</v>
      </c>
      <c r="Z578" s="759"/>
      <c r="AA578" s="756"/>
      <c r="AB578" s="321"/>
      <c r="AC578" s="847">
        <f>IF(AC573="",,AF578/100*qw/AC573+AE578/100*qh/3.6/AC573)</f>
        <v>0</v>
      </c>
      <c r="AD578" s="756"/>
      <c r="AE578" s="756">
        <f>IF(AND(AE580&lt;&gt;0,AE579=0),AE580,IF(AE580&lt;&gt;0,MIN(AE580,AE579),AE579))*J570</f>
        <v>0</v>
      </c>
      <c r="AF578" s="756">
        <f>IF(AND(AF580&lt;&gt;0,AF579=0),AF580,IF(AF580&lt;&gt;0,MIN(AF580,AF579),AF579))*$K570</f>
        <v>0</v>
      </c>
      <c r="AG578" s="759"/>
      <c r="AH578" s="756"/>
      <c r="AI578" s="321"/>
      <c r="AJ578" s="847">
        <f>IF(AJ573="",,AM578/100*qw/AJ573+AL578/100*qh/3.6/AJ573)</f>
        <v>0</v>
      </c>
      <c r="AK578" s="756"/>
      <c r="AL578" s="756">
        <f>IF(AND(AL580&lt;&gt;0,AL579=0),AL580,IF(AL580&lt;&gt;0,MIN(AL580,AL579),AL579))*J570</f>
        <v>0</v>
      </c>
      <c r="AM578" s="756">
        <f>IF(AND(AM580&lt;&gt;0,AM579=0),AM580,IF(AM580&lt;&gt;0,MIN(AM580,AM579),AM579))*$K570</f>
        <v>0</v>
      </c>
    </row>
    <row r="579" spans="1:39">
      <c r="A579" s="757">
        <v>570</v>
      </c>
      <c r="B579" s="789" t="s">
        <v>652</v>
      </c>
      <c r="C579" s="1545" t="s">
        <v>410</v>
      </c>
      <c r="D579" s="795"/>
      <c r="E579" s="786"/>
      <c r="F579" s="792"/>
      <c r="G579" s="303"/>
      <c r="H579" s="318"/>
      <c r="J579" s="803"/>
      <c r="K579" s="804"/>
      <c r="M579" s="758"/>
      <c r="N579" s="321"/>
      <c r="O579" s="845">
        <f>IF(O573=0,,(Q578/100*qh/3.6+R578/100*qw))</f>
        <v>0</v>
      </c>
      <c r="P579" s="756"/>
      <c r="Q579" s="756">
        <f>IF(M575&gt;0,(1-MIN((1-MIN((1-MIN(MIN(R578,R580)/100*qw*EBF/8760/M574/O573*1000,1))*M574*O573/1000/M575,1))^2,1))*100,0)*$J570</f>
        <v>0</v>
      </c>
      <c r="R579" s="756">
        <f>IF(EBF&gt;0,(0.9*MIN(M574/1000*O573/qw/EBF*8760,1))*100*$K570,)</f>
        <v>0</v>
      </c>
      <c r="S579" s="759"/>
      <c r="T579" s="756"/>
      <c r="U579" s="321"/>
      <c r="V579" s="845">
        <f>IF(V573=0,,(X578/100*qh/3.6+Y578/100*qw))</f>
        <v>0</v>
      </c>
      <c r="W579" s="756"/>
      <c r="X579" s="756">
        <f>IF(T575&gt;0,(1-MIN((1-MIN((1-MIN(MIN(Y578,Y580)/100*qw*EBF/8760/T574/V573*1000,1))*T574*V573/1000/T575,1))^2,1))*100,0)*$J570</f>
        <v>0</v>
      </c>
      <c r="Y579" s="756">
        <f>IF(EBF&gt;0,(0.9*MIN(T574/1000*V573/qw/EBF*8760,1))*100*$K570,)</f>
        <v>0</v>
      </c>
      <c r="Z579" s="759"/>
      <c r="AA579" s="758"/>
      <c r="AB579" s="321"/>
      <c r="AC579" s="845">
        <f>IF(AC573=0,,(AE578/100*qh/3.6+AF578/100*qw))</f>
        <v>0</v>
      </c>
      <c r="AD579" s="756"/>
      <c r="AE579" s="756">
        <f>IF(AA575&gt;0,(1-MIN((1-MIN((1-MIN(MIN(AF578,AF580)/100*qw*EBF/8760/AA574/AC573*1000,1))*AA574*AC573/1000/AA575,1))^2,1))*100,0)*$J570</f>
        <v>0</v>
      </c>
      <c r="AF579" s="756">
        <f>IF(EBF&gt;0,(0.9*MIN(AA574/1000*AC573/qw/EBF*8760,1))*100*$K570,)</f>
        <v>0</v>
      </c>
      <c r="AG579" s="759"/>
      <c r="AH579" s="758"/>
      <c r="AI579" s="321"/>
      <c r="AJ579" s="845">
        <f>IF(AJ573=0,,(AL578/100*qh/3.6+AM578/100*qw))</f>
        <v>0</v>
      </c>
      <c r="AK579" s="756"/>
      <c r="AL579" s="756">
        <f>IF(AH575&gt;0,(1-MIN((1-MIN((1-MIN(MIN(AM578,AM580)/100*qw*EBF/8760/AH574/AJ573*1000,1))*AH574*AJ573/1000/AH575,1))^2,1))*100,0)*$J570</f>
        <v>0</v>
      </c>
      <c r="AM579" s="756">
        <f>IF(EBF&gt;0,(0.9*MIN(AH574/1000*AJ573/qw/EBF*8760,1))*100*$K570,)</f>
        <v>0</v>
      </c>
    </row>
    <row r="580" spans="1:39">
      <c r="A580" s="757">
        <v>571</v>
      </c>
      <c r="B580" s="824"/>
      <c r="C580" s="1546"/>
      <c r="D580" s="806"/>
      <c r="E580" s="806"/>
      <c r="F580" s="774"/>
      <c r="G580" s="319"/>
      <c r="H580" s="320"/>
      <c r="J580" s="807"/>
      <c r="K580" s="808"/>
      <c r="M580" s="756"/>
      <c r="N580" s="325"/>
      <c r="O580" s="858"/>
      <c r="P580" s="756"/>
      <c r="Q580" s="315">
        <f>Produzione!$K$18</f>
        <v>0</v>
      </c>
      <c r="R580" s="315">
        <f>Produzione!$L$18</f>
        <v>0</v>
      </c>
      <c r="S580" s="759"/>
      <c r="T580" s="756"/>
      <c r="U580" s="325"/>
      <c r="V580" s="325"/>
      <c r="W580" s="756"/>
      <c r="X580" s="315">
        <f>Produzione!$K$32</f>
        <v>0</v>
      </c>
      <c r="Y580" s="315">
        <f>Produzione!$L$32</f>
        <v>0</v>
      </c>
      <c r="Z580" s="759"/>
      <c r="AA580" s="756"/>
      <c r="AB580" s="325"/>
      <c r="AC580" s="325"/>
      <c r="AD580" s="756"/>
      <c r="AE580" s="315">
        <f>Produzione!$K$46</f>
        <v>0</v>
      </c>
      <c r="AF580" s="315">
        <f>Produzione!$L$46</f>
        <v>0</v>
      </c>
      <c r="AG580" s="759"/>
      <c r="AH580" s="756"/>
      <c r="AI580" s="325"/>
      <c r="AJ580" s="325"/>
      <c r="AK580" s="756"/>
      <c r="AL580" s="315">
        <f>Produzione!$K$60</f>
        <v>0</v>
      </c>
      <c r="AM580" s="315">
        <f>Produzione!$L$60</f>
        <v>0</v>
      </c>
    </row>
    <row r="581" spans="1:39">
      <c r="A581" s="757">
        <v>572</v>
      </c>
      <c r="B581" s="759"/>
      <c r="C581" s="833"/>
      <c r="D581" s="759"/>
      <c r="E581" s="759"/>
      <c r="F581" s="817"/>
      <c r="G581" s="759"/>
      <c r="H581" s="759"/>
      <c r="I581" s="759"/>
      <c r="J581" s="759"/>
      <c r="Q581" s="761" t="str">
        <f>IF(AND(R580="",R579=""),"",IF(R580&gt;R579,"tasso troppo alto",IF(AND(Q580="",Q579=""),"",IF(Q580&gt;Q579,"tasso troppo alto",""))))</f>
        <v/>
      </c>
      <c r="S581" s="759"/>
      <c r="X581" s="761" t="str">
        <f>IF(AND(Y580="",Y579=""),"",IF(Y580&gt;Y579,"tasso troppo alto",IF(AND(X580="",X579=""),"",IF(X580&gt;X579,"tasso troppo alto",""))))</f>
        <v/>
      </c>
      <c r="Z581" s="759"/>
      <c r="AE581" s="761" t="str">
        <f>IF(AND(AF580="",AF579=""),"",IF(AF580&gt;AF579,"tasso troppo alto",IF(AND(AE580="",AE579=""),"",IF(AE580&gt;AE579,"tasso troppo alto",""))))</f>
        <v/>
      </c>
      <c r="AG581" s="759"/>
      <c r="AL581" s="761" t="str">
        <f>IF(AND(AM580="",AM579=""),"",IF(AM580&gt;AM579,"tasso troppo alto",IF(AND(AL580="",AL579=""),"",IF(AL580&gt;AL579,"tasso troppo alto",""))))</f>
        <v/>
      </c>
    </row>
    <row r="582" spans="1:39">
      <c r="A582" s="757">
        <v>573</v>
      </c>
      <c r="B582" s="755"/>
      <c r="C582" s="834"/>
      <c r="D582" s="762"/>
      <c r="E582" s="762"/>
      <c r="G582" s="762"/>
      <c r="H582" s="818"/>
      <c r="J582" s="762" t="s">
        <v>1177</v>
      </c>
      <c r="N582" s="762"/>
      <c r="O582" s="860"/>
      <c r="P582" s="759"/>
      <c r="Q582" s="762" t="s">
        <v>1177</v>
      </c>
      <c r="R582" s="759"/>
      <c r="S582" s="759"/>
      <c r="T582" s="759"/>
      <c r="U582" s="762"/>
      <c r="V582" s="769"/>
      <c r="W582" s="759"/>
      <c r="X582" s="762" t="s">
        <v>1177</v>
      </c>
      <c r="Y582" s="759"/>
      <c r="Z582" s="759"/>
      <c r="AA582" s="759"/>
      <c r="AB582" s="762"/>
      <c r="AC582" s="769"/>
      <c r="AD582" s="759"/>
      <c r="AE582" s="762" t="s">
        <v>1177</v>
      </c>
      <c r="AF582" s="759"/>
      <c r="AG582" s="759"/>
      <c r="AH582" s="759"/>
      <c r="AI582" s="762"/>
      <c r="AJ582" s="769"/>
      <c r="AK582" s="759"/>
      <c r="AL582" s="762" t="s">
        <v>1177</v>
      </c>
      <c r="AM582" s="759"/>
    </row>
    <row r="583" spans="1:39">
      <c r="A583" s="757">
        <v>574</v>
      </c>
      <c r="B583" s="772" t="str">
        <f>INDEX(Standardwerte!$V$6:$V$51,Rechnung!$C583,1)</f>
        <v>PdC compatta / AC senza RC (solo AC)</v>
      </c>
      <c r="C583" s="835">
        <v>42</v>
      </c>
      <c r="D583" s="819"/>
      <c r="E583" s="820"/>
      <c r="F583" s="821"/>
      <c r="G583" s="819"/>
      <c r="H583" s="822"/>
      <c r="J583" s="760" t="s">
        <v>1178</v>
      </c>
      <c r="K583" s="756" t="s">
        <v>1179</v>
      </c>
      <c r="M583" s="756"/>
      <c r="N583" s="760"/>
      <c r="O583" s="852"/>
      <c r="P583" s="756"/>
      <c r="Q583" s="760" t="s">
        <v>1178</v>
      </c>
      <c r="R583" s="756" t="s">
        <v>1179</v>
      </c>
      <c r="S583" s="759"/>
      <c r="T583" s="756"/>
      <c r="U583" s="760"/>
      <c r="V583" s="764"/>
      <c r="W583" s="756"/>
      <c r="X583" s="760" t="s">
        <v>1178</v>
      </c>
      <c r="Y583" s="756" t="s">
        <v>1179</v>
      </c>
      <c r="Z583" s="759"/>
      <c r="AA583" s="777"/>
      <c r="AB583" s="776"/>
      <c r="AC583" s="934"/>
      <c r="AD583" s="777"/>
      <c r="AE583" s="776" t="s">
        <v>1178</v>
      </c>
      <c r="AF583" s="777" t="s">
        <v>1179</v>
      </c>
      <c r="AG583" s="759"/>
      <c r="AH583" s="777"/>
      <c r="AI583" s="776"/>
      <c r="AJ583" s="934"/>
      <c r="AK583" s="777"/>
      <c r="AL583" s="776" t="s">
        <v>1178</v>
      </c>
      <c r="AM583" s="777" t="s">
        <v>1179</v>
      </c>
    </row>
    <row r="584" spans="1:39">
      <c r="A584" s="757">
        <v>575</v>
      </c>
      <c r="B584" s="778" t="s">
        <v>526</v>
      </c>
      <c r="C584" s="830"/>
      <c r="D584" s="779"/>
      <c r="E584" s="312"/>
      <c r="F584" s="313">
        <f>INDEX($M$10:$AM$162,$A$10+(_typ1-1)*14,1)</f>
        <v>0</v>
      </c>
      <c r="G584" s="780"/>
      <c r="H584" s="781"/>
      <c r="J584" s="782">
        <f>INDEX(Standardwerte!$Y$6:$Z$51,$C583,2)</f>
        <v>0</v>
      </c>
      <c r="K584" s="783">
        <f>INDEX(Standardwerte!$Y$6:$Z$51,$C583,1)</f>
        <v>1</v>
      </c>
      <c r="M584" s="315">
        <f>Produzione!$G$8</f>
        <v>0</v>
      </c>
      <c r="N584" s="764"/>
      <c r="O584" s="852"/>
      <c r="P584" s="756"/>
      <c r="Q584" s="756"/>
      <c r="R584" s="756"/>
      <c r="S584" s="759"/>
      <c r="T584" s="315">
        <f>Produzione!$G$22</f>
        <v>0</v>
      </c>
      <c r="U584" s="764"/>
      <c r="V584" s="764"/>
      <c r="W584" s="756"/>
      <c r="X584" s="756"/>
      <c r="Y584" s="756"/>
      <c r="Z584" s="759"/>
      <c r="AA584" s="315">
        <f>Produzione!$G$36</f>
        <v>0</v>
      </c>
      <c r="AB584" s="764"/>
      <c r="AC584" s="764"/>
      <c r="AD584" s="756"/>
      <c r="AE584" s="756"/>
      <c r="AF584" s="756"/>
      <c r="AG584" s="759"/>
      <c r="AH584" s="315">
        <f>Produzione!$G$50</f>
        <v>0</v>
      </c>
      <c r="AI584" s="764"/>
      <c r="AJ584" s="764"/>
      <c r="AK584" s="756"/>
      <c r="AL584" s="756"/>
      <c r="AM584" s="756"/>
    </row>
    <row r="585" spans="1:39">
      <c r="A585" s="757">
        <v>576</v>
      </c>
      <c r="B585" s="784" t="s">
        <v>697</v>
      </c>
      <c r="C585" s="794" t="s">
        <v>776</v>
      </c>
      <c r="E585" s="786"/>
      <c r="F585" s="809">
        <f>INDEX(Standardwerte!$W$6:$W$51,$C583,1)</f>
        <v>2.5</v>
      </c>
      <c r="G585" s="787"/>
      <c r="H585" s="788"/>
      <c r="J585" s="782"/>
      <c r="K585" s="783"/>
      <c r="M585" s="315">
        <f>Produzione!$G$10</f>
        <v>0</v>
      </c>
      <c r="N585" s="764"/>
      <c r="O585" s="1544">
        <f>F585</f>
        <v>2.5</v>
      </c>
      <c r="P585" s="756"/>
      <c r="Q585" s="756"/>
      <c r="R585" s="756"/>
      <c r="S585" s="759"/>
      <c r="T585" s="315">
        <f>Produzione!$G$24</f>
        <v>0</v>
      </c>
      <c r="U585" s="764"/>
      <c r="V585" s="1544">
        <f>F585</f>
        <v>2.5</v>
      </c>
      <c r="W585" s="756"/>
      <c r="X585" s="756"/>
      <c r="Y585" s="756"/>
      <c r="Z585" s="759"/>
      <c r="AA585" s="315">
        <f>Produzione!$G$38</f>
        <v>0</v>
      </c>
      <c r="AB585" s="764"/>
      <c r="AC585" s="1544">
        <f>F585</f>
        <v>2.5</v>
      </c>
      <c r="AD585" s="756"/>
      <c r="AE585" s="756"/>
      <c r="AF585" s="756"/>
      <c r="AG585" s="759"/>
      <c r="AH585" s="315">
        <f>Produzione!$G$52</f>
        <v>0</v>
      </c>
      <c r="AI585" s="764"/>
      <c r="AJ585" s="1544">
        <f>F585</f>
        <v>2.5</v>
      </c>
      <c r="AK585" s="756"/>
      <c r="AL585" s="756"/>
      <c r="AM585" s="756"/>
    </row>
    <row r="586" spans="1:39">
      <c r="A586" s="757">
        <v>577</v>
      </c>
      <c r="B586" s="789" t="s">
        <v>698</v>
      </c>
      <c r="C586" s="794" t="s">
        <v>776</v>
      </c>
      <c r="D586" s="786"/>
      <c r="E586" s="786" t="str">
        <f>IF(OR(M585&gt;O585,T585&gt;V585,AA585&gt;AC585,AH585&gt;AJ585),"","")</f>
        <v/>
      </c>
      <c r="F586" s="1344"/>
      <c r="G586" s="792"/>
      <c r="H586" s="793"/>
      <c r="J586" s="782"/>
      <c r="K586" s="783"/>
      <c r="L586" s="770">
        <v>1</v>
      </c>
      <c r="M586" s="756"/>
      <c r="N586" s="766"/>
      <c r="O586" s="854"/>
      <c r="P586" s="756"/>
      <c r="Q586" s="756"/>
      <c r="R586" s="756"/>
      <c r="S586" s="759"/>
      <c r="T586" s="756"/>
      <c r="U586" s="766"/>
      <c r="V586" s="767"/>
      <c r="W586" s="756"/>
      <c r="X586" s="756"/>
      <c r="Y586" s="756"/>
      <c r="Z586" s="759"/>
      <c r="AA586" s="756"/>
      <c r="AB586" s="766"/>
      <c r="AC586" s="767"/>
      <c r="AD586" s="756"/>
      <c r="AE586" s="756"/>
      <c r="AF586" s="756"/>
      <c r="AG586" s="759"/>
      <c r="AH586" s="756"/>
      <c r="AI586" s="766"/>
      <c r="AJ586" s="767"/>
      <c r="AK586" s="756"/>
      <c r="AL586" s="756"/>
      <c r="AM586" s="756"/>
    </row>
    <row r="587" spans="1:39">
      <c r="A587" s="757">
        <v>578</v>
      </c>
      <c r="B587" s="789" t="s">
        <v>699</v>
      </c>
      <c r="C587" s="794" t="s">
        <v>776</v>
      </c>
      <c r="D587" s="786"/>
      <c r="E587" s="786"/>
      <c r="F587" s="791"/>
      <c r="G587" s="303"/>
      <c r="H587" s="316"/>
      <c r="J587" s="782"/>
      <c r="K587" s="783"/>
      <c r="M587" s="756"/>
      <c r="N587" s="321"/>
      <c r="O587" s="855" t="str">
        <f>IF(M585&lt;&gt;0,M585,IF(Produzione!$E$10&lt;&gt;"",Produzione!$E$10,Produzione!$G$9))</f>
        <v/>
      </c>
      <c r="P587" s="756"/>
      <c r="Q587" s="756"/>
      <c r="R587" s="756"/>
      <c r="S587" s="759"/>
      <c r="T587" s="756"/>
      <c r="U587" s="321"/>
      <c r="V587" s="322" t="str">
        <f>IF(T585&lt;&gt;0,T585,IF(Produzione!$E$24&lt;&gt;"",Produzione!$E$24,Produzione!$G$23))</f>
        <v/>
      </c>
      <c r="W587" s="756"/>
      <c r="X587" s="756"/>
      <c r="Y587" s="756"/>
      <c r="Z587" s="759"/>
      <c r="AA587" s="756"/>
      <c r="AB587" s="321"/>
      <c r="AC587" s="322" t="str">
        <f>IF(AA585&lt;&gt;0,AA585,IF(Produzione!$E$38&lt;&gt;"",Produzione!$E$38,Produzione!$G$37))</f>
        <v/>
      </c>
      <c r="AD587" s="756"/>
      <c r="AE587" s="756"/>
      <c r="AF587" s="756"/>
      <c r="AG587" s="759"/>
      <c r="AH587" s="756"/>
      <c r="AI587" s="321"/>
      <c r="AJ587" s="322" t="str">
        <f>IF(AH585&lt;&gt;0,AH585,IF(Produzione!$E$52&lt;&gt;"",Produzione!$E$52,Produzione!$G$51))</f>
        <v/>
      </c>
      <c r="AK587" s="756"/>
      <c r="AL587" s="756"/>
      <c r="AM587" s="756"/>
    </row>
    <row r="588" spans="1:39">
      <c r="A588" s="757">
        <v>579</v>
      </c>
      <c r="B588" s="789" t="s">
        <v>51</v>
      </c>
      <c r="C588" s="790" t="s">
        <v>761</v>
      </c>
      <c r="D588" s="787"/>
      <c r="E588" s="795"/>
      <c r="F588" s="1344"/>
      <c r="G588" s="796"/>
      <c r="H588" s="797"/>
      <c r="J588" s="782"/>
      <c r="K588" s="783"/>
      <c r="L588" s="770">
        <v>2</v>
      </c>
      <c r="M588" s="315">
        <f>Produzione!$G$12</f>
        <v>0</v>
      </c>
      <c r="N588" s="758"/>
      <c r="O588" s="854"/>
      <c r="P588" s="756"/>
      <c r="Q588" s="756"/>
      <c r="R588" s="756"/>
      <c r="S588" s="759"/>
      <c r="T588" s="315">
        <f>Produzione!$G$26</f>
        <v>0</v>
      </c>
      <c r="U588" s="758"/>
      <c r="V588" s="758"/>
      <c r="W588" s="756"/>
      <c r="X588" s="756"/>
      <c r="Y588" s="756"/>
      <c r="Z588" s="759"/>
      <c r="AA588" s="315">
        <f>Produzione!$G$40</f>
        <v>0</v>
      </c>
      <c r="AB588" s="758"/>
      <c r="AC588" s="758"/>
      <c r="AD588" s="756"/>
      <c r="AE588" s="756"/>
      <c r="AF588" s="756"/>
      <c r="AG588" s="759"/>
      <c r="AH588" s="315">
        <f>Produzione!$G$54</f>
        <v>0</v>
      </c>
      <c r="AI588" s="758"/>
      <c r="AJ588" s="758"/>
      <c r="AK588" s="756"/>
      <c r="AL588" s="756"/>
      <c r="AM588" s="756"/>
    </row>
    <row r="589" spans="1:39">
      <c r="A589" s="757">
        <v>580</v>
      </c>
      <c r="B589" s="789" t="str">
        <f>IF(J584=1,"fabbisogno di potenza termica dell'edificio","")</f>
        <v/>
      </c>
      <c r="C589" s="790" t="str">
        <f>IF(J584=1,"kW","")</f>
        <v/>
      </c>
      <c r="D589" s="796"/>
      <c r="E589" s="795"/>
      <c r="F589" s="1344"/>
      <c r="G589" s="787"/>
      <c r="H589" s="798"/>
      <c r="J589" s="782"/>
      <c r="K589" s="783"/>
      <c r="L589" s="770">
        <v>2</v>
      </c>
      <c r="M589" s="315">
        <f>Produzione!$G$13</f>
        <v>0</v>
      </c>
      <c r="N589" s="764"/>
      <c r="O589" s="852"/>
      <c r="P589" s="756"/>
      <c r="Q589" s="756"/>
      <c r="R589" s="756"/>
      <c r="S589" s="759"/>
      <c r="T589" s="315">
        <f>Produzione!$G$27</f>
        <v>0</v>
      </c>
      <c r="U589" s="764"/>
      <c r="V589" s="768"/>
      <c r="W589" s="756"/>
      <c r="X589" s="756"/>
      <c r="Y589" s="756"/>
      <c r="Z589" s="759"/>
      <c r="AA589" s="315">
        <f>Produzione!$G$41</f>
        <v>0</v>
      </c>
      <c r="AB589" s="764"/>
      <c r="AC589" s="768"/>
      <c r="AD589" s="756"/>
      <c r="AE589" s="756"/>
      <c r="AF589" s="756"/>
      <c r="AG589" s="759"/>
      <c r="AH589" s="315">
        <f>Produzione!$G$55</f>
        <v>0</v>
      </c>
      <c r="AI589" s="764"/>
      <c r="AJ589" s="768"/>
      <c r="AK589" s="756"/>
      <c r="AL589" s="756"/>
      <c r="AM589" s="756"/>
    </row>
    <row r="590" spans="1:39">
      <c r="A590" s="757">
        <v>581</v>
      </c>
      <c r="B590" s="799" t="str">
        <f>IF(J584=1,"Temperatura di mandata riscaldamento","")</f>
        <v/>
      </c>
      <c r="C590" s="831" t="str">
        <f>IF(J584=1,"°C","")</f>
        <v/>
      </c>
      <c r="D590" s="786"/>
      <c r="E590" s="786"/>
      <c r="F590" s="1344"/>
      <c r="G590" s="787"/>
      <c r="H590" s="800"/>
      <c r="J590" s="782"/>
      <c r="K590" s="783"/>
      <c r="L590" s="770">
        <v>2</v>
      </c>
      <c r="M590" s="315">
        <f>Produzione!$G$14</f>
        <v>0</v>
      </c>
      <c r="N590" s="764"/>
      <c r="P590" s="756"/>
      <c r="Q590" s="756"/>
      <c r="R590" s="756"/>
      <c r="S590" s="759"/>
      <c r="T590" s="315">
        <f>Produzione!$G$28</f>
        <v>0</v>
      </c>
      <c r="U590" s="764"/>
      <c r="W590" s="756"/>
      <c r="X590" s="756"/>
      <c r="Y590" s="756"/>
      <c r="Z590" s="759"/>
      <c r="AA590" s="315">
        <f>Produzione!$G$42</f>
        <v>0</v>
      </c>
      <c r="AB590" s="764"/>
      <c r="AD590" s="756"/>
      <c r="AE590" s="756"/>
      <c r="AF590" s="756"/>
      <c r="AG590" s="759"/>
      <c r="AH590" s="315">
        <f>Produzione!$G$56</f>
        <v>0</v>
      </c>
      <c r="AI590" s="764"/>
      <c r="AK590" s="756"/>
      <c r="AL590" s="756"/>
      <c r="AM590" s="756"/>
    </row>
    <row r="591" spans="1:39">
      <c r="A591" s="757">
        <v>582</v>
      </c>
      <c r="B591" s="799" t="str">
        <f>IF(AND(Warmwasser,K584=1),"Temperatura acqua calda sanitaria","")</f>
        <v/>
      </c>
      <c r="C591" s="831" t="str">
        <f>IF(AND(Warmwasser,K584=1),"°C","")</f>
        <v/>
      </c>
      <c r="D591" s="786"/>
      <c r="E591" s="786"/>
      <c r="F591" s="1344"/>
      <c r="G591" s="796"/>
      <c r="H591" s="788"/>
      <c r="J591" s="782"/>
      <c r="K591" s="783"/>
      <c r="M591" s="315">
        <f>Produzione!$G$15</f>
        <v>0</v>
      </c>
      <c r="N591" s="758"/>
      <c r="O591" s="853"/>
      <c r="P591" s="756"/>
      <c r="Q591" s="756"/>
      <c r="R591" s="756" t="str">
        <f>IF(AND($K584=0,R594&lt;&gt;0),"Heizung ausgewählt",IF(AND($J584=0,Q566&gt;0),"Warmwasser ausgewählt",""))</f>
        <v/>
      </c>
      <c r="S591" s="759"/>
      <c r="T591" s="315">
        <f>Produzione!$G$29</f>
        <v>0</v>
      </c>
      <c r="U591" s="758"/>
      <c r="V591" s="765"/>
      <c r="W591" s="756"/>
      <c r="X591" s="756"/>
      <c r="Y591" s="756" t="str">
        <f>IF(AND($K584=0,Y594&lt;&gt;0),"Heizung ausgewählt",IF(AND($J584=0,X566&gt;0),"Warmwasser ausgewählt",""))</f>
        <v/>
      </c>
      <c r="Z591" s="759"/>
      <c r="AA591" s="315">
        <f>Produzione!$G$43</f>
        <v>0</v>
      </c>
      <c r="AB591" s="758"/>
      <c r="AC591" s="765"/>
      <c r="AD591" s="756"/>
      <c r="AE591" s="756"/>
      <c r="AF591" s="756" t="str">
        <f>IF(AND($K584=0,AF594&lt;&gt;0),"Heizung ausgewählt",IF(AND($J584=0,AE566&gt;0),"Warmwasser ausgewählt",""))</f>
        <v/>
      </c>
      <c r="AG591" s="759"/>
      <c r="AH591" s="315">
        <f>Produzione!$G$57</f>
        <v>0</v>
      </c>
      <c r="AI591" s="758"/>
      <c r="AJ591" s="765"/>
      <c r="AK591" s="756"/>
      <c r="AL591" s="756"/>
      <c r="AM591" s="756" t="str">
        <f>IF(AND($K584=0,AM594&lt;&gt;0),"Heizung ausgewählt",IF(AND($J584=0,AL566&gt;0),"Warmwasser ausgewählt",""))</f>
        <v/>
      </c>
    </row>
    <row r="592" spans="1:39">
      <c r="A592" s="757">
        <v>583</v>
      </c>
      <c r="B592" s="799" t="s">
        <v>1374</v>
      </c>
      <c r="C592" s="790" t="s">
        <v>410</v>
      </c>
      <c r="D592" s="795"/>
      <c r="E592" s="795"/>
      <c r="F592" s="791"/>
      <c r="G592" s="303"/>
      <c r="H592" s="317"/>
      <c r="J592" s="801"/>
      <c r="K592" s="802"/>
      <c r="M592" s="756"/>
      <c r="N592" s="321"/>
      <c r="O592" s="849">
        <f>IF(O587="",,R592/100*qw/O587+Q592/100*qh/3.6/O587)</f>
        <v>0</v>
      </c>
      <c r="P592" s="756"/>
      <c r="Q592" s="756">
        <f>IF(AND(Q594&lt;&gt;0,Q593=0),Q594,IF(Q594&lt;&gt;0,MIN(Q594,Q593),Q593))*$J584</f>
        <v>0</v>
      </c>
      <c r="R592" s="756">
        <f>IF(AND(R594&lt;&gt;0,R593=0),R594,IF(R594&lt;&gt;0,MIN(R594,R593),R593))*$K584</f>
        <v>0</v>
      </c>
      <c r="S592" s="759"/>
      <c r="T592" s="756"/>
      <c r="U592" s="321"/>
      <c r="V592" s="847">
        <f>IF(V587="",,Y592/100*qw/V587+X592/100*qh/3.6/V587)</f>
        <v>0</v>
      </c>
      <c r="W592" s="756"/>
      <c r="X592" s="756">
        <f>IF(AND(X594&lt;&gt;0,X593=0),X594,IF(X594&lt;&gt;0,MIN(X594,X593),X593))*J584</f>
        <v>0</v>
      </c>
      <c r="Y592" s="756">
        <f>IF(AND(Y594&lt;&gt;0,Y593=0),Y594,IF(Y594&lt;&gt;0,MIN(Y594,Y593),Y593))*$K584</f>
        <v>0</v>
      </c>
      <c r="Z592" s="759"/>
      <c r="AA592" s="756"/>
      <c r="AB592" s="321"/>
      <c r="AC592" s="847">
        <f>IF(AC587="",,AF592/100*qw/AC587+AE592/100*qh/3.6/AC587)</f>
        <v>0</v>
      </c>
      <c r="AD592" s="756"/>
      <c r="AE592" s="756">
        <f>IF(AND(AE594&lt;&gt;0,AE593=0),AE594,IF(AE594&lt;&gt;0,MIN(AE594,AE593),AE593))*J584</f>
        <v>0</v>
      </c>
      <c r="AF592" s="756">
        <f>IF(AND(AF594&lt;&gt;0,AF593=0),AF594,IF(AF594&lt;&gt;0,MIN(AF594,AF593),AF593))*$K584</f>
        <v>0</v>
      </c>
      <c r="AG592" s="759"/>
      <c r="AH592" s="756"/>
      <c r="AI592" s="321"/>
      <c r="AJ592" s="847">
        <f>IF(AJ587="",,AM592/100*qw/AJ587+AL592/100*qh/3.6/AJ587)</f>
        <v>0</v>
      </c>
      <c r="AK592" s="756"/>
      <c r="AL592" s="756">
        <f>IF(AND(AL594&lt;&gt;0,AL593=0),AL594,IF(AL594&lt;&gt;0,MIN(AL594,AL593),AL593))*J584</f>
        <v>0</v>
      </c>
      <c r="AM592" s="756">
        <f>IF(AND(AM594&lt;&gt;0,AM593=0),AM594,IF(AM594&lt;&gt;0,MIN(AM594,AM593),AM593))*$K584</f>
        <v>0</v>
      </c>
    </row>
    <row r="593" spans="1:39">
      <c r="A593" s="757">
        <v>584</v>
      </c>
      <c r="B593" s="789" t="s">
        <v>652</v>
      </c>
      <c r="C593" s="1545" t="s">
        <v>410</v>
      </c>
      <c r="D593" s="795"/>
      <c r="E593" s="786"/>
      <c r="F593" s="792"/>
      <c r="G593" s="303"/>
      <c r="H593" s="318"/>
      <c r="J593" s="803"/>
      <c r="K593" s="804"/>
      <c r="M593" s="758"/>
      <c r="N593" s="321"/>
      <c r="O593" s="845">
        <f>IF(O587=0,,(Q592/100*qh/3.6+R592/100*qw))</f>
        <v>0</v>
      </c>
      <c r="P593" s="756"/>
      <c r="Q593" s="756">
        <f>IF(M589&gt;0,(1-MIN((1-MIN((1-MIN(MIN(R592,R594)/100*qw*EBF/8760/M588/O587*1000,1))*M588*O587/1000/M589,1))^2,1))*100,0)*$J584</f>
        <v>0</v>
      </c>
      <c r="R593" s="756">
        <f>IF(EBF&gt;0,(0.9*MIN(M588/1000*O587/qw/EBF*8760,1))*100*$K584,)</f>
        <v>0</v>
      </c>
      <c r="S593" s="759"/>
      <c r="T593" s="756"/>
      <c r="U593" s="321"/>
      <c r="V593" s="845">
        <f>IF(V587=0,,(X592/100*qh/3.6+Y592/100*qw))</f>
        <v>0</v>
      </c>
      <c r="W593" s="756"/>
      <c r="X593" s="756">
        <f>IF(T589&gt;0,(1-MIN((1-MIN((1-MIN(MIN(Y592,Y594)/100*qw*EBF/8760/T588/V587*1000,1))*T588*V587/1000/T589,1))^2,1))*100,0)*$J584</f>
        <v>0</v>
      </c>
      <c r="Y593" s="756">
        <f>IF(EBF&gt;0,(0.9*MIN(T588/1000*V587/qw/EBF*8760,1))*100*$K584,)</f>
        <v>0</v>
      </c>
      <c r="Z593" s="759"/>
      <c r="AA593" s="758"/>
      <c r="AB593" s="321"/>
      <c r="AC593" s="845">
        <f>IF(AC587=0,,(AE592/100*qh/3.6+AF592/100*qw))</f>
        <v>0</v>
      </c>
      <c r="AD593" s="756"/>
      <c r="AE593" s="756">
        <f>IF(AA589&gt;0,(1-MIN((1-MIN((1-MIN(MIN(AF592,AF594)/100*qw*EBF/8760/AA588/AC587*1000,1))*AA588*AC587/1000/AA589,1))^2,1))*100,0)*$J584</f>
        <v>0</v>
      </c>
      <c r="AF593" s="756">
        <f>IF(EBF&gt;0,(0.9*MIN(AA588/1000*AC587/qw/EBF*8760,1))*100*$K584,)</f>
        <v>0</v>
      </c>
      <c r="AG593" s="759"/>
      <c r="AH593" s="758"/>
      <c r="AI593" s="321"/>
      <c r="AJ593" s="845">
        <f>IF(AJ587=0,,(AL592/100*qh/3.6+AM592/100*qw))</f>
        <v>0</v>
      </c>
      <c r="AK593" s="756"/>
      <c r="AL593" s="756">
        <f>IF(AH589&gt;0,(1-MIN((1-MIN((1-MIN(MIN(AM592,AM594)/100*qw*EBF/8760/AH588/AJ587*1000,1))*AH588*AJ587/1000/AH589,1))^2,1))*100,0)*$J584</f>
        <v>0</v>
      </c>
      <c r="AM593" s="756">
        <f>IF(EBF&gt;0,(0.9*MIN(AH588/1000*AJ587/qw/EBF*8760,1))*100*$K584,)</f>
        <v>0</v>
      </c>
    </row>
    <row r="594" spans="1:39">
      <c r="A594" s="757">
        <v>585</v>
      </c>
      <c r="B594" s="824"/>
      <c r="C594" s="1546"/>
      <c r="D594" s="806"/>
      <c r="E594" s="806"/>
      <c r="F594" s="774"/>
      <c r="G594" s="319"/>
      <c r="H594" s="320"/>
      <c r="J594" s="807"/>
      <c r="K594" s="808"/>
      <c r="M594" s="756"/>
      <c r="N594" s="325"/>
      <c r="O594" s="858"/>
      <c r="P594" s="756"/>
      <c r="Q594" s="315">
        <f>Produzione!$K$18</f>
        <v>0</v>
      </c>
      <c r="R594" s="315">
        <f>Produzione!$L$18</f>
        <v>0</v>
      </c>
      <c r="S594" s="759"/>
      <c r="T594" s="756"/>
      <c r="U594" s="325"/>
      <c r="V594" s="325"/>
      <c r="W594" s="756"/>
      <c r="X594" s="315">
        <f>Produzione!$K$32</f>
        <v>0</v>
      </c>
      <c r="Y594" s="315">
        <f>Produzione!$L$32</f>
        <v>0</v>
      </c>
      <c r="Z594" s="759"/>
      <c r="AA594" s="756"/>
      <c r="AB594" s="325"/>
      <c r="AC594" s="325"/>
      <c r="AD594" s="756"/>
      <c r="AE594" s="315">
        <f>Produzione!$K$46</f>
        <v>0</v>
      </c>
      <c r="AF594" s="315">
        <f>Produzione!$L$46</f>
        <v>0</v>
      </c>
      <c r="AG594" s="759"/>
      <c r="AH594" s="756"/>
      <c r="AI594" s="325"/>
      <c r="AJ594" s="325"/>
      <c r="AK594" s="756"/>
      <c r="AL594" s="315">
        <f>Produzione!$K$60</f>
        <v>0</v>
      </c>
      <c r="AM594" s="315">
        <f>Produzione!$L$60</f>
        <v>0</v>
      </c>
    </row>
    <row r="595" spans="1:39">
      <c r="A595" s="757">
        <v>586</v>
      </c>
      <c r="B595" s="759"/>
      <c r="C595" s="833"/>
      <c r="D595" s="759"/>
      <c r="E595" s="759"/>
      <c r="F595" s="817"/>
      <c r="G595" s="759"/>
      <c r="H595" s="759"/>
      <c r="I595" s="759"/>
      <c r="J595" s="759"/>
      <c r="Q595" s="761" t="str">
        <f>IF(AND(R594="",R593=""),"",IF(R594&gt;R593,"tasso troppo alto",IF(AND(Q594="",Q593=""),"",IF(Q594&gt;Q593,"tasso troppo alto",""))))</f>
        <v/>
      </c>
      <c r="S595" s="759"/>
      <c r="X595" s="761" t="str">
        <f>IF(AND(Y594="",Y593=""),"",IF(Y594&gt;Y593,"tasso troppo alto",IF(AND(X594="",X593=""),"",IF(X594&gt;X593,"tasso troppo alto",""))))</f>
        <v/>
      </c>
      <c r="Z595" s="759"/>
      <c r="AE595" s="761" t="str">
        <f>IF(AND(AF594="",AF593=""),"",IF(AF594&gt;AF593,"tasso troppo alto",IF(AND(AE594="",AE593=""),"",IF(AE594&gt;AE593,"tasso troppo alto",""))))</f>
        <v/>
      </c>
      <c r="AG595" s="759"/>
      <c r="AL595" s="761" t="str">
        <f>IF(AND(AM594="",AM593=""),"",IF(AM594&gt;AM593,"tasso troppo alto",IF(AND(AL594="",AL593=""),"",IF(AL594&gt;AL593,"tasso troppo alto",""))))</f>
        <v/>
      </c>
    </row>
    <row r="596" spans="1:39">
      <c r="A596" s="757">
        <v>587</v>
      </c>
      <c r="B596" s="755"/>
      <c r="C596" s="834"/>
      <c r="D596" s="762"/>
      <c r="E596" s="762"/>
      <c r="G596" s="762"/>
      <c r="H596" s="818"/>
      <c r="J596" s="762" t="s">
        <v>1177</v>
      </c>
      <c r="N596" s="762"/>
      <c r="O596" s="860"/>
      <c r="P596" s="759"/>
      <c r="Q596" s="762" t="s">
        <v>1177</v>
      </c>
      <c r="R596" s="759"/>
      <c r="S596" s="759"/>
      <c r="T596" s="759"/>
      <c r="U596" s="762"/>
      <c r="V596" s="769"/>
      <c r="W596" s="759"/>
      <c r="X596" s="762" t="s">
        <v>1177</v>
      </c>
      <c r="Y596" s="759"/>
      <c r="Z596" s="759"/>
      <c r="AA596" s="759"/>
      <c r="AB596" s="762"/>
      <c r="AC596" s="769"/>
      <c r="AD596" s="759"/>
      <c r="AE596" s="762" t="s">
        <v>1177</v>
      </c>
      <c r="AF596" s="759"/>
      <c r="AG596" s="759"/>
      <c r="AH596" s="759"/>
      <c r="AI596" s="762"/>
      <c r="AJ596" s="769"/>
      <c r="AK596" s="759"/>
      <c r="AL596" s="762" t="s">
        <v>1177</v>
      </c>
      <c r="AM596" s="759"/>
    </row>
    <row r="597" spans="1:39">
      <c r="A597" s="757">
        <v>588</v>
      </c>
      <c r="B597" s="772" t="str">
        <f>INDEX(Standardwerte!$V$6:$V$51,Rechnung!$C597,1)</f>
        <v>Biomassa , impianto idraulico integrato</v>
      </c>
      <c r="C597" s="835">
        <v>43</v>
      </c>
      <c r="D597" s="819"/>
      <c r="E597" s="820"/>
      <c r="F597" s="821"/>
      <c r="G597" s="819"/>
      <c r="H597" s="822"/>
      <c r="J597" s="760" t="s">
        <v>1178</v>
      </c>
      <c r="K597" s="756" t="s">
        <v>1179</v>
      </c>
      <c r="M597" s="756"/>
      <c r="N597" s="760"/>
      <c r="O597" s="852"/>
      <c r="P597" s="756"/>
      <c r="Q597" s="760" t="s">
        <v>1178</v>
      </c>
      <c r="R597" s="756" t="s">
        <v>1179</v>
      </c>
      <c r="S597" s="759"/>
      <c r="T597" s="756"/>
      <c r="U597" s="760"/>
      <c r="V597" s="764"/>
      <c r="W597" s="756"/>
      <c r="X597" s="760" t="s">
        <v>1178</v>
      </c>
      <c r="Y597" s="756" t="s">
        <v>1179</v>
      </c>
      <c r="Z597" s="759"/>
      <c r="AA597" s="756"/>
      <c r="AB597" s="760"/>
      <c r="AC597" s="764"/>
      <c r="AD597" s="756"/>
      <c r="AE597" s="760" t="s">
        <v>1178</v>
      </c>
      <c r="AF597" s="756" t="s">
        <v>1179</v>
      </c>
      <c r="AG597" s="759"/>
      <c r="AH597" s="756"/>
      <c r="AI597" s="760"/>
      <c r="AJ597" s="764"/>
      <c r="AK597" s="756"/>
      <c r="AL597" s="760" t="s">
        <v>1178</v>
      </c>
      <c r="AM597" s="756" t="s">
        <v>1179</v>
      </c>
    </row>
    <row r="598" spans="1:39">
      <c r="A598" s="757">
        <v>589</v>
      </c>
      <c r="B598" s="778" t="s">
        <v>526</v>
      </c>
      <c r="C598" s="830"/>
      <c r="D598" s="779"/>
      <c r="E598" s="312"/>
      <c r="F598" s="313">
        <f>INDEX($M$10:$AM$162,$A$10+(_typ1-1)*14,1)</f>
        <v>0</v>
      </c>
      <c r="G598" s="780"/>
      <c r="H598" s="781"/>
      <c r="J598" s="782">
        <f>INDEX(Standardwerte!$Y$6:$Z$51,$C597,2)</f>
        <v>1</v>
      </c>
      <c r="K598" s="783">
        <f>INDEX(Standardwerte!$Y$6:$Z$51,$C597,1)</f>
        <v>1</v>
      </c>
      <c r="M598" s="315">
        <f>Produzione!$G$8</f>
        <v>0</v>
      </c>
      <c r="N598" s="764"/>
      <c r="O598" s="852"/>
      <c r="P598" s="756"/>
      <c r="Q598" s="756"/>
      <c r="R598" s="756"/>
      <c r="S598" s="759"/>
      <c r="T598" s="315">
        <f>Produzione!$G$22</f>
        <v>0</v>
      </c>
      <c r="U598" s="764"/>
      <c r="V598" s="764"/>
      <c r="W598" s="756"/>
      <c r="X598" s="756"/>
      <c r="Y598" s="756"/>
      <c r="Z598" s="759"/>
      <c r="AA598" s="315">
        <f>Produzione!$G$36</f>
        <v>0</v>
      </c>
      <c r="AB598" s="764"/>
      <c r="AC598" s="764"/>
      <c r="AD598" s="756"/>
      <c r="AE598" s="756"/>
      <c r="AF598" s="756"/>
      <c r="AG598" s="759"/>
      <c r="AH598" s="315">
        <f>Produzione!$G$50</f>
        <v>0</v>
      </c>
      <c r="AI598" s="764"/>
      <c r="AJ598" s="764"/>
      <c r="AK598" s="756"/>
      <c r="AL598" s="756"/>
      <c r="AM598" s="756"/>
    </row>
    <row r="599" spans="1:39">
      <c r="A599" s="757">
        <v>590</v>
      </c>
      <c r="B599" s="784" t="s">
        <v>1193</v>
      </c>
      <c r="C599" s="831" t="s">
        <v>584</v>
      </c>
      <c r="E599" s="786"/>
      <c r="F599" s="809">
        <f>INDEX(Standardwerte!$W$6:$W$51,$C597,1)</f>
        <v>75</v>
      </c>
      <c r="G599" s="787"/>
      <c r="H599" s="788"/>
      <c r="J599" s="782"/>
      <c r="K599" s="783"/>
      <c r="M599" s="315">
        <f>Produzione!$G$10</f>
        <v>0</v>
      </c>
      <c r="N599" s="764"/>
      <c r="O599" s="861">
        <f>F599</f>
        <v>75</v>
      </c>
      <c r="P599" s="756"/>
      <c r="Q599" s="756"/>
      <c r="R599" s="756"/>
      <c r="S599" s="759"/>
      <c r="T599" s="315">
        <f>Produzione!$G$24</f>
        <v>0</v>
      </c>
      <c r="U599" s="764"/>
      <c r="V599" s="28">
        <f>F599</f>
        <v>75</v>
      </c>
      <c r="W599" s="756"/>
      <c r="X599" s="756"/>
      <c r="Y599" s="756"/>
      <c r="Z599" s="759"/>
      <c r="AA599" s="315">
        <f>Produzione!$G$38</f>
        <v>0</v>
      </c>
      <c r="AB599" s="764"/>
      <c r="AC599" s="28">
        <f>F599</f>
        <v>75</v>
      </c>
      <c r="AD599" s="756"/>
      <c r="AE599" s="756"/>
      <c r="AF599" s="756"/>
      <c r="AG599" s="759"/>
      <c r="AH599" s="315">
        <f>Produzione!$G$52</f>
        <v>0</v>
      </c>
      <c r="AI599" s="764"/>
      <c r="AJ599" s="28">
        <f>F599</f>
        <v>75</v>
      </c>
      <c r="AK599" s="756"/>
      <c r="AL599" s="756"/>
      <c r="AM599" s="756"/>
    </row>
    <row r="600" spans="1:39">
      <c r="A600" s="757">
        <v>591</v>
      </c>
      <c r="B600" s="1346" t="s">
        <v>1194</v>
      </c>
      <c r="C600" s="831" t="s">
        <v>584</v>
      </c>
      <c r="D600" s="786"/>
      <c r="E600" s="786"/>
      <c r="F600" s="1344"/>
      <c r="G600" s="792"/>
      <c r="H600" s="793"/>
      <c r="J600" s="782"/>
      <c r="K600" s="783"/>
      <c r="L600" s="770">
        <v>1</v>
      </c>
      <c r="M600" s="756"/>
      <c r="N600" s="766"/>
      <c r="O600" s="854"/>
      <c r="P600" s="756"/>
      <c r="Q600" s="756"/>
      <c r="R600" s="756"/>
      <c r="S600" s="759"/>
      <c r="T600" s="756"/>
      <c r="U600" s="766"/>
      <c r="V600" s="767"/>
      <c r="W600" s="756"/>
      <c r="X600" s="756"/>
      <c r="Y600" s="756"/>
      <c r="Z600" s="759"/>
      <c r="AA600" s="756"/>
      <c r="AB600" s="766"/>
      <c r="AC600" s="767"/>
      <c r="AD600" s="756"/>
      <c r="AE600" s="756"/>
      <c r="AF600" s="756"/>
      <c r="AG600" s="759"/>
      <c r="AH600" s="756"/>
      <c r="AI600" s="766"/>
      <c r="AJ600" s="767"/>
      <c r="AK600" s="756"/>
      <c r="AL600" s="756"/>
      <c r="AM600" s="756"/>
    </row>
    <row r="601" spans="1:39">
      <c r="A601" s="757">
        <v>592</v>
      </c>
      <c r="B601" s="789" t="s">
        <v>527</v>
      </c>
      <c r="C601" s="790" t="s">
        <v>584</v>
      </c>
      <c r="D601" s="786"/>
      <c r="E601" s="786"/>
      <c r="F601" s="791"/>
      <c r="G601" s="303"/>
      <c r="H601" s="316"/>
      <c r="J601" s="782"/>
      <c r="K601" s="783"/>
      <c r="M601" s="756"/>
      <c r="N601" s="321"/>
      <c r="O601" s="855" t="str">
        <f>IF(M599&lt;&gt;0,M599,IF(Produzione!$E$10&lt;&gt;"",Produzione!$E$10,Produzione!$G$9))</f>
        <v/>
      </c>
      <c r="P601" s="756"/>
      <c r="Q601" s="756"/>
      <c r="R601" s="756"/>
      <c r="S601" s="759"/>
      <c r="T601" s="756"/>
      <c r="U601" s="321"/>
      <c r="V601" s="322" t="str">
        <f>IF(T599&lt;&gt;0,T599,IF(Produzione!$E$24&lt;&gt;"",Produzione!$E$24,Produzione!$G$23))</f>
        <v/>
      </c>
      <c r="W601" s="756"/>
      <c r="X601" s="756"/>
      <c r="Y601" s="756"/>
      <c r="Z601" s="759"/>
      <c r="AA601" s="756"/>
      <c r="AB601" s="321"/>
      <c r="AC601" s="322" t="str">
        <f>IF(AA599&lt;&gt;0,AA599,IF(Produzione!$E$38&lt;&gt;"",Produzione!$E$38,Produzione!$G$37))</f>
        <v/>
      </c>
      <c r="AD601" s="756"/>
      <c r="AE601" s="756"/>
      <c r="AF601" s="756"/>
      <c r="AG601" s="759"/>
      <c r="AH601" s="756"/>
      <c r="AI601" s="321"/>
      <c r="AJ601" s="322" t="str">
        <f>IF(AH599&lt;&gt;0,AH599,IF(Produzione!$E$52&lt;&gt;"",Produzione!$E$52,Produzione!$G$51))</f>
        <v/>
      </c>
      <c r="AK601" s="756"/>
      <c r="AL601" s="756"/>
      <c r="AM601" s="756"/>
    </row>
    <row r="602" spans="1:39">
      <c r="A602" s="757">
        <v>593</v>
      </c>
      <c r="B602" s="789" t="s">
        <v>529</v>
      </c>
      <c r="C602" s="790" t="s">
        <v>171</v>
      </c>
      <c r="D602" s="787"/>
      <c r="E602" s="795"/>
      <c r="F602" s="1344"/>
      <c r="G602" s="796"/>
      <c r="H602" s="797"/>
      <c r="J602" s="782"/>
      <c r="K602" s="783"/>
      <c r="L602" s="770">
        <v>1</v>
      </c>
      <c r="M602" s="315">
        <f>Produzione!$G$12</f>
        <v>0</v>
      </c>
      <c r="N602" s="758"/>
      <c r="O602" s="854"/>
      <c r="P602" s="756"/>
      <c r="Q602" s="756"/>
      <c r="R602" s="756"/>
      <c r="S602" s="759"/>
      <c r="T602" s="315">
        <f>Produzione!$G$26</f>
        <v>0</v>
      </c>
      <c r="U602" s="758"/>
      <c r="V602" s="758"/>
      <c r="W602" s="756"/>
      <c r="X602" s="756"/>
      <c r="Y602" s="756"/>
      <c r="Z602" s="759"/>
      <c r="AA602" s="315">
        <f>Produzione!$G$40</f>
        <v>0</v>
      </c>
      <c r="AB602" s="758"/>
      <c r="AC602" s="758"/>
      <c r="AD602" s="756"/>
      <c r="AE602" s="756"/>
      <c r="AF602" s="756"/>
      <c r="AG602" s="759"/>
      <c r="AH602" s="315">
        <f>Produzione!$G$54</f>
        <v>0</v>
      </c>
      <c r="AI602" s="758"/>
      <c r="AJ602" s="758"/>
      <c r="AK602" s="756"/>
      <c r="AL602" s="756"/>
      <c r="AM602" s="756"/>
    </row>
    <row r="603" spans="1:39">
      <c r="A603" s="757">
        <v>594</v>
      </c>
      <c r="B603" s="789" t="s">
        <v>1195</v>
      </c>
      <c r="C603" s="790" t="s">
        <v>583</v>
      </c>
      <c r="D603" s="796"/>
      <c r="E603" s="795"/>
      <c r="F603" s="1344"/>
      <c r="G603" s="787"/>
      <c r="H603" s="798"/>
      <c r="J603" s="782"/>
      <c r="K603" s="783"/>
      <c r="L603" s="770">
        <v>1</v>
      </c>
      <c r="M603" s="315">
        <f>Produzione!$G$13</f>
        <v>0</v>
      </c>
      <c r="N603" s="764"/>
      <c r="O603" s="852"/>
      <c r="P603" s="756"/>
      <c r="Q603" s="756"/>
      <c r="R603" s="756"/>
      <c r="S603" s="759"/>
      <c r="T603" s="315">
        <f>Produzione!$G$27</f>
        <v>0</v>
      </c>
      <c r="U603" s="764"/>
      <c r="V603" s="768"/>
      <c r="W603" s="756"/>
      <c r="X603" s="756"/>
      <c r="Y603" s="756"/>
      <c r="Z603" s="759"/>
      <c r="AA603" s="315">
        <f>Produzione!$G$41</f>
        <v>0</v>
      </c>
      <c r="AB603" s="764"/>
      <c r="AC603" s="768"/>
      <c r="AD603" s="756"/>
      <c r="AE603" s="756"/>
      <c r="AF603" s="756"/>
      <c r="AG603" s="759"/>
      <c r="AH603" s="315">
        <f>Produzione!$G$55</f>
        <v>0</v>
      </c>
      <c r="AI603" s="764"/>
      <c r="AJ603" s="768"/>
      <c r="AK603" s="756"/>
      <c r="AL603" s="756"/>
      <c r="AM603" s="756"/>
    </row>
    <row r="604" spans="1:39">
      <c r="A604" s="757">
        <v>595</v>
      </c>
      <c r="B604" s="799" t="str">
        <f>IF(J598=1,"Temperatura di mandata riscaldamento","")</f>
        <v>Temperatura di mandata riscaldamento</v>
      </c>
      <c r="C604" s="831" t="str">
        <f>IF(J598=1,"°C","")</f>
        <v>°C</v>
      </c>
      <c r="D604" s="786"/>
      <c r="E604" s="786"/>
      <c r="F604" s="1344"/>
      <c r="G604" s="787"/>
      <c r="H604" s="800"/>
      <c r="J604" s="782"/>
      <c r="K604" s="783"/>
      <c r="L604" s="770">
        <v>2</v>
      </c>
      <c r="M604" s="315">
        <f>Produzione!$G$14</f>
        <v>0</v>
      </c>
      <c r="N604" s="764"/>
      <c r="O604" s="852"/>
      <c r="P604" s="756"/>
      <c r="Q604" s="756"/>
      <c r="R604" s="756"/>
      <c r="S604" s="759"/>
      <c r="T604" s="315">
        <f>Produzione!$G$28</f>
        <v>0</v>
      </c>
      <c r="U604" s="764"/>
      <c r="V604" s="764"/>
      <c r="W604" s="756"/>
      <c r="X604" s="756"/>
      <c r="Y604" s="756"/>
      <c r="Z604" s="759"/>
      <c r="AA604" s="315">
        <f>Produzione!$G$42</f>
        <v>0</v>
      </c>
      <c r="AB604" s="764"/>
      <c r="AC604" s="764"/>
      <c r="AD604" s="756"/>
      <c r="AE604" s="756"/>
      <c r="AF604" s="756"/>
      <c r="AG604" s="759"/>
      <c r="AH604" s="315">
        <f>Produzione!$G$56</f>
        <v>0</v>
      </c>
      <c r="AI604" s="764"/>
      <c r="AJ604" s="764"/>
      <c r="AK604" s="756"/>
      <c r="AL604" s="756"/>
      <c r="AM604" s="756"/>
    </row>
    <row r="605" spans="1:39">
      <c r="A605" s="757">
        <v>596</v>
      </c>
      <c r="B605" s="799" t="str">
        <f>IF(AND(Warmwasser,K598=1),"Temperatura acqua calda sanitaria","")</f>
        <v/>
      </c>
      <c r="C605" s="831" t="str">
        <f>IF(AND(Warmwasser,K598=1),"°C","")</f>
        <v/>
      </c>
      <c r="D605" s="786"/>
      <c r="E605" s="786"/>
      <c r="F605" s="1344"/>
      <c r="G605" s="796"/>
      <c r="H605" s="788"/>
      <c r="J605" s="782"/>
      <c r="K605" s="783"/>
      <c r="L605" s="770">
        <v>2</v>
      </c>
      <c r="M605" s="315">
        <f>Produzione!$G$15</f>
        <v>0</v>
      </c>
      <c r="N605" s="758"/>
      <c r="O605" s="853"/>
      <c r="P605" s="756"/>
      <c r="Q605" s="756"/>
      <c r="R605" s="756"/>
      <c r="S605" s="759"/>
      <c r="T605" s="315">
        <f>Produzione!$G$29</f>
        <v>0</v>
      </c>
      <c r="U605" s="758"/>
      <c r="V605" s="765"/>
      <c r="W605" s="756"/>
      <c r="X605" s="756"/>
      <c r="Y605" s="756"/>
      <c r="Z605" s="759"/>
      <c r="AA605" s="315">
        <f>Produzione!$G$43</f>
        <v>0</v>
      </c>
      <c r="AB605" s="758"/>
      <c r="AC605" s="765"/>
      <c r="AD605" s="756"/>
      <c r="AE605" s="756"/>
      <c r="AF605" s="756"/>
      <c r="AG605" s="759"/>
      <c r="AH605" s="315">
        <f>Produzione!$G$57</f>
        <v>0</v>
      </c>
      <c r="AI605" s="758"/>
      <c r="AJ605" s="765"/>
      <c r="AK605" s="756"/>
      <c r="AL605" s="756"/>
      <c r="AM605" s="756"/>
    </row>
    <row r="606" spans="1:39">
      <c r="A606" s="757">
        <v>597</v>
      </c>
      <c r="B606" s="799"/>
      <c r="C606" s="831"/>
      <c r="D606" s="795"/>
      <c r="E606" s="795"/>
      <c r="F606" s="791"/>
      <c r="G606" s="303"/>
      <c r="H606" s="317"/>
      <c r="J606" s="801"/>
      <c r="K606" s="802"/>
      <c r="M606" s="756"/>
      <c r="N606" s="321"/>
      <c r="O606" s="856"/>
      <c r="P606" s="756"/>
      <c r="Q606" s="756">
        <f>IF(AND(Q608&lt;&gt;0,Q607=0),Q608,IF(Q608&gt;0,MIN(Q608,Q607),Q607))</f>
        <v>0</v>
      </c>
      <c r="R606" s="756">
        <f>IF(AND(R608&gt;0,R607=0,M603&gt;0),0,IF(AND(R608&lt;&gt;0,R607=0),R608,IF(R608&lt;&gt;0,MIN(R608,R607),R607))*$K598)</f>
        <v>0</v>
      </c>
      <c r="S606" s="759"/>
      <c r="T606" s="756"/>
      <c r="U606" s="321"/>
      <c r="V606" s="323"/>
      <c r="W606" s="756"/>
      <c r="X606" s="756">
        <f>IF(AND(X608&lt;&gt;0,X607=0),X608,IF(X608&gt;0,MIN(X608,X607),X607))</f>
        <v>0</v>
      </c>
      <c r="Y606" s="756">
        <f>IF(AND(Y608&gt;0,Y607=0,T603&gt;0),0,IF(AND(Y608&lt;&gt;0,Y607=0),Y608,IF(Y608&lt;&gt;0,MIN(Y608,Y607),Y607))*$K598)</f>
        <v>0</v>
      </c>
      <c r="Z606" s="759"/>
      <c r="AA606" s="756"/>
      <c r="AB606" s="321"/>
      <c r="AC606" s="323"/>
      <c r="AD606" s="756"/>
      <c r="AE606" s="756">
        <f>IF(AND(AE608&lt;&gt;0,AE607=0),AE608,IF(AE608&gt;0,MIN(AE608,AE607),AE607))</f>
        <v>0</v>
      </c>
      <c r="AF606" s="756">
        <f>IF(AND(AF608&gt;0,AF607=0,AA603&gt;0),0,IF(AND(AF608&lt;&gt;0,AF607=0),AF608,IF(AF608&lt;&gt;0,MIN(AF608,AF607),AF607))*$K598)</f>
        <v>0</v>
      </c>
      <c r="AG606" s="759"/>
      <c r="AH606" s="756"/>
      <c r="AI606" s="321"/>
      <c r="AJ606" s="323"/>
      <c r="AK606" s="756"/>
      <c r="AL606" s="756">
        <f>IF(AND(AL608&lt;&gt;0,AL607=0),AL608,IF(AL608&gt;0,MIN(AL608,AL607),AL607))</f>
        <v>0</v>
      </c>
      <c r="AM606" s="756">
        <f>IF(AND(AM608&gt;0,AM607=0,AH603&gt;0),0,IF(AND(AM608&lt;&gt;0,AM607=0),AM608,IF(AM608&lt;&gt;0,MIN(AM608,AM607),AM607))*$K598)</f>
        <v>0</v>
      </c>
    </row>
    <row r="607" spans="1:39">
      <c r="A607" s="757">
        <v>598</v>
      </c>
      <c r="B607" s="789" t="s">
        <v>652</v>
      </c>
      <c r="C607" s="813" t="s">
        <v>410</v>
      </c>
      <c r="D607" s="795"/>
      <c r="E607" s="786"/>
      <c r="F607" s="792"/>
      <c r="G607" s="303"/>
      <c r="H607" s="318"/>
      <c r="J607" s="803"/>
      <c r="K607" s="804"/>
      <c r="M607" s="758"/>
      <c r="N607" s="321"/>
      <c r="O607" s="857">
        <f>(Q606/100*qh/3.6+R606/100*qw)</f>
        <v>0</v>
      </c>
      <c r="P607" s="756"/>
      <c r="Q607" s="756">
        <f>IF(M603&gt;0,(MIN(IF(M603&gt;0,100/(qh/3.6)*M603/EBF,0),100)),0)</f>
        <v>0</v>
      </c>
      <c r="R607" s="756">
        <f>IF(qw&gt;0,MIN(100,(IF(AND(M603&gt;0,Q607=100),((M603/EBF-(Q607/100*qh/3.6))*100/qw),0))),0)</f>
        <v>0</v>
      </c>
      <c r="S607" s="759"/>
      <c r="T607" s="756"/>
      <c r="U607" s="321"/>
      <c r="V607" s="324">
        <f>(X606/100*qh/3.6+Y606/100*qw)</f>
        <v>0</v>
      </c>
      <c r="W607" s="756"/>
      <c r="X607" s="756">
        <f>IF(T603&gt;0,(MIN(IF(T603&gt;0,100/(qh/3.6)*T603/EBF,0),100)),0)</f>
        <v>0</v>
      </c>
      <c r="Y607" s="756">
        <f>IF(qw&gt;0,MIN(100,(IF(AND(T603&gt;0,X607=100),((T603/EBF-(X607/100*qh/3.6))*100/qw),0))),0)</f>
        <v>0</v>
      </c>
      <c r="Z607" s="759"/>
      <c r="AA607" s="758"/>
      <c r="AB607" s="321"/>
      <c r="AC607" s="324">
        <f>(AE606/100*qh/3.6+AF606/100*qw)</f>
        <v>0</v>
      </c>
      <c r="AD607" s="756"/>
      <c r="AE607" s="756">
        <f>IF(AA603&gt;0,(MIN(IF(AA603&gt;0,100/(qh/3.6)*AA603/EBF,0),100)),0)</f>
        <v>0</v>
      </c>
      <c r="AF607" s="756">
        <f>IF(qw&gt;0,MIN(100,(IF(AND(AA603&gt;0,AE607=100),((AA603/EBF-(AE607/100*qh/3.6))*100/qw),0))),0)</f>
        <v>0</v>
      </c>
      <c r="AG607" s="759"/>
      <c r="AH607" s="758"/>
      <c r="AI607" s="321"/>
      <c r="AJ607" s="324">
        <f>(AL606/100*qh/3.6+AM606/100*qw)</f>
        <v>0</v>
      </c>
      <c r="AK607" s="756"/>
      <c r="AL607" s="756">
        <f>IF(AH603&gt;0,(MIN(IF(AH603&gt;0,100/(qh/3.6)*AH603/EBF,0),100)),0)</f>
        <v>0</v>
      </c>
      <c r="AM607" s="756">
        <f>IF(qw&gt;0,MIN(100,(IF(AND(AH603&gt;0,AL607=100),((AH603/EBF-(AL607/100*qh/3.6))*100/qw),0))),0)</f>
        <v>0</v>
      </c>
    </row>
    <row r="608" spans="1:39">
      <c r="A608" s="757">
        <v>599</v>
      </c>
      <c r="B608" s="812" t="s">
        <v>41</v>
      </c>
      <c r="C608" s="813" t="s">
        <v>410</v>
      </c>
      <c r="D608" s="806"/>
      <c r="E608" s="806"/>
      <c r="F608" s="774"/>
      <c r="G608" s="319"/>
      <c r="H608" s="320"/>
      <c r="J608" s="807"/>
      <c r="K608" s="808"/>
      <c r="M608" s="756"/>
      <c r="N608" s="325"/>
      <c r="O608" s="858" t="e">
        <f>IF(OR(O607="Speicher fehlt",O607=""),0,IF(M603=0,(O607/O601*100),MIN(O607/(O601/100),M603/EBF/O601*100)))</f>
        <v>#VALUE!</v>
      </c>
      <c r="P608" s="756"/>
      <c r="Q608" s="315">
        <f>Produzione!$K$18</f>
        <v>0</v>
      </c>
      <c r="R608" s="315">
        <f>Produzione!$L$18</f>
        <v>0</v>
      </c>
      <c r="S608" s="759"/>
      <c r="T608" s="756"/>
      <c r="U608" s="325"/>
      <c r="V608" s="325" t="e">
        <f>IF(OR(V607="Speicher fehlt",V607=""),0,IF(T603=0,(V607/V601*100),MIN(V607/(V601/100),T603/EBF/V601*100)))</f>
        <v>#VALUE!</v>
      </c>
      <c r="W608" s="756"/>
      <c r="X608" s="315">
        <f>Produzione!$K$32</f>
        <v>0</v>
      </c>
      <c r="Y608" s="315">
        <f>Produzione!$L$32</f>
        <v>0</v>
      </c>
      <c r="Z608" s="759"/>
      <c r="AA608" s="756"/>
      <c r="AB608" s="325"/>
      <c r="AC608" s="325" t="e">
        <f>IF(OR(AC607="Speicher fehlt",AC607=""),0,IF(AA603=0,(AC607/AC601*100),MIN(AC607/(AC601/100),AA603/EBF/AC601*100)))</f>
        <v>#VALUE!</v>
      </c>
      <c r="AD608" s="756"/>
      <c r="AE608" s="315">
        <f>Produzione!$K$46</f>
        <v>0</v>
      </c>
      <c r="AF608" s="315">
        <f>Produzione!$L$46</f>
        <v>0</v>
      </c>
      <c r="AG608" s="759"/>
      <c r="AH608" s="756"/>
      <c r="AI608" s="325"/>
      <c r="AJ608" s="325" t="e">
        <f>IF(OR(AJ607="Speicher fehlt",AJ607=""),0,IF(AH603=0,(AJ607/AJ601*100),MIN(AJ607/(AJ601/100),AH603/EBF/AJ601*100)))</f>
        <v>#VALUE!</v>
      </c>
      <c r="AK608" s="756"/>
      <c r="AL608" s="315">
        <f>Produzione!$K$60</f>
        <v>0</v>
      </c>
      <c r="AM608" s="315">
        <f>Produzione!$L$60</f>
        <v>0</v>
      </c>
    </row>
    <row r="609" spans="1:39">
      <c r="A609" s="757">
        <v>600</v>
      </c>
      <c r="B609" s="759"/>
      <c r="C609" s="833"/>
      <c r="D609" s="759"/>
      <c r="E609" s="759"/>
      <c r="F609" s="817"/>
      <c r="G609" s="759"/>
      <c r="H609" s="759"/>
      <c r="I609" s="759"/>
      <c r="J609" s="759"/>
      <c r="Q609" s="761" t="str">
        <f>IF(AND(Q607&lt;&gt;0,Q608&gt;Q607),"tasso troppo alto",IF(AND(R607&lt;&gt;0,R608&gt;R607),"tasso troppo alto",""))</f>
        <v/>
      </c>
      <c r="S609" s="759"/>
      <c r="X609" s="761" t="str">
        <f>IF(AND(X607&lt;&gt;0,X608&gt;X607),"tasso troppo alto",IF(AND(Y607&lt;&gt;0,Y608&gt;Y607),"tasso troppo alto",""))</f>
        <v/>
      </c>
      <c r="Z609" s="759"/>
      <c r="AE609" s="761" t="str">
        <f>IF(AND(AE607&lt;&gt;0,AE608&gt;AE607),"tasso troppo alto",IF(AND(AF607&lt;&gt;0,AF608&gt;AF607),"tasso troppo alto",""))</f>
        <v/>
      </c>
      <c r="AG609" s="759"/>
      <c r="AL609" s="761" t="str">
        <f>IF(AND(AL607&lt;&gt;0,AL608&gt;AL607),"tasso troppo alto",IF(AND(AM607&lt;&gt;0,AM608&gt;AM607),"tasso troppo alto",""))</f>
        <v/>
      </c>
    </row>
    <row r="610" spans="1:39">
      <c r="A610" s="757">
        <v>601</v>
      </c>
      <c r="B610" s="755"/>
      <c r="C610" s="834"/>
      <c r="D610" s="762"/>
      <c r="E610" s="762"/>
      <c r="G610" s="762"/>
      <c r="H610" s="818"/>
      <c r="J610" s="762" t="s">
        <v>1177</v>
      </c>
      <c r="N610" s="762"/>
      <c r="O610" s="860"/>
      <c r="P610" s="759"/>
      <c r="Q610" s="762" t="s">
        <v>1177</v>
      </c>
      <c r="R610" s="759"/>
      <c r="S610" s="759"/>
      <c r="T610" s="759"/>
      <c r="U610" s="762"/>
      <c r="V610" s="769"/>
      <c r="W610" s="759"/>
      <c r="X610" s="762" t="s">
        <v>1177</v>
      </c>
      <c r="Y610" s="759"/>
      <c r="Z610" s="759"/>
      <c r="AA610" s="759"/>
      <c r="AB610" s="762"/>
      <c r="AC610" s="769"/>
      <c r="AD610" s="759"/>
      <c r="AE610" s="762" t="s">
        <v>1177</v>
      </c>
      <c r="AF610" s="759"/>
      <c r="AG610" s="759"/>
      <c r="AH610" s="759"/>
      <c r="AI610" s="762"/>
      <c r="AJ610" s="769"/>
      <c r="AK610" s="759"/>
      <c r="AL610" s="762" t="s">
        <v>1177</v>
      </c>
      <c r="AM610" s="759"/>
    </row>
    <row r="611" spans="1:39">
      <c r="A611" s="757">
        <v>602</v>
      </c>
      <c r="B611" s="772" t="str">
        <f>INDEX(Standardwerte!$V$6:$V$51,Rechnung!$C611,1)</f>
        <v>Erzeugung B</v>
      </c>
      <c r="C611" s="835">
        <v>44</v>
      </c>
      <c r="D611" s="819"/>
      <c r="E611" s="820"/>
      <c r="F611" s="821"/>
      <c r="G611" s="819"/>
      <c r="H611" s="822"/>
      <c r="J611" s="760" t="s">
        <v>1178</v>
      </c>
      <c r="K611" s="756" t="s">
        <v>1179</v>
      </c>
      <c r="M611" s="756"/>
      <c r="N611" s="760"/>
      <c r="O611" s="852"/>
      <c r="P611" s="756"/>
      <c r="Q611" s="760" t="s">
        <v>1178</v>
      </c>
      <c r="R611" s="756" t="s">
        <v>1179</v>
      </c>
      <c r="S611" s="759"/>
      <c r="T611" s="756"/>
      <c r="U611" s="760"/>
      <c r="V611" s="764"/>
      <c r="W611" s="756"/>
      <c r="X611" s="760" t="s">
        <v>1178</v>
      </c>
      <c r="Y611" s="756" t="s">
        <v>1179</v>
      </c>
      <c r="Z611" s="759"/>
      <c r="AA611" s="777"/>
      <c r="AB611" s="776"/>
      <c r="AC611" s="934"/>
      <c r="AD611" s="777"/>
      <c r="AE611" s="776" t="s">
        <v>1178</v>
      </c>
      <c r="AF611" s="777" t="s">
        <v>1179</v>
      </c>
      <c r="AG611" s="759"/>
      <c r="AH611" s="777"/>
      <c r="AI611" s="776"/>
      <c r="AJ611" s="934"/>
      <c r="AK611" s="777"/>
      <c r="AL611" s="776" t="s">
        <v>1178</v>
      </c>
      <c r="AM611" s="777" t="s">
        <v>1179</v>
      </c>
    </row>
    <row r="612" spans="1:39">
      <c r="A612" s="757">
        <v>603</v>
      </c>
      <c r="B612" s="778" t="s">
        <v>526</v>
      </c>
      <c r="C612" s="830"/>
      <c r="D612" s="779"/>
      <c r="E612" s="312"/>
      <c r="F612" s="313">
        <f>INDEX($M$10:$AM$162,$A$10+(_typ1-1)*14,1)</f>
        <v>0</v>
      </c>
      <c r="G612" s="780"/>
      <c r="H612" s="781"/>
      <c r="J612" s="782">
        <f>INDEX(Standardwerte!$Y$6:$Z$51,$C611,2)</f>
        <v>1</v>
      </c>
      <c r="K612" s="783">
        <f>INDEX(Standardwerte!$Y$6:$Z$51,$C611,1)</f>
        <v>1</v>
      </c>
      <c r="M612" s="315">
        <f>Produzione!$G$8</f>
        <v>0</v>
      </c>
      <c r="N612" s="764"/>
      <c r="O612" s="852"/>
      <c r="P612" s="756"/>
      <c r="Q612" s="756"/>
      <c r="R612" s="756"/>
      <c r="S612" s="759"/>
      <c r="T612" s="315">
        <f>Produzione!$G$22</f>
        <v>0</v>
      </c>
      <c r="U612" s="764"/>
      <c r="V612" s="764"/>
      <c r="W612" s="756"/>
      <c r="X612" s="756"/>
      <c r="Y612" s="756"/>
      <c r="Z612" s="759"/>
      <c r="AA612" s="315">
        <f>Produzione!$G$36</f>
        <v>0</v>
      </c>
      <c r="AB612" s="764"/>
      <c r="AC612" s="764"/>
      <c r="AD612" s="756"/>
      <c r="AE612" s="756"/>
      <c r="AF612" s="756"/>
      <c r="AG612" s="759"/>
      <c r="AH612" s="315">
        <f>Produzione!$G$50</f>
        <v>0</v>
      </c>
      <c r="AI612" s="764"/>
      <c r="AJ612" s="764"/>
      <c r="AK612" s="756"/>
      <c r="AL612" s="756"/>
      <c r="AM612" s="756"/>
    </row>
    <row r="613" spans="1:39">
      <c r="A613" s="757">
        <v>604</v>
      </c>
      <c r="B613" s="784" t="s">
        <v>697</v>
      </c>
      <c r="C613" s="794" t="s">
        <v>776</v>
      </c>
      <c r="E613" s="786"/>
      <c r="F613" s="809">
        <f>INDEX(Standardwerte!$W$6:$W$51,$C611,1)</f>
        <v>100</v>
      </c>
      <c r="G613" s="787"/>
      <c r="H613" s="788"/>
      <c r="J613" s="782"/>
      <c r="K613" s="783"/>
      <c r="M613" s="315">
        <f>Produzione!$G$10</f>
        <v>0</v>
      </c>
      <c r="N613" s="764"/>
      <c r="O613" s="1544">
        <f>F613</f>
        <v>100</v>
      </c>
      <c r="P613" s="756"/>
      <c r="Q613" s="756"/>
      <c r="R613" s="756"/>
      <c r="S613" s="759"/>
      <c r="T613" s="315">
        <f>Produzione!$G$24</f>
        <v>0</v>
      </c>
      <c r="U613" s="764"/>
      <c r="V613" s="1544">
        <f>F613</f>
        <v>100</v>
      </c>
      <c r="W613" s="756"/>
      <c r="X613" s="756"/>
      <c r="Y613" s="756"/>
      <c r="Z613" s="759"/>
      <c r="AA613" s="315">
        <f>Produzione!$G$38</f>
        <v>0</v>
      </c>
      <c r="AB613" s="764"/>
      <c r="AC613" s="1544">
        <f>F613</f>
        <v>100</v>
      </c>
      <c r="AD613" s="756"/>
      <c r="AE613" s="756"/>
      <c r="AF613" s="756"/>
      <c r="AG613" s="759"/>
      <c r="AH613" s="315">
        <f>Produzione!$G$52</f>
        <v>0</v>
      </c>
      <c r="AI613" s="764"/>
      <c r="AJ613" s="1544">
        <f>F613</f>
        <v>100</v>
      </c>
      <c r="AK613" s="756"/>
      <c r="AL613" s="756"/>
      <c r="AM613" s="756"/>
    </row>
    <row r="614" spans="1:39">
      <c r="A614" s="757">
        <v>605</v>
      </c>
      <c r="B614" s="789" t="s">
        <v>698</v>
      </c>
      <c r="C614" s="794" t="s">
        <v>776</v>
      </c>
      <c r="D614" s="786"/>
      <c r="E614" s="786" t="str">
        <f>IF(OR(M613&gt;O613,T613&gt;V613,AA613&gt;AC613,AH613&gt;AJ613),"","")</f>
        <v/>
      </c>
      <c r="F614" s="1344"/>
      <c r="G614" s="792"/>
      <c r="H614" s="793"/>
      <c r="J614" s="782"/>
      <c r="K614" s="783"/>
      <c r="L614" s="770">
        <v>1</v>
      </c>
      <c r="M614" s="756"/>
      <c r="N614" s="766"/>
      <c r="O614" s="854"/>
      <c r="P614" s="756"/>
      <c r="Q614" s="756"/>
      <c r="R614" s="756"/>
      <c r="S614" s="759"/>
      <c r="T614" s="756"/>
      <c r="U614" s="766"/>
      <c r="V614" s="767"/>
      <c r="W614" s="756"/>
      <c r="X614" s="756"/>
      <c r="Y614" s="756"/>
      <c r="Z614" s="759"/>
      <c r="AA614" s="756"/>
      <c r="AB614" s="766"/>
      <c r="AC614" s="767"/>
      <c r="AD614" s="756"/>
      <c r="AE614" s="756"/>
      <c r="AF614" s="756"/>
      <c r="AG614" s="759"/>
      <c r="AH614" s="756"/>
      <c r="AI614" s="766"/>
      <c r="AJ614" s="767"/>
      <c r="AK614" s="756"/>
      <c r="AL614" s="756"/>
      <c r="AM614" s="756"/>
    </row>
    <row r="615" spans="1:39">
      <c r="A615" s="757">
        <v>606</v>
      </c>
      <c r="B615" s="789" t="s">
        <v>699</v>
      </c>
      <c r="C615" s="794" t="s">
        <v>776</v>
      </c>
      <c r="D615" s="786"/>
      <c r="E615" s="786"/>
      <c r="F615" s="791"/>
      <c r="G615" s="303"/>
      <c r="H615" s="316"/>
      <c r="J615" s="782"/>
      <c r="K615" s="783"/>
      <c r="M615" s="756"/>
      <c r="N615" s="321"/>
      <c r="O615" s="855" t="str">
        <f>IF(M613&lt;&gt;0,M613,IF(Produzione!$E$10&lt;&gt;"",Produzione!$E$10,Produzione!$G$9))</f>
        <v/>
      </c>
      <c r="P615" s="756"/>
      <c r="Q615" s="756"/>
      <c r="R615" s="756"/>
      <c r="S615" s="759"/>
      <c r="T615" s="756"/>
      <c r="U615" s="321"/>
      <c r="V615" s="322" t="str">
        <f>IF(T613&lt;&gt;0,T613,IF(Produzione!$E$24&lt;&gt;"",Produzione!$E$24,Produzione!$G$23))</f>
        <v/>
      </c>
      <c r="W615" s="756"/>
      <c r="X615" s="756"/>
      <c r="Y615" s="756"/>
      <c r="Z615" s="759"/>
      <c r="AA615" s="756"/>
      <c r="AB615" s="321"/>
      <c r="AC615" s="322" t="str">
        <f>IF(AA613&lt;&gt;0,AA613,IF(Produzione!$E$38&lt;&gt;"",Produzione!$E$38,Produzione!$G$37))</f>
        <v/>
      </c>
      <c r="AD615" s="756"/>
      <c r="AE615" s="756"/>
      <c r="AF615" s="756"/>
      <c r="AG615" s="759"/>
      <c r="AH615" s="756"/>
      <c r="AI615" s="321"/>
      <c r="AJ615" s="322" t="str">
        <f>IF(AH613&lt;&gt;0,AH613,IF(Produzione!$E$52&lt;&gt;"",Produzione!$E$52,Produzione!$G$51))</f>
        <v/>
      </c>
      <c r="AK615" s="756"/>
      <c r="AL615" s="756"/>
      <c r="AM615" s="756"/>
    </row>
    <row r="616" spans="1:39">
      <c r="A616" s="757">
        <v>607</v>
      </c>
      <c r="B616" s="789" t="s">
        <v>51</v>
      </c>
      <c r="C616" s="790" t="s">
        <v>761</v>
      </c>
      <c r="D616" s="787"/>
      <c r="E616" s="795"/>
      <c r="F616" s="1344"/>
      <c r="G616" s="796"/>
      <c r="H616" s="797"/>
      <c r="J616" s="782"/>
      <c r="K616" s="783"/>
      <c r="L616" s="770">
        <v>2</v>
      </c>
      <c r="M616" s="315">
        <f>Produzione!$G$12</f>
        <v>0</v>
      </c>
      <c r="N616" s="758"/>
      <c r="O616" s="854"/>
      <c r="P616" s="756"/>
      <c r="Q616" s="756"/>
      <c r="R616" s="756"/>
      <c r="S616" s="759"/>
      <c r="T616" s="315">
        <f>Produzione!$G$26</f>
        <v>0</v>
      </c>
      <c r="U616" s="758"/>
      <c r="V616" s="758"/>
      <c r="W616" s="756"/>
      <c r="X616" s="756"/>
      <c r="Y616" s="756"/>
      <c r="Z616" s="759"/>
      <c r="AA616" s="315">
        <f>Produzione!$G$40</f>
        <v>0</v>
      </c>
      <c r="AB616" s="758"/>
      <c r="AC616" s="758"/>
      <c r="AD616" s="756"/>
      <c r="AE616" s="756"/>
      <c r="AF616" s="756"/>
      <c r="AG616" s="759"/>
      <c r="AH616" s="315">
        <f>Produzione!$G$54</f>
        <v>0</v>
      </c>
      <c r="AI616" s="758"/>
      <c r="AJ616" s="758"/>
      <c r="AK616" s="756"/>
      <c r="AL616" s="756"/>
      <c r="AM616" s="756"/>
    </row>
    <row r="617" spans="1:39">
      <c r="A617" s="757">
        <v>608</v>
      </c>
      <c r="B617" s="789" t="str">
        <f>IF(J612=1,"fabbisogno di potenza termica dell'edificio","")</f>
        <v>fabbisogno di potenza termica dell'edificio</v>
      </c>
      <c r="C617" s="790" t="str">
        <f>IF(J612=1,"kW","")</f>
        <v>kW</v>
      </c>
      <c r="D617" s="796"/>
      <c r="E617" s="795"/>
      <c r="F617" s="1344"/>
      <c r="G617" s="787"/>
      <c r="H617" s="798"/>
      <c r="J617" s="782"/>
      <c r="K617" s="783"/>
      <c r="L617" s="770">
        <v>2</v>
      </c>
      <c r="M617" s="315">
        <f>Produzione!$G$13</f>
        <v>0</v>
      </c>
      <c r="N617" s="764"/>
      <c r="O617" s="852"/>
      <c r="P617" s="756"/>
      <c r="Q617" s="756"/>
      <c r="R617" s="756"/>
      <c r="S617" s="759"/>
      <c r="T617" s="315">
        <f>Produzione!$G$27</f>
        <v>0</v>
      </c>
      <c r="U617" s="764"/>
      <c r="V617" s="768"/>
      <c r="W617" s="756"/>
      <c r="X617" s="756"/>
      <c r="Y617" s="756"/>
      <c r="Z617" s="759"/>
      <c r="AA617" s="315">
        <f>Produzione!$G$41</f>
        <v>0</v>
      </c>
      <c r="AB617" s="764"/>
      <c r="AC617" s="768"/>
      <c r="AD617" s="756"/>
      <c r="AE617" s="756"/>
      <c r="AF617" s="756"/>
      <c r="AG617" s="759"/>
      <c r="AH617" s="315">
        <f>Produzione!$G$55</f>
        <v>0</v>
      </c>
      <c r="AI617" s="764"/>
      <c r="AJ617" s="768"/>
      <c r="AK617" s="756"/>
      <c r="AL617" s="756"/>
      <c r="AM617" s="756"/>
    </row>
    <row r="618" spans="1:39">
      <c r="A618" s="757">
        <v>609</v>
      </c>
      <c r="B618" s="799" t="str">
        <f>IF(J612=1,"Temperatura di mandata riscaldamento","")</f>
        <v>Temperatura di mandata riscaldamento</v>
      </c>
      <c r="C618" s="831" t="str">
        <f>IF(J612=1,"°C","")</f>
        <v>°C</v>
      </c>
      <c r="D618" s="786"/>
      <c r="E618" s="786"/>
      <c r="F618" s="1344"/>
      <c r="G618" s="787"/>
      <c r="H618" s="800"/>
      <c r="J618" s="782"/>
      <c r="K618" s="783"/>
      <c r="L618" s="770">
        <v>2</v>
      </c>
      <c r="M618" s="315">
        <f>Produzione!$G$14</f>
        <v>0</v>
      </c>
      <c r="N618" s="764"/>
      <c r="P618" s="756"/>
      <c r="Q618" s="756"/>
      <c r="R618" s="756"/>
      <c r="S618" s="759"/>
      <c r="T618" s="315">
        <f>Produzione!$G$28</f>
        <v>0</v>
      </c>
      <c r="U618" s="764"/>
      <c r="W618" s="756"/>
      <c r="X618" s="756"/>
      <c r="Y618" s="756"/>
      <c r="Z618" s="759"/>
      <c r="AA618" s="315">
        <f>Produzione!$G$42</f>
        <v>0</v>
      </c>
      <c r="AB618" s="764"/>
      <c r="AD618" s="756"/>
      <c r="AE618" s="756"/>
      <c r="AF618" s="756"/>
      <c r="AG618" s="759"/>
      <c r="AH618" s="315">
        <f>Produzione!$G$56</f>
        <v>0</v>
      </c>
      <c r="AI618" s="764"/>
      <c r="AK618" s="756"/>
      <c r="AL618" s="756"/>
      <c r="AM618" s="756"/>
    </row>
    <row r="619" spans="1:39">
      <c r="A619" s="757">
        <v>610</v>
      </c>
      <c r="B619" s="799" t="str">
        <f>IF(AND(Warmwasser,K612=1),"Temperatura acqua calda sanitaria","")</f>
        <v/>
      </c>
      <c r="C619" s="831" t="str">
        <f>IF(AND(Warmwasser,K612=1),"°C","")</f>
        <v/>
      </c>
      <c r="D619" s="786"/>
      <c r="E619" s="786"/>
      <c r="F619" s="1344"/>
      <c r="G619" s="796"/>
      <c r="H619" s="788"/>
      <c r="J619" s="782"/>
      <c r="K619" s="783"/>
      <c r="M619" s="315">
        <f>Produzione!$G$15</f>
        <v>0</v>
      </c>
      <c r="N619" s="758"/>
      <c r="O619" s="853"/>
      <c r="P619" s="756"/>
      <c r="Q619" s="756"/>
      <c r="R619" s="756" t="str">
        <f>IF(AND($K612=0,R622&lt;&gt;0),"Heizung ausgewählt",IF(AND($J612=0,Q594&gt;0),"Warmwasser ausgewählt",""))</f>
        <v/>
      </c>
      <c r="S619" s="759"/>
      <c r="T619" s="315">
        <f>Produzione!$G$29</f>
        <v>0</v>
      </c>
      <c r="U619" s="758"/>
      <c r="V619" s="765"/>
      <c r="W619" s="756"/>
      <c r="X619" s="756"/>
      <c r="Y619" s="756" t="str">
        <f>IF(AND($K612=0,Y622&lt;&gt;0),"Heizung ausgewählt",IF(AND($J612=0,X594&gt;0),"Warmwasser ausgewählt",""))</f>
        <v/>
      </c>
      <c r="Z619" s="759"/>
      <c r="AA619" s="315">
        <f>Produzione!$G$43</f>
        <v>0</v>
      </c>
      <c r="AB619" s="758"/>
      <c r="AC619" s="765"/>
      <c r="AD619" s="756"/>
      <c r="AE619" s="756"/>
      <c r="AF619" s="756" t="str">
        <f>IF(AND($K612=0,AF622&lt;&gt;0),"Heizung ausgewählt",IF(AND($J612=0,AE594&gt;0),"Warmwasser ausgewählt",""))</f>
        <v/>
      </c>
      <c r="AG619" s="759"/>
      <c r="AH619" s="315">
        <f>Produzione!$G$57</f>
        <v>0</v>
      </c>
      <c r="AI619" s="758"/>
      <c r="AJ619" s="765"/>
      <c r="AK619" s="756"/>
      <c r="AL619" s="756"/>
      <c r="AM619" s="756" t="str">
        <f>IF(AND($K612=0,AM622&lt;&gt;0),"Heizung ausgewählt",IF(AND($J612=0,AL594&gt;0),"Warmwasser ausgewählt",""))</f>
        <v/>
      </c>
    </row>
    <row r="620" spans="1:39">
      <c r="A620" s="757">
        <v>611</v>
      </c>
      <c r="B620" s="799" t="s">
        <v>1374</v>
      </c>
      <c r="C620" s="790" t="s">
        <v>410</v>
      </c>
      <c r="D620" s="795"/>
      <c r="E620" s="795"/>
      <c r="F620" s="791"/>
      <c r="G620" s="303"/>
      <c r="H620" s="317"/>
      <c r="J620" s="801"/>
      <c r="K620" s="802"/>
      <c r="M620" s="756"/>
      <c r="N620" s="321"/>
      <c r="O620" s="849">
        <f>IF(O615="",,R620/100*qw/O615+Q620/100*qh/3.6/O615)</f>
        <v>0</v>
      </c>
      <c r="P620" s="756"/>
      <c r="Q620" s="756">
        <f>IF(AND(Q622&lt;&gt;0,Q621=0),Q622,IF(Q622&lt;&gt;0,MIN(Q622,Q621),Q621))*$J612</f>
        <v>0</v>
      </c>
      <c r="R620" s="756">
        <f>IF(AND(R622&lt;&gt;0,R621=0),R622,IF(R622&lt;&gt;0,MIN(R622,R621),R621))*$K612</f>
        <v>0</v>
      </c>
      <c r="S620" s="759"/>
      <c r="T620" s="756"/>
      <c r="U620" s="321"/>
      <c r="V620" s="847">
        <f>IF(V615="",,Y620/100*qw/V615+X620/100*qh/3.6/V615)</f>
        <v>0</v>
      </c>
      <c r="W620" s="756"/>
      <c r="X620" s="756">
        <f>IF(AND(X622&lt;&gt;0,X621=0),X622,IF(X622&lt;&gt;0,MIN(X622,X621),X621))*J612</f>
        <v>0</v>
      </c>
      <c r="Y620" s="756">
        <f>IF(AND(Y622&lt;&gt;0,Y621=0),Y622,IF(Y622&lt;&gt;0,MIN(Y622,Y621),Y621))*$K612</f>
        <v>0</v>
      </c>
      <c r="Z620" s="759"/>
      <c r="AA620" s="756"/>
      <c r="AB620" s="321"/>
      <c r="AC620" s="847">
        <f>IF(AC615="",,AF620/100*qw/AC615+AE620/100*qh/3.6/AC615)</f>
        <v>0</v>
      </c>
      <c r="AD620" s="756"/>
      <c r="AE620" s="756">
        <f>IF(AND(AE622&lt;&gt;0,AE621=0),AE622,IF(AE622&lt;&gt;0,MIN(AE622,AE621),AE621))*J612</f>
        <v>0</v>
      </c>
      <c r="AF620" s="756">
        <f>IF(AND(AF622&lt;&gt;0,AF621=0),AF622,IF(AF622&lt;&gt;0,MIN(AF622,AF621),AF621))*$K612</f>
        <v>0</v>
      </c>
      <c r="AG620" s="759"/>
      <c r="AH620" s="756"/>
      <c r="AI620" s="321"/>
      <c r="AJ620" s="847">
        <f>IF(AJ615="",,AM620/100*qw/AJ615+AL620/100*qh/3.6/AJ615)</f>
        <v>0</v>
      </c>
      <c r="AK620" s="756"/>
      <c r="AL620" s="756">
        <f>IF(AND(AL622&lt;&gt;0,AL621=0),AL622,IF(AL622&lt;&gt;0,MIN(AL622,AL621),AL621))*J612</f>
        <v>0</v>
      </c>
      <c r="AM620" s="756">
        <f>IF(AND(AM622&lt;&gt;0,AM621=0),AM622,IF(AM622&lt;&gt;0,MIN(AM622,AM621),AM621))*$K612</f>
        <v>0</v>
      </c>
    </row>
    <row r="621" spans="1:39">
      <c r="A621" s="757">
        <v>612</v>
      </c>
      <c r="B621" s="789" t="s">
        <v>652</v>
      </c>
      <c r="C621" s="1545" t="s">
        <v>410</v>
      </c>
      <c r="D621" s="795"/>
      <c r="E621" s="786"/>
      <c r="F621" s="792"/>
      <c r="G621" s="303"/>
      <c r="H621" s="318"/>
      <c r="J621" s="803"/>
      <c r="K621" s="804"/>
      <c r="M621" s="758"/>
      <c r="N621" s="321"/>
      <c r="O621" s="845">
        <f>IF(O615=0,,(Q620/100*qh/3.6+R620/100*qw))</f>
        <v>0</v>
      </c>
      <c r="P621" s="756"/>
      <c r="Q621" s="756">
        <f>IF(M617&gt;0,(1-MIN((1-MIN((1-MIN(MIN(R620,R622)/100*qw*EBF/8760/M616/O615*1000,1))*M616*O615/1000/M617,1))^2,1))*100,0)*$J612</f>
        <v>0</v>
      </c>
      <c r="R621" s="756">
        <f>IF(EBF&gt;0,(0.9*MIN(M616/1000*O615/qw/EBF*8760,1))*100*$K612,)</f>
        <v>0</v>
      </c>
      <c r="S621" s="759"/>
      <c r="T621" s="756"/>
      <c r="U621" s="321"/>
      <c r="V621" s="845">
        <f>IF(V615=0,,(X620/100*qh/3.6+Y620/100*qw))</f>
        <v>0</v>
      </c>
      <c r="W621" s="756"/>
      <c r="X621" s="756">
        <f>IF(T617&gt;0,(1-MIN((1-MIN((1-MIN(MIN(Y620,Y622)/100*qw*EBF/8760/T616/V615*1000,1))*T616*V615/1000/T617,1))^2,1))*100,0)*$J612</f>
        <v>0</v>
      </c>
      <c r="Y621" s="756">
        <f>IF(EBF&gt;0,(0.9*MIN(T616/1000*V615/qw/EBF*8760,1))*100*$K612,)</f>
        <v>0</v>
      </c>
      <c r="Z621" s="759"/>
      <c r="AA621" s="758"/>
      <c r="AB621" s="321"/>
      <c r="AC621" s="845">
        <f>IF(AC615=0,,(AE620/100*qh/3.6+AF620/100*qw))</f>
        <v>0</v>
      </c>
      <c r="AD621" s="756"/>
      <c r="AE621" s="756">
        <f>IF(AA617&gt;0,(1-MIN((1-MIN((1-MIN(MIN(AF620,AF622)/100*qw*EBF/8760/AA616/AC615*1000,1))*AA616*AC615/1000/AA617,1))^2,1))*100,0)*$J612</f>
        <v>0</v>
      </c>
      <c r="AF621" s="756">
        <f>IF(EBF&gt;0,(0.9*MIN(AA616/1000*AC615/qw/EBF*8760,1))*100*$K612,)</f>
        <v>0</v>
      </c>
      <c r="AG621" s="759"/>
      <c r="AH621" s="758"/>
      <c r="AI621" s="321"/>
      <c r="AJ621" s="845">
        <f>IF(AJ615=0,,(AL620/100*qh/3.6+AM620/100*qw))</f>
        <v>0</v>
      </c>
      <c r="AK621" s="756"/>
      <c r="AL621" s="756">
        <f>IF(AH617&gt;0,(1-MIN((1-MIN((1-MIN(MIN(AM620,AM622)/100*qw*EBF/8760/AH616/AJ615*1000,1))*AH616*AJ615/1000/AH617,1))^2,1))*100,0)*$J612</f>
        <v>0</v>
      </c>
      <c r="AM621" s="756">
        <f>IF(EBF&gt;0,(0.9*MIN(AH616/1000*AJ615/qw/EBF*8760,1))*100*$K612,)</f>
        <v>0</v>
      </c>
    </row>
    <row r="622" spans="1:39">
      <c r="A622" s="757">
        <v>613</v>
      </c>
      <c r="B622" s="824"/>
      <c r="C622" s="1546"/>
      <c r="D622" s="806"/>
      <c r="E622" s="806"/>
      <c r="F622" s="774"/>
      <c r="G622" s="319"/>
      <c r="H622" s="320"/>
      <c r="J622" s="807"/>
      <c r="K622" s="808"/>
      <c r="M622" s="756"/>
      <c r="N622" s="325"/>
      <c r="O622" s="858"/>
      <c r="P622" s="756"/>
      <c r="Q622" s="315">
        <f>Produzione!$K$18</f>
        <v>0</v>
      </c>
      <c r="R622" s="315">
        <f>Produzione!$L$18</f>
        <v>0</v>
      </c>
      <c r="S622" s="759"/>
      <c r="T622" s="756"/>
      <c r="U622" s="325"/>
      <c r="V622" s="325"/>
      <c r="W622" s="756"/>
      <c r="X622" s="315">
        <f>Produzione!$K$32</f>
        <v>0</v>
      </c>
      <c r="Y622" s="315">
        <f>Produzione!$L$32</f>
        <v>0</v>
      </c>
      <c r="Z622" s="759"/>
      <c r="AA622" s="756"/>
      <c r="AB622" s="325"/>
      <c r="AC622" s="325"/>
      <c r="AD622" s="756"/>
      <c r="AE622" s="315">
        <f>Produzione!$K$46</f>
        <v>0</v>
      </c>
      <c r="AF622" s="315">
        <f>Produzione!$L$46</f>
        <v>0</v>
      </c>
      <c r="AG622" s="759"/>
      <c r="AH622" s="756"/>
      <c r="AI622" s="325"/>
      <c r="AJ622" s="325"/>
      <c r="AK622" s="756"/>
      <c r="AL622" s="315">
        <f>Produzione!$K$60</f>
        <v>0</v>
      </c>
      <c r="AM622" s="315">
        <f>Produzione!$L$60</f>
        <v>0</v>
      </c>
    </row>
    <row r="623" spans="1:39">
      <c r="A623" s="757">
        <v>614</v>
      </c>
      <c r="B623" s="759"/>
      <c r="C623" s="833"/>
      <c r="D623" s="759"/>
      <c r="E623" s="759"/>
      <c r="F623" s="817"/>
      <c r="G623" s="759"/>
      <c r="H623" s="759"/>
      <c r="I623" s="759"/>
      <c r="J623" s="759"/>
      <c r="Q623" s="761" t="str">
        <f>IF(AND(Q621&lt;&gt;0,Q622&gt;Q621),"tasso troppo alto",IF(AND(R621&lt;&gt;0,R622&gt;R621),"tasso troppo alto",""))</f>
        <v/>
      </c>
      <c r="S623" s="759"/>
      <c r="X623" s="761" t="str">
        <f>IF(AND(X621&lt;&gt;0,X622&gt;X621),"tasso troppo alto",IF(AND(Y621&lt;&gt;0,Y622&gt;Y621),"tasso troppo alto",""))</f>
        <v/>
      </c>
      <c r="Z623" s="759"/>
      <c r="AE623" s="761" t="str">
        <f>IF(AND(AE621&lt;&gt;0,AE622&gt;AE621),"tasso troppo alto",IF(AND(AF621&lt;&gt;0,AF622&gt;AF621),"tasso troppo alto",""))</f>
        <v/>
      </c>
      <c r="AG623" s="759"/>
      <c r="AL623" s="761" t="str">
        <f>IF(AND(AL621&lt;&gt;0,AL622&gt;AL621),"tasso troppo alto",IF(AND(AM621&lt;&gt;0,AM622&gt;AM621),"tasso troppo alto",""))</f>
        <v/>
      </c>
    </row>
    <row r="624" spans="1:39">
      <c r="A624" s="757">
        <v>615</v>
      </c>
      <c r="B624" s="755"/>
      <c r="C624" s="834"/>
      <c r="D624" s="762"/>
      <c r="E624" s="762"/>
      <c r="G624" s="762"/>
      <c r="H624" s="818"/>
      <c r="J624" s="762" t="s">
        <v>1177</v>
      </c>
      <c r="N624" s="762"/>
      <c r="O624" s="860"/>
      <c r="P624" s="759"/>
      <c r="Q624" s="762" t="s">
        <v>1177</v>
      </c>
      <c r="R624" s="759"/>
      <c r="S624" s="759"/>
      <c r="T624" s="759"/>
      <c r="U624" s="762"/>
      <c r="V624" s="769"/>
      <c r="W624" s="759"/>
      <c r="X624" s="762" t="s">
        <v>1177</v>
      </c>
      <c r="Y624" s="759"/>
      <c r="Z624" s="759"/>
      <c r="AA624" s="759"/>
      <c r="AB624" s="762"/>
      <c r="AC624" s="769"/>
      <c r="AD624" s="759"/>
      <c r="AE624" s="762" t="s">
        <v>1177</v>
      </c>
      <c r="AF624" s="759"/>
      <c r="AG624" s="759"/>
      <c r="AH624" s="759"/>
      <c r="AI624" s="762"/>
      <c r="AJ624" s="769"/>
      <c r="AK624" s="759"/>
      <c r="AL624" s="762" t="s">
        <v>1177</v>
      </c>
      <c r="AM624" s="759"/>
    </row>
    <row r="625" spans="1:39">
      <c r="A625" s="757">
        <v>616</v>
      </c>
      <c r="B625" s="772" t="str">
        <f>INDEX(Standardwerte!$V$6:$V$51,Rechnung!$C625,1)</f>
        <v>Erzeugung C</v>
      </c>
      <c r="C625" s="835">
        <v>45</v>
      </c>
      <c r="D625" s="819"/>
      <c r="E625" s="820"/>
      <c r="F625" s="821"/>
      <c r="G625" s="819"/>
      <c r="H625" s="822"/>
      <c r="J625" s="760" t="s">
        <v>1178</v>
      </c>
      <c r="K625" s="756" t="s">
        <v>1179</v>
      </c>
      <c r="M625" s="756"/>
      <c r="N625" s="760"/>
      <c r="O625" s="852"/>
      <c r="P625" s="756"/>
      <c r="Q625" s="760" t="s">
        <v>1178</v>
      </c>
      <c r="R625" s="756" t="s">
        <v>1179</v>
      </c>
      <c r="S625" s="759"/>
      <c r="T625" s="756"/>
      <c r="U625" s="760"/>
      <c r="V625" s="764"/>
      <c r="W625" s="756"/>
      <c r="X625" s="760" t="s">
        <v>1178</v>
      </c>
      <c r="Y625" s="756" t="s">
        <v>1179</v>
      </c>
      <c r="Z625" s="759"/>
      <c r="AA625" s="777"/>
      <c r="AB625" s="776"/>
      <c r="AC625" s="934"/>
      <c r="AD625" s="777"/>
      <c r="AE625" s="776" t="s">
        <v>1178</v>
      </c>
      <c r="AF625" s="777" t="s">
        <v>1179</v>
      </c>
      <c r="AG625" s="759"/>
      <c r="AH625" s="777"/>
      <c r="AI625" s="776"/>
      <c r="AJ625" s="934"/>
      <c r="AK625" s="777"/>
      <c r="AL625" s="776" t="s">
        <v>1178</v>
      </c>
      <c r="AM625" s="777" t="s">
        <v>1179</v>
      </c>
    </row>
    <row r="626" spans="1:39">
      <c r="A626" s="757">
        <v>617</v>
      </c>
      <c r="B626" s="778" t="s">
        <v>526</v>
      </c>
      <c r="C626" s="830"/>
      <c r="D626" s="779"/>
      <c r="E626" s="312"/>
      <c r="F626" s="313">
        <f>INDEX($M$10:$AM$162,$A$10+(_typ1-1)*14,1)</f>
        <v>0</v>
      </c>
      <c r="G626" s="780"/>
      <c r="H626" s="781"/>
      <c r="J626" s="782">
        <f>INDEX(Standardwerte!$Y$6:$Z$51,$C625,2)</f>
        <v>1</v>
      </c>
      <c r="K626" s="783">
        <f>INDEX(Standardwerte!$Y$6:$Z$51,$C625,1)</f>
        <v>0</v>
      </c>
      <c r="M626" s="315">
        <f>Produzione!$G$8</f>
        <v>0</v>
      </c>
      <c r="N626" s="764"/>
      <c r="O626" s="852"/>
      <c r="P626" s="756"/>
      <c r="Q626" s="756"/>
      <c r="R626" s="756"/>
      <c r="S626" s="759"/>
      <c r="T626" s="315">
        <f>Produzione!$G$22</f>
        <v>0</v>
      </c>
      <c r="U626" s="764"/>
      <c r="V626" s="764"/>
      <c r="W626" s="756"/>
      <c r="X626" s="756"/>
      <c r="Y626" s="756"/>
      <c r="Z626" s="759"/>
      <c r="AA626" s="315">
        <f>Produzione!$G$36</f>
        <v>0</v>
      </c>
      <c r="AB626" s="764"/>
      <c r="AC626" s="764"/>
      <c r="AD626" s="756"/>
      <c r="AE626" s="756"/>
      <c r="AF626" s="756"/>
      <c r="AG626" s="759"/>
      <c r="AH626" s="315">
        <f>Produzione!$G$50</f>
        <v>0</v>
      </c>
      <c r="AI626" s="764"/>
      <c r="AJ626" s="764"/>
      <c r="AK626" s="756"/>
      <c r="AL626" s="756"/>
      <c r="AM626" s="756"/>
    </row>
    <row r="627" spans="1:39">
      <c r="A627" s="757">
        <v>618</v>
      </c>
      <c r="B627" s="784" t="s">
        <v>697</v>
      </c>
      <c r="C627" s="794" t="s">
        <v>776</v>
      </c>
      <c r="E627" s="786"/>
      <c r="F627" s="809">
        <f>INDEX(Standardwerte!$W$6:$W$51,$C625,1)</f>
        <v>100</v>
      </c>
      <c r="G627" s="787"/>
      <c r="H627" s="788"/>
      <c r="J627" s="782"/>
      <c r="K627" s="783"/>
      <c r="M627" s="315">
        <f>Produzione!$G$10</f>
        <v>0</v>
      </c>
      <c r="N627" s="764"/>
      <c r="O627" s="1544">
        <f>F627</f>
        <v>100</v>
      </c>
      <c r="P627" s="756"/>
      <c r="Q627" s="756"/>
      <c r="R627" s="756"/>
      <c r="S627" s="759"/>
      <c r="T627" s="315">
        <f>Produzione!$G$24</f>
        <v>0</v>
      </c>
      <c r="U627" s="764"/>
      <c r="V627" s="1544">
        <f>F627</f>
        <v>100</v>
      </c>
      <c r="W627" s="756"/>
      <c r="X627" s="756"/>
      <c r="Y627" s="756"/>
      <c r="Z627" s="759"/>
      <c r="AA627" s="315">
        <f>Produzione!$G$38</f>
        <v>0</v>
      </c>
      <c r="AB627" s="764"/>
      <c r="AC627" s="1544">
        <f>F627</f>
        <v>100</v>
      </c>
      <c r="AD627" s="756"/>
      <c r="AE627" s="756"/>
      <c r="AF627" s="756"/>
      <c r="AG627" s="759"/>
      <c r="AH627" s="315">
        <f>Produzione!$G$52</f>
        <v>0</v>
      </c>
      <c r="AI627" s="764"/>
      <c r="AJ627" s="1544">
        <f>F627</f>
        <v>100</v>
      </c>
      <c r="AK627" s="756"/>
      <c r="AL627" s="756"/>
      <c r="AM627" s="756"/>
    </row>
    <row r="628" spans="1:39">
      <c r="A628" s="757">
        <v>619</v>
      </c>
      <c r="B628" s="789" t="s">
        <v>698</v>
      </c>
      <c r="C628" s="794" t="s">
        <v>776</v>
      </c>
      <c r="D628" s="786"/>
      <c r="E628" s="786" t="str">
        <f>IF(OR(M627&gt;O627,T627&gt;V627,AA627&gt;AC627,AH627&gt;AJ627),"","")</f>
        <v/>
      </c>
      <c r="F628" s="1344"/>
      <c r="G628" s="792"/>
      <c r="H628" s="793"/>
      <c r="J628" s="782"/>
      <c r="K628" s="783"/>
      <c r="L628" s="770">
        <v>1</v>
      </c>
      <c r="M628" s="756"/>
      <c r="N628" s="766"/>
      <c r="O628" s="854"/>
      <c r="P628" s="756"/>
      <c r="Q628" s="756"/>
      <c r="R628" s="756"/>
      <c r="S628" s="759"/>
      <c r="T628" s="756"/>
      <c r="U628" s="766"/>
      <c r="V628" s="767"/>
      <c r="W628" s="756"/>
      <c r="X628" s="756"/>
      <c r="Y628" s="756"/>
      <c r="Z628" s="759"/>
      <c r="AA628" s="756"/>
      <c r="AB628" s="766"/>
      <c r="AC628" s="767"/>
      <c r="AD628" s="756"/>
      <c r="AE628" s="756"/>
      <c r="AF628" s="756"/>
      <c r="AG628" s="759"/>
      <c r="AH628" s="756"/>
      <c r="AI628" s="766"/>
      <c r="AJ628" s="767"/>
      <c r="AK628" s="756"/>
      <c r="AL628" s="756"/>
      <c r="AM628" s="756"/>
    </row>
    <row r="629" spans="1:39">
      <c r="A629" s="757">
        <v>620</v>
      </c>
      <c r="B629" s="789" t="s">
        <v>699</v>
      </c>
      <c r="C629" s="794" t="s">
        <v>776</v>
      </c>
      <c r="D629" s="786"/>
      <c r="E629" s="786"/>
      <c r="F629" s="791"/>
      <c r="G629" s="303"/>
      <c r="H629" s="316"/>
      <c r="J629" s="782"/>
      <c r="K629" s="783"/>
      <c r="M629" s="756"/>
      <c r="N629" s="321"/>
      <c r="O629" s="855" t="str">
        <f>IF(M627&lt;&gt;0,M627,IF(Produzione!$E$10&lt;&gt;"",Produzione!$E$10,Produzione!$G$9))</f>
        <v/>
      </c>
      <c r="P629" s="756"/>
      <c r="Q629" s="756"/>
      <c r="R629" s="756"/>
      <c r="S629" s="759"/>
      <c r="T629" s="756"/>
      <c r="U629" s="321"/>
      <c r="V629" s="322" t="str">
        <f>IF(T627&lt;&gt;0,T627,IF(Produzione!$E$24&lt;&gt;"",Produzione!$E$24,Produzione!$G$23))</f>
        <v/>
      </c>
      <c r="W629" s="756"/>
      <c r="X629" s="756"/>
      <c r="Y629" s="756"/>
      <c r="Z629" s="759"/>
      <c r="AA629" s="756"/>
      <c r="AB629" s="321"/>
      <c r="AC629" s="322" t="str">
        <f>IF(AA627&lt;&gt;0,AA627,IF(Produzione!$E$38&lt;&gt;"",Produzione!$E$38,Produzione!$G$37))</f>
        <v/>
      </c>
      <c r="AD629" s="756"/>
      <c r="AE629" s="756"/>
      <c r="AF629" s="756"/>
      <c r="AG629" s="759"/>
      <c r="AH629" s="756"/>
      <c r="AI629" s="321"/>
      <c r="AJ629" s="322" t="str">
        <f>IF(AH627&lt;&gt;0,AH627,IF(Produzione!$E$52&lt;&gt;"",Produzione!$E$52,Produzione!$G$51))</f>
        <v/>
      </c>
      <c r="AK629" s="756"/>
      <c r="AL629" s="756"/>
      <c r="AM629" s="756"/>
    </row>
    <row r="630" spans="1:39">
      <c r="A630" s="757">
        <v>621</v>
      </c>
      <c r="B630" s="789" t="s">
        <v>51</v>
      </c>
      <c r="C630" s="790" t="s">
        <v>761</v>
      </c>
      <c r="D630" s="787"/>
      <c r="E630" s="795"/>
      <c r="F630" s="1344"/>
      <c r="G630" s="796"/>
      <c r="H630" s="797"/>
      <c r="J630" s="782"/>
      <c r="K630" s="783"/>
      <c r="L630" s="770">
        <v>2</v>
      </c>
      <c r="M630" s="315">
        <f>Produzione!$G$12</f>
        <v>0</v>
      </c>
      <c r="N630" s="758"/>
      <c r="O630" s="854"/>
      <c r="P630" s="756"/>
      <c r="Q630" s="756"/>
      <c r="R630" s="756"/>
      <c r="S630" s="759"/>
      <c r="T630" s="315">
        <f>Produzione!$G$26</f>
        <v>0</v>
      </c>
      <c r="U630" s="758"/>
      <c r="V630" s="758"/>
      <c r="W630" s="756"/>
      <c r="X630" s="756"/>
      <c r="Y630" s="756"/>
      <c r="Z630" s="759"/>
      <c r="AA630" s="315">
        <f>Produzione!$G$40</f>
        <v>0</v>
      </c>
      <c r="AB630" s="758"/>
      <c r="AC630" s="758"/>
      <c r="AD630" s="756"/>
      <c r="AE630" s="756"/>
      <c r="AF630" s="756"/>
      <c r="AG630" s="759"/>
      <c r="AH630" s="315">
        <f>Produzione!$G$54</f>
        <v>0</v>
      </c>
      <c r="AI630" s="758"/>
      <c r="AJ630" s="758"/>
      <c r="AK630" s="756"/>
      <c r="AL630" s="756"/>
      <c r="AM630" s="756"/>
    </row>
    <row r="631" spans="1:39">
      <c r="A631" s="757">
        <v>622</v>
      </c>
      <c r="B631" s="789" t="str">
        <f>IF(J626=1,"fabbisogno di potenza termica dell'edificio","")</f>
        <v>fabbisogno di potenza termica dell'edificio</v>
      </c>
      <c r="C631" s="790" t="str">
        <f>IF(J626=1,"kW","")</f>
        <v>kW</v>
      </c>
      <c r="D631" s="796"/>
      <c r="E631" s="795"/>
      <c r="F631" s="1344"/>
      <c r="G631" s="787"/>
      <c r="H631" s="798"/>
      <c r="J631" s="782"/>
      <c r="K631" s="783"/>
      <c r="L631" s="770">
        <v>2</v>
      </c>
      <c r="M631" s="315">
        <f>Produzione!$G$13</f>
        <v>0</v>
      </c>
      <c r="N631" s="764"/>
      <c r="O631" s="852"/>
      <c r="P631" s="756"/>
      <c r="Q631" s="756"/>
      <c r="R631" s="756"/>
      <c r="S631" s="759"/>
      <c r="T631" s="315">
        <f>Produzione!$G$27</f>
        <v>0</v>
      </c>
      <c r="U631" s="764"/>
      <c r="V631" s="768"/>
      <c r="W631" s="756"/>
      <c r="X631" s="756"/>
      <c r="Y631" s="756"/>
      <c r="Z631" s="759"/>
      <c r="AA631" s="315">
        <f>Produzione!$G$41</f>
        <v>0</v>
      </c>
      <c r="AB631" s="764"/>
      <c r="AC631" s="768"/>
      <c r="AD631" s="756"/>
      <c r="AE631" s="756"/>
      <c r="AF631" s="756"/>
      <c r="AG631" s="759"/>
      <c r="AH631" s="315">
        <f>Produzione!$G$55</f>
        <v>0</v>
      </c>
      <c r="AI631" s="764"/>
      <c r="AJ631" s="768"/>
      <c r="AK631" s="756"/>
      <c r="AL631" s="756"/>
      <c r="AM631" s="756"/>
    </row>
    <row r="632" spans="1:39">
      <c r="A632" s="757">
        <v>623</v>
      </c>
      <c r="B632" s="799" t="str">
        <f>IF(J626=1,"Temperatura di mandata riscaldamento","")</f>
        <v>Temperatura di mandata riscaldamento</v>
      </c>
      <c r="C632" s="831" t="str">
        <f>IF(J626=1,"°C","")</f>
        <v>°C</v>
      </c>
      <c r="D632" s="786"/>
      <c r="E632" s="786"/>
      <c r="F632" s="1344"/>
      <c r="G632" s="787"/>
      <c r="H632" s="800"/>
      <c r="J632" s="782"/>
      <c r="K632" s="783"/>
      <c r="L632" s="770">
        <v>2</v>
      </c>
      <c r="M632" s="315">
        <f>Produzione!$G$14</f>
        <v>0</v>
      </c>
      <c r="N632" s="764"/>
      <c r="P632" s="756"/>
      <c r="Q632" s="756"/>
      <c r="R632" s="756"/>
      <c r="S632" s="759"/>
      <c r="T632" s="315">
        <f>Produzione!$G$28</f>
        <v>0</v>
      </c>
      <c r="U632" s="764"/>
      <c r="W632" s="756"/>
      <c r="X632" s="756"/>
      <c r="Y632" s="756"/>
      <c r="Z632" s="759"/>
      <c r="AA632" s="315">
        <f>Produzione!$G$42</f>
        <v>0</v>
      </c>
      <c r="AB632" s="764"/>
      <c r="AD632" s="756"/>
      <c r="AE632" s="756"/>
      <c r="AF632" s="756"/>
      <c r="AG632" s="759"/>
      <c r="AH632" s="315">
        <f>Produzione!$G$56</f>
        <v>0</v>
      </c>
      <c r="AI632" s="764"/>
      <c r="AK632" s="756"/>
      <c r="AL632" s="756"/>
      <c r="AM632" s="756"/>
    </row>
    <row r="633" spans="1:39">
      <c r="A633" s="757">
        <v>624</v>
      </c>
      <c r="B633" s="799" t="str">
        <f>IF(AND(Warmwasser,K626=1),"Temperatura acqua calda sanitaria","")</f>
        <v/>
      </c>
      <c r="C633" s="831" t="str">
        <f>IF(AND(Warmwasser,K626=1),"°C","")</f>
        <v/>
      </c>
      <c r="D633" s="786"/>
      <c r="E633" s="786"/>
      <c r="F633" s="1344"/>
      <c r="G633" s="796"/>
      <c r="H633" s="788"/>
      <c r="J633" s="782"/>
      <c r="K633" s="783"/>
      <c r="M633" s="315">
        <f>Produzione!$G$15</f>
        <v>0</v>
      </c>
      <c r="N633" s="758"/>
      <c r="O633" s="853"/>
      <c r="P633" s="756"/>
      <c r="Q633" s="756"/>
      <c r="R633" s="756" t="str">
        <f>IF(AND($K626=0,R636&lt;&gt;0),"Heizung ausgewählt",IF(AND($J626=0,Q608&gt;0),"Warmwasser ausgewählt",""))</f>
        <v/>
      </c>
      <c r="S633" s="759"/>
      <c r="T633" s="315">
        <f>Produzione!$G$29</f>
        <v>0</v>
      </c>
      <c r="U633" s="758"/>
      <c r="V633" s="765"/>
      <c r="W633" s="756"/>
      <c r="X633" s="756"/>
      <c r="Y633" s="756" t="str">
        <f>IF(AND($K626=0,Y636&lt;&gt;0),"Heizung ausgewählt",IF(AND($J626=0,X608&gt;0),"Warmwasser ausgewählt",""))</f>
        <v/>
      </c>
      <c r="Z633" s="759"/>
      <c r="AA633" s="315">
        <f>Produzione!$G$43</f>
        <v>0</v>
      </c>
      <c r="AB633" s="758"/>
      <c r="AC633" s="765"/>
      <c r="AD633" s="756"/>
      <c r="AE633" s="756"/>
      <c r="AF633" s="756" t="str">
        <f>IF(AND($K626=0,AF636&lt;&gt;0),"Heizung ausgewählt",IF(AND($J626=0,AE608&gt;0),"Warmwasser ausgewählt",""))</f>
        <v/>
      </c>
      <c r="AG633" s="759"/>
      <c r="AH633" s="315">
        <f>Produzione!$G$57</f>
        <v>0</v>
      </c>
      <c r="AI633" s="758"/>
      <c r="AJ633" s="765"/>
      <c r="AK633" s="756"/>
      <c r="AL633" s="756"/>
      <c r="AM633" s="756" t="str">
        <f>IF(AND($K626=0,AM636&lt;&gt;0),"Heizung ausgewählt",IF(AND($J626=0,AL608&gt;0),"Warmwasser ausgewählt",""))</f>
        <v/>
      </c>
    </row>
    <row r="634" spans="1:39">
      <c r="A634" s="757">
        <v>625</v>
      </c>
      <c r="B634" s="799" t="s">
        <v>1374</v>
      </c>
      <c r="C634" s="790" t="s">
        <v>410</v>
      </c>
      <c r="D634" s="795"/>
      <c r="E634" s="795"/>
      <c r="F634" s="791"/>
      <c r="G634" s="303"/>
      <c r="H634" s="317"/>
      <c r="J634" s="801"/>
      <c r="K634" s="802"/>
      <c r="M634" s="756"/>
      <c r="N634" s="321"/>
      <c r="O634" s="849">
        <f>IF(O629="",,R634/100*qw/O629+Q634/100*qh/3.6/O629)</f>
        <v>0</v>
      </c>
      <c r="P634" s="756"/>
      <c r="Q634" s="756">
        <f>IF(AND(Q636&lt;&gt;0,Q635=0),Q636,IF(Q636&lt;&gt;0,MIN(Q636,Q635),Q635))*$J626</f>
        <v>0</v>
      </c>
      <c r="R634" s="756">
        <f>IF(AND(R636&lt;&gt;0,R635=0),R636,IF(R636&lt;&gt;0,MIN(R636,R635),R635))*$K626</f>
        <v>0</v>
      </c>
      <c r="S634" s="759"/>
      <c r="T634" s="756"/>
      <c r="U634" s="321"/>
      <c r="V634" s="847">
        <f>IF(V629="",,Y634/100*qw/V629+X634/100*qh/3.6/V629)</f>
        <v>0</v>
      </c>
      <c r="W634" s="756"/>
      <c r="X634" s="756">
        <f>IF(AND(X636&lt;&gt;0,X635=0),X636,IF(X636&lt;&gt;0,MIN(X636,X635),X635))*J626</f>
        <v>0</v>
      </c>
      <c r="Y634" s="756">
        <f>IF(AND(Y636&lt;&gt;0,Y635=0),Y636,IF(Y636&lt;&gt;0,MIN(Y636,Y635),Y635))*$K626</f>
        <v>0</v>
      </c>
      <c r="Z634" s="759"/>
      <c r="AA634" s="756"/>
      <c r="AB634" s="321"/>
      <c r="AC634" s="847">
        <f>IF(AC629="",,AF634/100*qw/AC629+AE634/100*qh/3.6/AC629)</f>
        <v>0</v>
      </c>
      <c r="AD634" s="756"/>
      <c r="AE634" s="756">
        <f>IF(AND(AE636&lt;&gt;0,AE635=0),AE636,IF(AE636&lt;&gt;0,MIN(AE636,AE635),AE635))*J626</f>
        <v>0</v>
      </c>
      <c r="AF634" s="756">
        <f>IF(AND(AF636&lt;&gt;0,AF635=0),AF636,IF(AF636&lt;&gt;0,MIN(AF636,AF635),AF635))*$K626</f>
        <v>0</v>
      </c>
      <c r="AG634" s="759"/>
      <c r="AH634" s="756"/>
      <c r="AI634" s="321"/>
      <c r="AJ634" s="847">
        <f>IF(AJ629="",,AM634/100*qw/AJ629+AL634/100*qh/3.6/AJ629)</f>
        <v>0</v>
      </c>
      <c r="AK634" s="756"/>
      <c r="AL634" s="756">
        <f>IF(AND(AL636&lt;&gt;0,AL635=0),AL636,IF(AL636&lt;&gt;0,MIN(AL636,AL635),AL635))*J626</f>
        <v>0</v>
      </c>
      <c r="AM634" s="756">
        <f>IF(AND(AM636&lt;&gt;0,AM635=0),AM636,IF(AM636&lt;&gt;0,MIN(AM636,AM635),AM635))*$K626</f>
        <v>0</v>
      </c>
    </row>
    <row r="635" spans="1:39">
      <c r="A635" s="757">
        <v>626</v>
      </c>
      <c r="B635" s="789" t="s">
        <v>652</v>
      </c>
      <c r="C635" s="1545" t="s">
        <v>410</v>
      </c>
      <c r="D635" s="795"/>
      <c r="E635" s="786"/>
      <c r="F635" s="792"/>
      <c r="G635" s="303"/>
      <c r="H635" s="318"/>
      <c r="J635" s="803"/>
      <c r="K635" s="804"/>
      <c r="M635" s="758"/>
      <c r="N635" s="321"/>
      <c r="O635" s="845">
        <f>IF(O629=0,,(Q634/100*qh/3.6+R634/100*qw))</f>
        <v>0</v>
      </c>
      <c r="P635" s="756"/>
      <c r="Q635" s="756">
        <f>IF(M631&gt;0,(1-MIN((1-MIN((1-MIN(MIN(R634,R636)/100*qw*EBF/8760/M630/O629*1000,1))*M630*O629/1000/M631,1))^2,1))*100,0)*$J626</f>
        <v>0</v>
      </c>
      <c r="R635" s="756">
        <f>IF(EBF&gt;0,(0.9*MIN(M630/1000*O629/qw/EBF*8760,1))*100*$K626,)</f>
        <v>0</v>
      </c>
      <c r="S635" s="759"/>
      <c r="T635" s="756"/>
      <c r="U635" s="321"/>
      <c r="V635" s="845">
        <f>IF(V629=0,,(X634/100*qh/3.6+Y634/100*qw))</f>
        <v>0</v>
      </c>
      <c r="W635" s="756"/>
      <c r="X635" s="756">
        <f>IF(T631&gt;0,(1-MIN((1-MIN((1-MIN(MIN(Y634,Y636)/100*qw*EBF/8760/T630/V629*1000,1))*T630*V629/1000/T631,1))^2,1))*100,0)*$J626</f>
        <v>0</v>
      </c>
      <c r="Y635" s="756">
        <f>IF(EBF&gt;0,(0.9*MIN(T630/1000*V629/qw/EBF*8760,1))*100*$K626,)</f>
        <v>0</v>
      </c>
      <c r="Z635" s="759"/>
      <c r="AA635" s="758"/>
      <c r="AB635" s="321"/>
      <c r="AC635" s="845">
        <f>IF(AC629=0,,(AE634/100*qh/3.6+AF634/100*qw))</f>
        <v>0</v>
      </c>
      <c r="AD635" s="756"/>
      <c r="AE635" s="756">
        <f>IF(AA631&gt;0,(1-MIN((1-MIN((1-MIN(MIN(AF634,AF636)/100*qw*EBF/8760/AA630/AC629*1000,1))*AA630*AC629/1000/AA631,1))^2,1))*100,0)*$J626</f>
        <v>0</v>
      </c>
      <c r="AF635" s="756">
        <f>IF(EBF&gt;0,(0.9*MIN(AA630/1000*AC629/qw/EBF*8760,1))*100*$K626,)</f>
        <v>0</v>
      </c>
      <c r="AG635" s="759"/>
      <c r="AH635" s="758"/>
      <c r="AI635" s="321"/>
      <c r="AJ635" s="845">
        <f>IF(AJ629=0,,(AL634/100*qh/3.6+AM634/100*qw))</f>
        <v>0</v>
      </c>
      <c r="AK635" s="756"/>
      <c r="AL635" s="756">
        <f>IF(AH631&gt;0,(1-MIN((1-MIN((1-MIN(MIN(AM634,AM636)/100*qw*EBF/8760/AH630/AJ629*1000,1))*AH630*AJ629/1000/AH631,1))^2,1))*100,0)*$J626</f>
        <v>0</v>
      </c>
      <c r="AM635" s="756">
        <f>IF(EBF&gt;0,(0.9*MIN(AH630/1000*AJ629/qw/EBF*8760,1))*100*$K626,)</f>
        <v>0</v>
      </c>
    </row>
    <row r="636" spans="1:39">
      <c r="A636" s="757">
        <v>627</v>
      </c>
      <c r="B636" s="824"/>
      <c r="C636" s="1546"/>
      <c r="D636" s="806"/>
      <c r="E636" s="806"/>
      <c r="F636" s="774"/>
      <c r="G636" s="319"/>
      <c r="H636" s="320"/>
      <c r="J636" s="807"/>
      <c r="K636" s="808"/>
      <c r="M636" s="756"/>
      <c r="N636" s="325"/>
      <c r="O636" s="858"/>
      <c r="P636" s="756"/>
      <c r="Q636" s="315">
        <f>Produzione!$K$18</f>
        <v>0</v>
      </c>
      <c r="R636" s="315">
        <f>Produzione!$L$18</f>
        <v>0</v>
      </c>
      <c r="S636" s="759"/>
      <c r="T636" s="756"/>
      <c r="U636" s="325"/>
      <c r="V636" s="325"/>
      <c r="W636" s="756"/>
      <c r="X636" s="315">
        <f>Produzione!$K$32</f>
        <v>0</v>
      </c>
      <c r="Y636" s="315">
        <f>Produzione!$L$32</f>
        <v>0</v>
      </c>
      <c r="Z636" s="759"/>
      <c r="AA636" s="756"/>
      <c r="AB636" s="325"/>
      <c r="AC636" s="325"/>
      <c r="AD636" s="756"/>
      <c r="AE636" s="315">
        <f>Produzione!$K$46</f>
        <v>0</v>
      </c>
      <c r="AF636" s="315">
        <f>Produzione!$L$46</f>
        <v>0</v>
      </c>
      <c r="AG636" s="759"/>
      <c r="AH636" s="756"/>
      <c r="AI636" s="325"/>
      <c r="AJ636" s="325"/>
      <c r="AK636" s="756"/>
      <c r="AL636" s="315">
        <f>Produzione!$K$60</f>
        <v>0</v>
      </c>
      <c r="AM636" s="315">
        <f>Produzione!$L$60</f>
        <v>0</v>
      </c>
    </row>
    <row r="637" spans="1:39">
      <c r="A637" s="757">
        <v>628</v>
      </c>
      <c r="B637" s="759"/>
      <c r="C637" s="833"/>
      <c r="D637" s="759"/>
      <c r="E637" s="759"/>
      <c r="F637" s="817"/>
      <c r="G637" s="759"/>
      <c r="H637" s="759"/>
      <c r="I637" s="759"/>
      <c r="J637" s="759"/>
      <c r="Q637" s="761" t="str">
        <f>IF(AND(Q635&lt;&gt;0,Q636&gt;Q635),"tasso troppo alto",IF(AND(R635&lt;&gt;0,R636&gt;R635),"tasso troppo alto",""))</f>
        <v/>
      </c>
      <c r="S637" s="759"/>
      <c r="X637" s="761" t="str">
        <f>IF(AND(X635&lt;&gt;0,X636&gt;X635),"tasso troppo alto",IF(AND(Y635&lt;&gt;0,Y636&gt;Y635),"tasso troppo alto",""))</f>
        <v/>
      </c>
      <c r="Z637" s="759"/>
      <c r="AE637" s="761" t="str">
        <f>IF(AND(AE635&lt;&gt;0,AE636&gt;AE635),"tasso troppo alto",IF(AND(AF635&lt;&gt;0,AF636&gt;AF635),"tasso troppo alto",""))</f>
        <v/>
      </c>
      <c r="AG637" s="759"/>
      <c r="AL637" s="761" t="str">
        <f>IF(AND(AL635&lt;&gt;0,AL636&gt;AL635),"tasso troppo alto",IF(AND(AM635&lt;&gt;0,AM636&gt;AM635),"tasso troppo alto",""))</f>
        <v/>
      </c>
    </row>
    <row r="638" spans="1:39">
      <c r="A638" s="757">
        <v>629</v>
      </c>
      <c r="B638" s="755"/>
      <c r="C638" s="834"/>
      <c r="D638" s="762"/>
      <c r="E638" s="762"/>
      <c r="G638" s="762"/>
      <c r="H638" s="818"/>
      <c r="J638" s="762" t="s">
        <v>1177</v>
      </c>
      <c r="N638" s="762"/>
      <c r="O638" s="860"/>
      <c r="P638" s="759"/>
      <c r="Q638" s="762" t="s">
        <v>1177</v>
      </c>
      <c r="R638" s="759"/>
      <c r="S638" s="759"/>
      <c r="T638" s="759"/>
      <c r="U638" s="762"/>
      <c r="V638" s="769"/>
      <c r="W638" s="759"/>
      <c r="X638" s="762" t="s">
        <v>1177</v>
      </c>
      <c r="Y638" s="759"/>
      <c r="Z638" s="759"/>
      <c r="AA638" s="759"/>
      <c r="AB638" s="762"/>
      <c r="AC638" s="769"/>
      <c r="AD638" s="759"/>
      <c r="AE638" s="762" t="s">
        <v>1177</v>
      </c>
      <c r="AF638" s="759"/>
      <c r="AG638" s="759"/>
      <c r="AH638" s="759"/>
      <c r="AI638" s="762"/>
      <c r="AJ638" s="769"/>
      <c r="AK638" s="759"/>
      <c r="AL638" s="762" t="s">
        <v>1177</v>
      </c>
      <c r="AM638" s="759"/>
    </row>
    <row r="639" spans="1:39">
      <c r="A639" s="757">
        <v>630</v>
      </c>
      <c r="B639" s="772" t="str">
        <f>INDEX(Standardwerte!$V$6:$V$51,Rechnung!$C639,1)</f>
        <v>Erzeugung D</v>
      </c>
      <c r="C639" s="835">
        <v>46</v>
      </c>
      <c r="D639" s="819"/>
      <c r="E639" s="820"/>
      <c r="F639" s="821"/>
      <c r="G639" s="819"/>
      <c r="H639" s="822"/>
      <c r="J639" s="760" t="s">
        <v>1178</v>
      </c>
      <c r="K639" s="756" t="s">
        <v>1179</v>
      </c>
      <c r="M639" s="756"/>
      <c r="N639" s="760"/>
      <c r="O639" s="852"/>
      <c r="P639" s="756"/>
      <c r="Q639" s="760" t="s">
        <v>1178</v>
      </c>
      <c r="R639" s="756" t="s">
        <v>1179</v>
      </c>
      <c r="S639" s="759"/>
      <c r="T639" s="756"/>
      <c r="U639" s="760"/>
      <c r="V639" s="764"/>
      <c r="W639" s="756"/>
      <c r="X639" s="760" t="s">
        <v>1178</v>
      </c>
      <c r="Y639" s="756" t="s">
        <v>1179</v>
      </c>
      <c r="Z639" s="759"/>
      <c r="AA639" s="777"/>
      <c r="AB639" s="776"/>
      <c r="AC639" s="934"/>
      <c r="AD639" s="777"/>
      <c r="AE639" s="776" t="s">
        <v>1178</v>
      </c>
      <c r="AF639" s="777" t="s">
        <v>1179</v>
      </c>
      <c r="AG639" s="759"/>
      <c r="AH639" s="777"/>
      <c r="AI639" s="776"/>
      <c r="AJ639" s="934"/>
      <c r="AK639" s="777"/>
      <c r="AL639" s="776" t="s">
        <v>1178</v>
      </c>
      <c r="AM639" s="777" t="s">
        <v>1179</v>
      </c>
    </row>
    <row r="640" spans="1:39">
      <c r="A640" s="757">
        <v>631</v>
      </c>
      <c r="B640" s="778" t="s">
        <v>526</v>
      </c>
      <c r="C640" s="830"/>
      <c r="D640" s="779"/>
      <c r="E640" s="312"/>
      <c r="F640" s="313">
        <f>INDEX($M$10:$AM$162,$A$10+(_typ1-1)*14,1)</f>
        <v>0</v>
      </c>
      <c r="G640" s="780"/>
      <c r="H640" s="781"/>
      <c r="J640" s="782">
        <f>INDEX(Standardwerte!$Y$6:$Z$51,$C639,2)</f>
        <v>0</v>
      </c>
      <c r="K640" s="783">
        <f>INDEX(Standardwerte!$Y$6:$Z$51,$C639,1)</f>
        <v>1</v>
      </c>
      <c r="M640" s="315">
        <f>Produzione!$G$8</f>
        <v>0</v>
      </c>
      <c r="N640" s="764"/>
      <c r="O640" s="852"/>
      <c r="P640" s="756"/>
      <c r="Q640" s="756"/>
      <c r="R640" s="756"/>
      <c r="S640" s="759"/>
      <c r="T640" s="315">
        <f>Produzione!$G$22</f>
        <v>0</v>
      </c>
      <c r="U640" s="764"/>
      <c r="V640" s="764"/>
      <c r="W640" s="756"/>
      <c r="X640" s="756"/>
      <c r="Y640" s="756"/>
      <c r="Z640" s="759"/>
      <c r="AA640" s="315">
        <f>Produzione!$G$36</f>
        <v>0</v>
      </c>
      <c r="AB640" s="764"/>
      <c r="AC640" s="764"/>
      <c r="AD640" s="756"/>
      <c r="AE640" s="756"/>
      <c r="AF640" s="756"/>
      <c r="AG640" s="759"/>
      <c r="AH640" s="315">
        <f>Produzione!$G$50</f>
        <v>0</v>
      </c>
      <c r="AI640" s="764"/>
      <c r="AJ640" s="764"/>
      <c r="AK640" s="756"/>
      <c r="AL640" s="756"/>
      <c r="AM640" s="756"/>
    </row>
    <row r="641" spans="1:39">
      <c r="A641" s="757">
        <v>632</v>
      </c>
      <c r="B641" s="784" t="s">
        <v>697</v>
      </c>
      <c r="C641" s="794" t="s">
        <v>776</v>
      </c>
      <c r="E641" s="786"/>
      <c r="F641" s="809">
        <f>INDEX(Standardwerte!$W$6:$W$51,$C639,1)</f>
        <v>100</v>
      </c>
      <c r="G641" s="787"/>
      <c r="H641" s="788"/>
      <c r="J641" s="782"/>
      <c r="K641" s="783"/>
      <c r="M641" s="315">
        <f>Produzione!$G$10</f>
        <v>0</v>
      </c>
      <c r="N641" s="764"/>
      <c r="O641" s="1544">
        <f>F641</f>
        <v>100</v>
      </c>
      <c r="P641" s="756"/>
      <c r="Q641" s="756"/>
      <c r="R641" s="756"/>
      <c r="S641" s="759"/>
      <c r="T641" s="315">
        <f>Produzione!$G$24</f>
        <v>0</v>
      </c>
      <c r="U641" s="764"/>
      <c r="V641" s="1544">
        <f>F641</f>
        <v>100</v>
      </c>
      <c r="W641" s="756"/>
      <c r="X641" s="756"/>
      <c r="Y641" s="756"/>
      <c r="Z641" s="759"/>
      <c r="AA641" s="315">
        <f>Produzione!$G$38</f>
        <v>0</v>
      </c>
      <c r="AB641" s="764"/>
      <c r="AC641" s="1544">
        <f>F641</f>
        <v>100</v>
      </c>
      <c r="AD641" s="756"/>
      <c r="AE641" s="756"/>
      <c r="AF641" s="756"/>
      <c r="AG641" s="759"/>
      <c r="AH641" s="315">
        <f>Produzione!$G$52</f>
        <v>0</v>
      </c>
      <c r="AI641" s="764"/>
      <c r="AJ641" s="1544">
        <f>F641</f>
        <v>100</v>
      </c>
      <c r="AK641" s="756"/>
      <c r="AL641" s="756"/>
      <c r="AM641" s="756"/>
    </row>
    <row r="642" spans="1:39">
      <c r="A642" s="757">
        <v>633</v>
      </c>
      <c r="B642" s="789" t="s">
        <v>698</v>
      </c>
      <c r="C642" s="794" t="s">
        <v>776</v>
      </c>
      <c r="D642" s="786"/>
      <c r="E642" s="786" t="str">
        <f>IF(OR(M641&gt;O641,T641&gt;V641,AA641&gt;AC641,AH641&gt;AJ641),"","")</f>
        <v/>
      </c>
      <c r="F642" s="1344"/>
      <c r="G642" s="792"/>
      <c r="H642" s="793"/>
      <c r="J642" s="782"/>
      <c r="K642" s="783"/>
      <c r="L642" s="770">
        <v>1</v>
      </c>
      <c r="M642" s="756"/>
      <c r="N642" s="766"/>
      <c r="O642" s="854"/>
      <c r="P642" s="756"/>
      <c r="Q642" s="756"/>
      <c r="R642" s="756"/>
      <c r="S642" s="759"/>
      <c r="T642" s="756"/>
      <c r="U642" s="766"/>
      <c r="V642" s="767"/>
      <c r="W642" s="756"/>
      <c r="X642" s="756"/>
      <c r="Y642" s="756"/>
      <c r="Z642" s="759"/>
      <c r="AA642" s="756"/>
      <c r="AB642" s="766"/>
      <c r="AC642" s="767"/>
      <c r="AD642" s="756"/>
      <c r="AE642" s="756"/>
      <c r="AF642" s="756"/>
      <c r="AG642" s="759"/>
      <c r="AH642" s="756"/>
      <c r="AI642" s="766"/>
      <c r="AJ642" s="767"/>
      <c r="AK642" s="756"/>
      <c r="AL642" s="756"/>
      <c r="AM642" s="756"/>
    </row>
    <row r="643" spans="1:39">
      <c r="A643" s="757">
        <v>634</v>
      </c>
      <c r="B643" s="789" t="s">
        <v>699</v>
      </c>
      <c r="C643" s="794" t="s">
        <v>776</v>
      </c>
      <c r="D643" s="786"/>
      <c r="E643" s="786"/>
      <c r="F643" s="791"/>
      <c r="G643" s="303"/>
      <c r="H643" s="316"/>
      <c r="J643" s="782"/>
      <c r="K643" s="783"/>
      <c r="M643" s="756"/>
      <c r="N643" s="321"/>
      <c r="O643" s="855" t="str">
        <f>IF(M641&lt;&gt;0,M641,IF(Produzione!$E$10&lt;&gt;"",Produzione!$E$10,Produzione!$G$9))</f>
        <v/>
      </c>
      <c r="P643" s="756"/>
      <c r="Q643" s="756"/>
      <c r="R643" s="756"/>
      <c r="S643" s="759"/>
      <c r="T643" s="756"/>
      <c r="U643" s="321"/>
      <c r="V643" s="322" t="str">
        <f>IF(T641&lt;&gt;0,T641,IF(Produzione!$E$24&lt;&gt;"",Produzione!$E$24,Produzione!$G$23))</f>
        <v/>
      </c>
      <c r="W643" s="756"/>
      <c r="X643" s="756"/>
      <c r="Y643" s="756"/>
      <c r="Z643" s="759"/>
      <c r="AA643" s="756"/>
      <c r="AB643" s="321"/>
      <c r="AC643" s="322" t="str">
        <f>IF(AA641&lt;&gt;0,AA641,IF(Produzione!$E$38&lt;&gt;"",Produzione!$E$38,Produzione!$G$37))</f>
        <v/>
      </c>
      <c r="AD643" s="756"/>
      <c r="AE643" s="756"/>
      <c r="AF643" s="756"/>
      <c r="AG643" s="759"/>
      <c r="AH643" s="756"/>
      <c r="AI643" s="321"/>
      <c r="AJ643" s="322" t="str">
        <f>IF(AH641&lt;&gt;0,AH641,IF(Produzione!$E$52&lt;&gt;"",Produzione!$E$52,Produzione!$G$51))</f>
        <v/>
      </c>
      <c r="AK643" s="756"/>
      <c r="AL643" s="756"/>
      <c r="AM643" s="756"/>
    </row>
    <row r="644" spans="1:39">
      <c r="A644" s="757">
        <v>635</v>
      </c>
      <c r="B644" s="789" t="s">
        <v>51</v>
      </c>
      <c r="C644" s="790" t="s">
        <v>761</v>
      </c>
      <c r="D644" s="787"/>
      <c r="E644" s="795"/>
      <c r="F644" s="1344"/>
      <c r="G644" s="796"/>
      <c r="H644" s="797"/>
      <c r="J644" s="782"/>
      <c r="K644" s="783"/>
      <c r="L644" s="770">
        <v>2</v>
      </c>
      <c r="M644" s="315">
        <f>Produzione!$G$12</f>
        <v>0</v>
      </c>
      <c r="N644" s="758"/>
      <c r="O644" s="854"/>
      <c r="P644" s="756"/>
      <c r="Q644" s="756"/>
      <c r="R644" s="756"/>
      <c r="S644" s="759"/>
      <c r="T644" s="315">
        <f>Produzione!$G$26</f>
        <v>0</v>
      </c>
      <c r="U644" s="758"/>
      <c r="V644" s="758"/>
      <c r="W644" s="756"/>
      <c r="X644" s="756"/>
      <c r="Y644" s="756"/>
      <c r="Z644" s="759"/>
      <c r="AA644" s="315">
        <f>Produzione!$G$40</f>
        <v>0</v>
      </c>
      <c r="AB644" s="758"/>
      <c r="AC644" s="758"/>
      <c r="AD644" s="756"/>
      <c r="AE644" s="756"/>
      <c r="AF644" s="756"/>
      <c r="AG644" s="759"/>
      <c r="AH644" s="315">
        <f>Produzione!$G$54</f>
        <v>0</v>
      </c>
      <c r="AI644" s="758"/>
      <c r="AJ644" s="758"/>
      <c r="AK644" s="756"/>
      <c r="AL644" s="756"/>
      <c r="AM644" s="756"/>
    </row>
    <row r="645" spans="1:39">
      <c r="A645" s="757">
        <v>636</v>
      </c>
      <c r="B645" s="789" t="str">
        <f>IF(J640=1,"fabbisogno di potenza termica dell'edificio","")</f>
        <v/>
      </c>
      <c r="C645" s="790" t="str">
        <f>IF(J640=1,"kW","")</f>
        <v/>
      </c>
      <c r="D645" s="796"/>
      <c r="E645" s="795"/>
      <c r="F645" s="1344"/>
      <c r="G645" s="787"/>
      <c r="H645" s="798"/>
      <c r="J645" s="782"/>
      <c r="K645" s="783"/>
      <c r="L645" s="770">
        <v>2</v>
      </c>
      <c r="M645" s="315">
        <f>Produzione!$G$13</f>
        <v>0</v>
      </c>
      <c r="N645" s="764"/>
      <c r="O645" s="852"/>
      <c r="P645" s="756"/>
      <c r="Q645" s="756"/>
      <c r="R645" s="756"/>
      <c r="S645" s="759"/>
      <c r="T645" s="315">
        <f>Produzione!$G$27</f>
        <v>0</v>
      </c>
      <c r="U645" s="764"/>
      <c r="V645" s="768"/>
      <c r="W645" s="756"/>
      <c r="X645" s="756"/>
      <c r="Y645" s="756"/>
      <c r="Z645" s="759"/>
      <c r="AA645" s="315">
        <f>Produzione!$G$41</f>
        <v>0</v>
      </c>
      <c r="AB645" s="764"/>
      <c r="AC645" s="768"/>
      <c r="AD645" s="756"/>
      <c r="AE645" s="756"/>
      <c r="AF645" s="756"/>
      <c r="AG645" s="759"/>
      <c r="AH645" s="315">
        <f>Produzione!$G$55</f>
        <v>0</v>
      </c>
      <c r="AI645" s="764"/>
      <c r="AJ645" s="768"/>
      <c r="AK645" s="756"/>
      <c r="AL645" s="756"/>
      <c r="AM645" s="756"/>
    </row>
    <row r="646" spans="1:39">
      <c r="A646" s="757">
        <v>637</v>
      </c>
      <c r="B646" s="799" t="str">
        <f>IF(J640=1,"Temperatura di mandata riscaldamento","")</f>
        <v/>
      </c>
      <c r="C646" s="831" t="str">
        <f>IF(J640=1,"°C","")</f>
        <v/>
      </c>
      <c r="D646" s="786"/>
      <c r="E646" s="786"/>
      <c r="F646" s="1344"/>
      <c r="G646" s="787"/>
      <c r="H646" s="800"/>
      <c r="J646" s="782"/>
      <c r="K646" s="783"/>
      <c r="L646" s="770">
        <v>2</v>
      </c>
      <c r="M646" s="315">
        <f>Produzione!$G$14</f>
        <v>0</v>
      </c>
      <c r="N646" s="764"/>
      <c r="P646" s="756"/>
      <c r="Q646" s="756"/>
      <c r="R646" s="756"/>
      <c r="S646" s="759"/>
      <c r="T646" s="315">
        <f>Produzione!$G$28</f>
        <v>0</v>
      </c>
      <c r="U646" s="764"/>
      <c r="W646" s="756"/>
      <c r="X646" s="756"/>
      <c r="Y646" s="756"/>
      <c r="Z646" s="759"/>
      <c r="AA646" s="315">
        <f>Produzione!$G$42</f>
        <v>0</v>
      </c>
      <c r="AB646" s="764"/>
      <c r="AD646" s="756"/>
      <c r="AE646" s="756"/>
      <c r="AF646" s="756"/>
      <c r="AG646" s="759"/>
      <c r="AH646" s="315">
        <f>Produzione!$G$56</f>
        <v>0</v>
      </c>
      <c r="AI646" s="764"/>
      <c r="AK646" s="756"/>
      <c r="AL646" s="756"/>
      <c r="AM646" s="756"/>
    </row>
    <row r="647" spans="1:39">
      <c r="A647" s="757">
        <v>638</v>
      </c>
      <c r="B647" s="799" t="str">
        <f>IF(AND(Warmwasser,K640=1),"Temperatura acqua calda sanitaria","")</f>
        <v/>
      </c>
      <c r="C647" s="831" t="str">
        <f>IF(AND(Warmwasser,K640=1),"°C","")</f>
        <v/>
      </c>
      <c r="D647" s="786"/>
      <c r="E647" s="786"/>
      <c r="F647" s="1344"/>
      <c r="G647" s="796"/>
      <c r="H647" s="788"/>
      <c r="J647" s="782"/>
      <c r="K647" s="783"/>
      <c r="M647" s="315">
        <f>Produzione!$G$15</f>
        <v>0</v>
      </c>
      <c r="N647" s="758"/>
      <c r="O647" s="853"/>
      <c r="P647" s="756"/>
      <c r="Q647" s="756"/>
      <c r="R647" s="756" t="str">
        <f>IF(AND($K640=0,R650&lt;&gt;0),"Heizung ausgewählt",IF(AND($J640=0,Q622&gt;0),"Warmwasser ausgewählt",""))</f>
        <v/>
      </c>
      <c r="S647" s="759"/>
      <c r="T647" s="315">
        <f>Produzione!$G$29</f>
        <v>0</v>
      </c>
      <c r="U647" s="758"/>
      <c r="V647" s="765"/>
      <c r="W647" s="756"/>
      <c r="X647" s="756"/>
      <c r="Y647" s="756" t="str">
        <f>IF(AND($K640=0,Y650&lt;&gt;0),"Heizung ausgewählt",IF(AND($J640=0,X622&gt;0),"Warmwasser ausgewählt",""))</f>
        <v/>
      </c>
      <c r="Z647" s="759"/>
      <c r="AA647" s="315">
        <f>Produzione!$G$43</f>
        <v>0</v>
      </c>
      <c r="AB647" s="758"/>
      <c r="AC647" s="765"/>
      <c r="AD647" s="756"/>
      <c r="AE647" s="756"/>
      <c r="AF647" s="756" t="str">
        <f>IF(AND($K640=0,AF650&lt;&gt;0),"Heizung ausgewählt",IF(AND($J640=0,AE622&gt;0),"Warmwasser ausgewählt",""))</f>
        <v/>
      </c>
      <c r="AG647" s="759"/>
      <c r="AH647" s="315">
        <f>Produzione!$G$57</f>
        <v>0</v>
      </c>
      <c r="AI647" s="758"/>
      <c r="AJ647" s="765"/>
      <c r="AK647" s="756"/>
      <c r="AL647" s="756"/>
      <c r="AM647" s="756" t="str">
        <f>IF(AND($K640=0,AM650&lt;&gt;0),"Heizung ausgewählt",IF(AND($J640=0,AL622&gt;0),"Warmwasser ausgewählt",""))</f>
        <v/>
      </c>
    </row>
    <row r="648" spans="1:39">
      <c r="A648" s="757">
        <v>639</v>
      </c>
      <c r="B648" s="799" t="s">
        <v>1374</v>
      </c>
      <c r="C648" s="790" t="s">
        <v>410</v>
      </c>
      <c r="D648" s="795"/>
      <c r="E648" s="795"/>
      <c r="F648" s="791"/>
      <c r="G648" s="303"/>
      <c r="H648" s="317"/>
      <c r="J648" s="801"/>
      <c r="K648" s="802"/>
      <c r="M648" s="756"/>
      <c r="N648" s="321"/>
      <c r="O648" s="849">
        <f>IF(O643="",,R648/100*qw/O643+Q648/100*qh/3.6/O643)</f>
        <v>0</v>
      </c>
      <c r="P648" s="756"/>
      <c r="Q648" s="756">
        <f>IF(AND(Q650&lt;&gt;0,Q649=0),Q650,IF(Q650&lt;&gt;0,MIN(Q650,Q649),Q649))*$J640</f>
        <v>0</v>
      </c>
      <c r="R648" s="756">
        <f>IF(AND(R650&lt;&gt;0,R649=0),R650,IF(R650&lt;&gt;0,MIN(R650,R649),R649))*$K640</f>
        <v>0</v>
      </c>
      <c r="S648" s="759"/>
      <c r="T648" s="756"/>
      <c r="U648" s="321"/>
      <c r="V648" s="847">
        <f>IF(V643="",,Y648/100*qw/V643+X648/100*qh/3.6/V643)</f>
        <v>0</v>
      </c>
      <c r="W648" s="756"/>
      <c r="X648" s="756">
        <f>IF(AND(X650&lt;&gt;0,X649=0),X650,IF(X650&lt;&gt;0,MIN(X650,X649),X649))*J640</f>
        <v>0</v>
      </c>
      <c r="Y648" s="756">
        <f>IF(AND(Y650&lt;&gt;0,Y649=0),Y650,IF(Y650&lt;&gt;0,MIN(Y650,Y649),Y649))*$K640</f>
        <v>0</v>
      </c>
      <c r="Z648" s="759"/>
      <c r="AA648" s="756"/>
      <c r="AB648" s="321"/>
      <c r="AC648" s="847">
        <f>IF(AC643="",,AF648/100*qw/AC643+AE648/100*qh/3.6/AC643)</f>
        <v>0</v>
      </c>
      <c r="AD648" s="756"/>
      <c r="AE648" s="756">
        <f>IF(AND(AE650&lt;&gt;0,AE649=0),AE650,IF(AE650&lt;&gt;0,MIN(AE650,AE649),AE649))*J640</f>
        <v>0</v>
      </c>
      <c r="AF648" s="756">
        <f>IF(AND(AF650&lt;&gt;0,AF649=0),AF650,IF(AF650&lt;&gt;0,MIN(AF650,AF649),AF649))*$K640</f>
        <v>0</v>
      </c>
      <c r="AG648" s="759"/>
      <c r="AH648" s="756"/>
      <c r="AI648" s="321"/>
      <c r="AJ648" s="847">
        <f>IF(AJ643="",,AM648/100*qw/AJ643+AL648/100*qh/3.6/AJ643)</f>
        <v>0</v>
      </c>
      <c r="AK648" s="756"/>
      <c r="AL648" s="756">
        <f>IF(AND(AL650&lt;&gt;0,AL649=0),AL650,IF(AL650&lt;&gt;0,MIN(AL650,AL649),AL649))*J640</f>
        <v>0</v>
      </c>
      <c r="AM648" s="756">
        <f>IF(AND(AM650&lt;&gt;0,AM649=0),AM650,IF(AM650&lt;&gt;0,MIN(AM650,AM649),AM649))*$K640</f>
        <v>0</v>
      </c>
    </row>
    <row r="649" spans="1:39">
      <c r="A649" s="757">
        <v>640</v>
      </c>
      <c r="B649" s="789" t="s">
        <v>652</v>
      </c>
      <c r="C649" s="1545" t="s">
        <v>410</v>
      </c>
      <c r="D649" s="795"/>
      <c r="E649" s="786"/>
      <c r="F649" s="792"/>
      <c r="G649" s="303"/>
      <c r="H649" s="318"/>
      <c r="J649" s="803"/>
      <c r="K649" s="804"/>
      <c r="M649" s="758"/>
      <c r="N649" s="321"/>
      <c r="O649" s="845">
        <f>IF(O643=0,,(Q648/100*qh/3.6+R648/100*qw))</f>
        <v>0</v>
      </c>
      <c r="P649" s="756"/>
      <c r="Q649" s="756">
        <f>IF(M645&gt;0,(1-MIN((1-MIN((1-MIN(MIN(R648,R650)/100*qw*EBF/8760/M644/O643*1000,1))*M644*O643/1000/M645,1))^2,1))*100,0)*$J640</f>
        <v>0</v>
      </c>
      <c r="R649" s="756">
        <f>IF(EBF&gt;0,(0.9*MIN(M644/1000*O643/qw/EBF*8760,1))*100*$K640,)</f>
        <v>0</v>
      </c>
      <c r="S649" s="759"/>
      <c r="T649" s="756"/>
      <c r="U649" s="321"/>
      <c r="V649" s="845">
        <f>IF(V643=0,,(X648/100*qh/3.6+Y648/100*qw))</f>
        <v>0</v>
      </c>
      <c r="W649" s="756"/>
      <c r="X649" s="756">
        <f>IF(T645&gt;0,(1-MIN((1-MIN((1-MIN(MIN(Y648,Y650)/100*qw*EBF/8760/T644/V643*1000,1))*T644*V643/1000/T645,1))^2,1))*100,0)*$J640</f>
        <v>0</v>
      </c>
      <c r="Y649" s="756">
        <f>IF(EBF&gt;0,(0.9*MIN(T644/1000*V643/qw/EBF*8760,1))*100*$K640,)</f>
        <v>0</v>
      </c>
      <c r="Z649" s="759"/>
      <c r="AA649" s="758"/>
      <c r="AB649" s="321"/>
      <c r="AC649" s="845">
        <f>IF(AC643=0,,(AE648/100*qh/3.6+AF648/100*qw))</f>
        <v>0</v>
      </c>
      <c r="AD649" s="756"/>
      <c r="AE649" s="756">
        <f>IF(AA645&gt;0,(1-MIN((1-MIN((1-MIN(MIN(AF648,AF650)/100*qw*EBF/8760/AA644/AC643*1000,1))*AA644*AC643/1000/AA645,1))^2,1))*100,0)*$J640</f>
        <v>0</v>
      </c>
      <c r="AF649" s="756">
        <f>IF(EBF&gt;0,(0.9*MIN(AA644/1000*AC643/qw/EBF*8760,1))*100*$K640,)</f>
        <v>0</v>
      </c>
      <c r="AG649" s="759"/>
      <c r="AH649" s="758"/>
      <c r="AI649" s="321"/>
      <c r="AJ649" s="845">
        <f>IF(AJ643=0,,(AL648/100*qh/3.6+AM648/100*qw))</f>
        <v>0</v>
      </c>
      <c r="AK649" s="756"/>
      <c r="AL649" s="756">
        <f>IF(AH645&gt;0,(1-MIN((1-MIN((1-MIN(MIN(AM648,AM650)/100*qw*EBF/8760/AH644/AJ643*1000,1))*AH644*AJ643/1000/AH645,1))^2,1))*100,0)*$J640</f>
        <v>0</v>
      </c>
      <c r="AM649" s="756">
        <f>IF(EBF&gt;0,(0.9*MIN(AH644/1000*AJ643/qw/EBF*8760,1))*100*$K640,)</f>
        <v>0</v>
      </c>
    </row>
    <row r="650" spans="1:39">
      <c r="A650" s="757">
        <v>641</v>
      </c>
      <c r="B650" s="824"/>
      <c r="C650" s="1546"/>
      <c r="D650" s="806"/>
      <c r="E650" s="806"/>
      <c r="F650" s="774"/>
      <c r="G650" s="319"/>
      <c r="H650" s="320"/>
      <c r="J650" s="807"/>
      <c r="K650" s="808"/>
      <c r="M650" s="756"/>
      <c r="N650" s="325"/>
      <c r="O650" s="858"/>
      <c r="P650" s="756"/>
      <c r="Q650" s="315">
        <f>Produzione!$K$18</f>
        <v>0</v>
      </c>
      <c r="R650" s="315">
        <f>Produzione!$L$18</f>
        <v>0</v>
      </c>
      <c r="S650" s="759"/>
      <c r="T650" s="756"/>
      <c r="U650" s="325"/>
      <c r="V650" s="325"/>
      <c r="W650" s="756"/>
      <c r="X650" s="315">
        <f>Produzione!$K$32</f>
        <v>0</v>
      </c>
      <c r="Y650" s="315">
        <f>Produzione!$L$32</f>
        <v>0</v>
      </c>
      <c r="Z650" s="759"/>
      <c r="AA650" s="756"/>
      <c r="AB650" s="325"/>
      <c r="AC650" s="325"/>
      <c r="AD650" s="756"/>
      <c r="AE650" s="315">
        <f>Produzione!$K$46</f>
        <v>0</v>
      </c>
      <c r="AF650" s="315">
        <f>Produzione!$L$46</f>
        <v>0</v>
      </c>
      <c r="AG650" s="759"/>
      <c r="AH650" s="756"/>
      <c r="AI650" s="325"/>
      <c r="AJ650" s="325"/>
      <c r="AK650" s="756"/>
      <c r="AL650" s="315">
        <f>Produzione!$K$60</f>
        <v>0</v>
      </c>
      <c r="AM650" s="315">
        <f>Produzione!$L$60</f>
        <v>0</v>
      </c>
    </row>
    <row r="651" spans="1:39">
      <c r="A651" s="757">
        <v>642</v>
      </c>
      <c r="B651" s="759"/>
      <c r="C651" s="833"/>
      <c r="D651" s="759"/>
      <c r="E651" s="759"/>
      <c r="F651" s="817"/>
      <c r="G651" s="759"/>
      <c r="H651" s="759"/>
      <c r="I651" s="759"/>
      <c r="J651" s="759"/>
      <c r="Q651" s="761" t="str">
        <f>IF(AND(Q649&lt;&gt;0,Q650&gt;Q649),"tasso troppo alto",IF(AND(R649&lt;&gt;0,R650&gt;R649),"tasso troppo alto",""))</f>
        <v/>
      </c>
      <c r="S651" s="759"/>
      <c r="X651" s="761" t="str">
        <f>IF(AND(X649&lt;&gt;0,X650&gt;X649),"tasso troppo alto",IF(AND(Y649&lt;&gt;0,Y650&gt;Y649),"tasso troppo alto",""))</f>
        <v/>
      </c>
      <c r="Z651" s="759"/>
      <c r="AE651" s="761" t="str">
        <f>IF(AND(AE649&lt;&gt;0,AE650&gt;AE649),"tasso troppo alto",IF(AND(AF649&lt;&gt;0,AF650&gt;AF649),"tasso troppo alto",""))</f>
        <v/>
      </c>
      <c r="AG651" s="759"/>
      <c r="AL651" s="761" t="str">
        <f>IF(AND(AL649&lt;&gt;0,AL650&gt;AL649),"tasso troppo alto",IF(AND(AM649&lt;&gt;0,AM650&gt;AM649),"tasso troppo alto",""))</f>
        <v/>
      </c>
    </row>
  </sheetData>
  <sheetProtection algorithmName="SHA-512" hashValue="LbXCyG284QjHfsBYIkT5zfIuFv6lRogZ8M5MTTA5xDEpdE3L8zZu+nGaLNPY1SkZeJmfNdI4Z2PT3dE2O6RnTw==" saltValue="tQSm1I1825V4omFcYONspg==" spinCount="100000" sheet="1" objects="1" scenarios="1"/>
  <phoneticPr fontId="5" type="noConversion"/>
  <conditionalFormatting sqref="F25">
    <cfRule type="expression" dxfId="3" priority="1" stopIfTrue="1">
      <formula>$L25=2</formula>
    </cfRule>
  </conditionalFormatting>
  <conditionalFormatting sqref="F39">
    <cfRule type="expression" dxfId="2" priority="2" stopIfTrue="1">
      <formula>$L$39=2</formula>
    </cfRule>
  </conditionalFormatting>
  <conditionalFormatting sqref="F26 F490:F491 F504:F505 F462:F465 F40 F54 F68 F82 F96 F110 F124 F138 F152 F166 F180 F194 F208 F236 F250 F264 F278 F292 F306 F320 F334 F348 F362 F376 F390 F404 F418 F432 F446 F460 F474 F488 F502 F476:F479 F222 F224:F227 F28:F31 F42:F45 F56:F59 F70:F73 F84:F87 F98:F101 F112:F115 F126:F129 F140:F143 F154:F157 F168:F171 F182:F185 F196:F199 F210:F213 F238:F241 F252:F255 F266:F269 F280:F283 F294:F297 F308:F311 F322:F325 F336:F339 F350:F353 F364:F367 F378:F381 F392:F395 F406:F409 F420:F423 F434:F437 F448:F451 F572 F574:F577 F516 F518:F521 F530 F532:F535 F544 F546:F549 F558 F560:F563 F586 F588:F591 F642 F644:F647 F614 F616:F619 F628 F630:F633 F600 F602:F605">
    <cfRule type="expression" dxfId="1" priority="3" stopIfTrue="1">
      <formula>$L26=1</formula>
    </cfRule>
    <cfRule type="expression" dxfId="0" priority="4" stopIfTrue="1">
      <formula>$L26=2</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G155"/>
  <sheetViews>
    <sheetView topLeftCell="AW1" zoomScale="75" zoomScaleNormal="75" workbookViewId="0">
      <selection activeCell="BF28" sqref="BF28"/>
    </sheetView>
  </sheetViews>
  <sheetFormatPr baseColWidth="10" defaultColWidth="11.44140625" defaultRowHeight="13.2"/>
  <cols>
    <col min="1" max="1" width="8.109375" style="59" customWidth="1"/>
    <col min="2" max="2" width="14.33203125" style="59" customWidth="1"/>
    <col min="3" max="7" width="11.44140625" style="59" customWidth="1"/>
    <col min="8" max="8" width="6.33203125" style="59" customWidth="1"/>
    <col min="9" max="12" width="10.6640625" style="59" customWidth="1"/>
    <col min="13" max="13" width="17.44140625" style="59" customWidth="1"/>
    <col min="14" max="14" width="10.6640625" style="59" customWidth="1"/>
    <col min="15" max="15" width="13.33203125" style="59" customWidth="1"/>
    <col min="16" max="16" width="13" style="59" customWidth="1"/>
    <col min="17" max="17" width="10.6640625" style="59" customWidth="1"/>
    <col min="18" max="18" width="11.6640625" style="290" customWidth="1"/>
    <col min="19" max="19" width="10.44140625" style="290" customWidth="1"/>
    <col min="20" max="20" width="24.6640625" style="290" customWidth="1"/>
    <col min="21" max="21" width="30.33203125" style="290" customWidth="1"/>
    <col min="22" max="22" width="36.6640625" style="290" customWidth="1"/>
    <col min="23" max="26" width="10.6640625" style="59" customWidth="1"/>
    <col min="27" max="27" width="13.33203125" style="59" customWidth="1"/>
    <col min="28" max="29" width="14.88671875" style="59" customWidth="1"/>
    <col min="30" max="30" width="12.6640625" style="59" customWidth="1"/>
    <col min="31" max="31" width="27.6640625" style="59" customWidth="1"/>
    <col min="32" max="32" width="34.44140625" style="59" customWidth="1"/>
    <col min="33" max="43" width="4.6640625" style="59" customWidth="1"/>
    <col min="44" max="44" width="5.44140625" style="59" customWidth="1"/>
    <col min="45" max="45" width="5.109375" style="59" customWidth="1"/>
    <col min="46" max="47" width="6.33203125" style="59" customWidth="1"/>
    <col min="48" max="51" width="11.44140625" style="59" customWidth="1"/>
    <col min="52" max="52" width="11.6640625" style="59" customWidth="1"/>
    <col min="53" max="53" width="38.88671875" style="59" customWidth="1"/>
    <col min="54" max="54" width="4" style="59" customWidth="1"/>
    <col min="55" max="55" width="25" style="59" customWidth="1"/>
    <col min="56" max="56" width="19.6640625" style="59" customWidth="1"/>
    <col min="57" max="57" width="3" style="59" customWidth="1"/>
    <col min="58" max="60" width="11.44140625" style="59" customWidth="1"/>
    <col min="61" max="61" width="13.109375" style="59" customWidth="1"/>
    <col min="62" max="62" width="16.6640625" style="59" customWidth="1"/>
    <col min="63" max="63" width="4.6640625" style="59" customWidth="1"/>
    <col min="64" max="66" width="11.44140625" style="59" customWidth="1"/>
    <col min="67" max="67" width="11" style="59" customWidth="1"/>
    <col min="68" max="68" width="9.6640625" style="59" customWidth="1"/>
    <col min="69" max="16384" width="11.44140625" style="59"/>
  </cols>
  <sheetData>
    <row r="1" spans="1:75" ht="15.6">
      <c r="P1" s="59" t="s">
        <v>957</v>
      </c>
      <c r="Q1" s="59" t="b">
        <f>OR(AND(Zonen=1,Kategorie1=13),AND(Zonen=2,Kategorie1=13,Kategorie2=13),AND(Zonen=3,Kategorie1=13,Kategorie2=13,Kategorie3=13),AND(Zonen=4,Kategorie1=13,Kategorie2=13,Kategorie3=13,Kategorie4=13))</f>
        <v>0</v>
      </c>
      <c r="R1" s="290" t="s">
        <v>958</v>
      </c>
      <c r="S1" s="290" t="b">
        <f>OR(Kategorie1=4,Kategorie2=4,Kategorie3=4,Kategorie4=4)</f>
        <v>0</v>
      </c>
      <c r="Z1" s="164" t="str">
        <f>Dati!J2</f>
        <v>MINERGIE, versione 2016, da utilizzare fino al 31.12.2016 al più tardi</v>
      </c>
      <c r="AD1" s="74"/>
      <c r="BC1" s="901" t="s">
        <v>1652</v>
      </c>
    </row>
    <row r="2" spans="1:75" ht="15.6">
      <c r="B2" s="901" t="s">
        <v>859</v>
      </c>
      <c r="I2" s="901" t="s">
        <v>1779</v>
      </c>
      <c r="M2" s="1099" t="s">
        <v>1731</v>
      </c>
      <c r="N2" s="1100">
        <f>IF(EBF&gt;0,(_qhs1*_EBF1+_qhs2*_EBF2+_qhs3*_EBF3+_qhs4*_EBF4)/EBF,0)</f>
        <v>0</v>
      </c>
      <c r="O2" s="1022" t="s">
        <v>1459</v>
      </c>
      <c r="R2" s="290" t="s">
        <v>959</v>
      </c>
      <c r="S2" s="290" t="b">
        <f>OR(Kategorie1=5,Kategorie2=5,Kategorie3=5,Kategorie4=5)</f>
        <v>0</v>
      </c>
      <c r="U2" s="901" t="s">
        <v>707</v>
      </c>
      <c r="AD2" s="74"/>
      <c r="AE2" s="901" t="s">
        <v>32</v>
      </c>
    </row>
    <row r="3" spans="1:75">
      <c r="C3" s="290"/>
      <c r="I3" s="74"/>
      <c r="J3" s="74"/>
      <c r="K3" s="74"/>
      <c r="L3" s="74"/>
      <c r="M3" s="1102" t="s">
        <v>1732</v>
      </c>
      <c r="N3" s="1103">
        <f>IF(AND(Zonen&lt;&gt;1,Zonen&lt;&gt;2,Zonen&lt;&gt;3,Zonen&lt;&gt;4),0,1)</f>
        <v>0</v>
      </c>
      <c r="O3" s="74" t="s">
        <v>1733</v>
      </c>
      <c r="P3" s="74"/>
      <c r="Q3" s="74"/>
      <c r="R3" s="117" t="s">
        <v>579</v>
      </c>
      <c r="S3" s="290" t="b">
        <f>OR(Kategorie1=6,Kategorie2=6,Kategorie3=6,Kategorie4=6)</f>
        <v>0</v>
      </c>
      <c r="T3" s="117"/>
      <c r="U3" s="117"/>
      <c r="V3" s="117"/>
      <c r="AD3" s="74"/>
      <c r="BB3" s="983"/>
      <c r="BC3" s="95" t="s">
        <v>862</v>
      </c>
      <c r="BD3" s="96" t="s">
        <v>724</v>
      </c>
      <c r="BF3" s="737"/>
      <c r="BG3" s="958" t="s">
        <v>725</v>
      </c>
      <c r="BH3" s="1128" t="s">
        <v>726</v>
      </c>
      <c r="BI3" s="740"/>
      <c r="BJ3" s="738"/>
      <c r="BL3" s="730" t="s">
        <v>1768</v>
      </c>
      <c r="BM3" s="736"/>
      <c r="BN3" s="736"/>
      <c r="BO3" s="736"/>
      <c r="BP3" s="1298"/>
      <c r="BQ3" s="1299" t="s">
        <v>1427</v>
      </c>
      <c r="BR3" s="1300" t="b">
        <f>AND(Mehrfachanwendung=FALSE,OR(Kategorie1=3,Kategorie2=3,Kategorie3=3,Kategorie4=3))</f>
        <v>0</v>
      </c>
      <c r="BS3" s="1299" t="s">
        <v>1428</v>
      </c>
      <c r="BT3" s="1300" t="b">
        <f>OR(Kategorie1=2,Kategorie1=3,Kategorie2=2,Kategorie2=3,Kategorie3=2,Kategorie3=3,Kategorie4=2,Kategorie4=3)</f>
        <v>0</v>
      </c>
      <c r="BU3" s="1299" t="s">
        <v>1429</v>
      </c>
      <c r="BV3" s="1301" t="b">
        <v>0</v>
      </c>
    </row>
    <row r="4" spans="1:75" ht="19.5" customHeight="1">
      <c r="B4" s="86" t="s">
        <v>860</v>
      </c>
      <c r="C4" s="1584">
        <f>Input!C27</f>
        <v>0</v>
      </c>
      <c r="D4" s="109">
        <f>IF(Klima&gt;0,INDEX(B7:B61,Klima,1),)</f>
        <v>0</v>
      </c>
      <c r="E4" s="110">
        <f>IF(Klima&gt;0,INDEX(F7:F61,Klima,1),)</f>
        <v>0</v>
      </c>
      <c r="F4" s="111" t="s">
        <v>496</v>
      </c>
      <c r="G4" s="1627">
        <f>IF(Klima&gt;0,INDEX(G7:G61,Klima,1),)</f>
        <v>0</v>
      </c>
      <c r="I4" s="60" t="s">
        <v>1780</v>
      </c>
      <c r="J4" s="876" t="s">
        <v>1781</v>
      </c>
      <c r="K4" s="595" t="str">
        <f>IF(Kategorie1&lt;2,"",INDEX(I9:I21,Kategorie1,1))</f>
        <v/>
      </c>
      <c r="L4" s="876" t="s">
        <v>1146</v>
      </c>
      <c r="M4" s="877" t="str">
        <f>IF(Kategorie2&lt;2,"",INDEX(I9:I21,Kategorie2,1))</f>
        <v/>
      </c>
      <c r="N4" s="876" t="s">
        <v>1149</v>
      </c>
      <c r="O4" s="877" t="str">
        <f>IF(Kategorie3&lt;2,"",INDEX(I9:I21,Kategorie3,1))</f>
        <v/>
      </c>
      <c r="P4" s="876" t="s">
        <v>1666</v>
      </c>
      <c r="Q4" s="877" t="str">
        <f>IF(Kategorie4&lt;2,"",INDEX(I9:I21,Kategorie4,1))</f>
        <v/>
      </c>
      <c r="R4" s="943" t="s">
        <v>1669</v>
      </c>
      <c r="S4" s="943" t="b">
        <f>IF(OR(Kategorie2&gt;1,Kategorie3&gt;1,Kategorie4&gt;1),IF(OR(Kategorie1=13,Kategorie2=13,Kategorie3=13,Kategorie4=13),IF(OR(AND(Kategorie1&gt;1,Kategorie1&lt;13),AND(Kategorie2&gt;1,Kategorie2&lt;13),AND(Kategorie3&gt;1,Kategorie3&lt;13),AND(Kategorie4&gt;1,Kategorie4&lt;13)),TRUE,FALSE),FALSE),FALSE)</f>
        <v>0</v>
      </c>
      <c r="T4" s="1542"/>
      <c r="U4" s="1532" t="s">
        <v>881</v>
      </c>
      <c r="V4" s="1533"/>
      <c r="W4" s="1534" t="s">
        <v>531</v>
      </c>
      <c r="X4" s="1535" t="s">
        <v>532</v>
      </c>
      <c r="Y4" s="1926" t="s">
        <v>638</v>
      </c>
      <c r="Z4" s="1926"/>
      <c r="AA4" s="1530" t="s">
        <v>1174</v>
      </c>
      <c r="AB4" s="1530" t="s">
        <v>172</v>
      </c>
      <c r="AC4" s="1530" t="s">
        <v>172</v>
      </c>
      <c r="AD4" s="1530" t="s">
        <v>172</v>
      </c>
      <c r="AE4" s="247" t="s">
        <v>801</v>
      </c>
      <c r="AF4" s="245" t="s">
        <v>33</v>
      </c>
      <c r="AG4" s="246">
        <v>1</v>
      </c>
      <c r="AH4" s="246">
        <v>2</v>
      </c>
      <c r="AI4" s="246">
        <v>3</v>
      </c>
      <c r="AJ4" s="246">
        <v>4</v>
      </c>
      <c r="AK4" s="246">
        <v>5</v>
      </c>
      <c r="AL4" s="246">
        <v>6</v>
      </c>
      <c r="AM4" s="246">
        <v>7</v>
      </c>
      <c r="AN4" s="246">
        <v>8</v>
      </c>
      <c r="AO4" s="246">
        <v>9</v>
      </c>
      <c r="AP4" s="246">
        <v>10</v>
      </c>
      <c r="AQ4" s="246">
        <v>11</v>
      </c>
      <c r="AR4" s="246">
        <v>12</v>
      </c>
      <c r="AS4" s="1048">
        <v>13</v>
      </c>
      <c r="AT4" s="983"/>
      <c r="AU4" s="983"/>
      <c r="AV4" s="247" t="s">
        <v>306</v>
      </c>
      <c r="AW4" s="247" t="s">
        <v>306</v>
      </c>
      <c r="AX4" s="247" t="s">
        <v>306</v>
      </c>
      <c r="AY4" s="247" t="s">
        <v>306</v>
      </c>
      <c r="AZ4" s="247" t="s">
        <v>604</v>
      </c>
      <c r="BA4" s="163" t="s">
        <v>1651</v>
      </c>
      <c r="BB4" s="984">
        <v>1</v>
      </c>
      <c r="BC4" s="908"/>
      <c r="BD4" s="950"/>
      <c r="BF4" s="955"/>
      <c r="BG4" s="956" t="s">
        <v>727</v>
      </c>
      <c r="BH4" s="956" t="s">
        <v>727</v>
      </c>
      <c r="BI4" s="1010" t="s">
        <v>1758</v>
      </c>
      <c r="BJ4" s="957" t="s">
        <v>1759</v>
      </c>
      <c r="BL4" s="977"/>
      <c r="BM4" s="978"/>
      <c r="BN4" s="1302" t="s">
        <v>903</v>
      </c>
      <c r="BO4" s="979">
        <f>IF(Mehrfachanwendung,Domanda!J18,0)</f>
        <v>0</v>
      </c>
      <c r="BP4" s="979"/>
      <c r="BQ4" s="978" t="s">
        <v>875</v>
      </c>
      <c r="BR4" s="978" t="s">
        <v>876</v>
      </c>
      <c r="BS4" s="978" t="s">
        <v>877</v>
      </c>
      <c r="BT4" s="978" t="s">
        <v>878</v>
      </c>
      <c r="BU4" s="1302" t="s">
        <v>904</v>
      </c>
      <c r="BV4" s="1303" t="b">
        <v>0</v>
      </c>
    </row>
    <row r="5" spans="1:75">
      <c r="A5" s="78" t="s">
        <v>1396</v>
      </c>
      <c r="B5" s="113" t="s">
        <v>861</v>
      </c>
      <c r="C5" s="114" t="s">
        <v>862</v>
      </c>
      <c r="D5" s="114" t="s">
        <v>1271</v>
      </c>
      <c r="E5" s="115" t="s">
        <v>863</v>
      </c>
      <c r="F5" s="114" t="s">
        <v>864</v>
      </c>
      <c r="G5" s="116" t="s">
        <v>1471</v>
      </c>
      <c r="I5" s="227"/>
      <c r="J5" s="1014" t="s">
        <v>1782</v>
      </c>
      <c r="K5" s="1017">
        <f>IF(AND(Kategorie1=13,BadMisch),0,Dati!E15)</f>
        <v>0</v>
      </c>
      <c r="L5" s="1014" t="s">
        <v>1147</v>
      </c>
      <c r="M5" s="1017">
        <f>IF(AND(Kategorie2=13,BadMisch),0,Dati!F15)</f>
        <v>0</v>
      </c>
      <c r="N5" s="1014" t="s">
        <v>1150</v>
      </c>
      <c r="O5" s="1017">
        <f>IF(AND(Kategorie3=13,BadMisch),0,Dati!G15)</f>
        <v>0</v>
      </c>
      <c r="P5" s="1014" t="s">
        <v>1667</v>
      </c>
      <c r="Q5" s="1017">
        <f>IF(AND(Kategorie4=13,BadMisch),0,Dati!H15)</f>
        <v>0</v>
      </c>
      <c r="R5" s="1018" t="s">
        <v>1670</v>
      </c>
      <c r="S5" s="1018" t="b">
        <f>IF(OR(IF(Kategorie1&gt;0,INDEX(S9:S21,Kategorie1,1)=FALSE,FALSE),IF(Kategorie2&gt;0,INDEX(S9:S21,Kategorie2,1)=FALSE,FALSE),IF(Kategorie3&gt;0,INDEX(S9:S21,Kategorie3,1)=FALSE,FALSE),IF(Kategorie4&gt;0,INDEX(S9:S21,Kategorie4,1)=FALSE,FALSE)),FALSE,TRUE)</f>
        <v>1</v>
      </c>
      <c r="T5" s="1537" t="s">
        <v>1176</v>
      </c>
      <c r="U5" s="1536" t="s">
        <v>150</v>
      </c>
      <c r="V5" s="1537" t="s">
        <v>227</v>
      </c>
      <c r="W5" s="1538" t="s">
        <v>567</v>
      </c>
      <c r="X5" s="1531" t="s">
        <v>408</v>
      </c>
      <c r="Y5" s="1531" t="s">
        <v>1692</v>
      </c>
      <c r="Z5" s="1531" t="s">
        <v>639</v>
      </c>
      <c r="AA5" s="1531" t="s">
        <v>1175</v>
      </c>
      <c r="AB5" s="1531" t="s">
        <v>173</v>
      </c>
      <c r="AC5" s="1531" t="s">
        <v>174</v>
      </c>
      <c r="AD5" s="1531" t="s">
        <v>927</v>
      </c>
      <c r="AE5" s="1053" t="str">
        <f>IF(auswahl2=1,INDEX(Standardwerte!$AF$5:$AF$13,3),"")</f>
        <v/>
      </c>
      <c r="AF5" s="249"/>
      <c r="AG5" s="250"/>
      <c r="AH5" s="250" t="str">
        <f>INDEX($I$9:$I$21,AH4,1)</f>
        <v>Abit. plurif.</v>
      </c>
      <c r="AI5" s="250" t="str">
        <f t="shared" ref="AI5:AS5" si="0">INDEX($I$9:$I$21,AI4,1)</f>
        <v>Abit. monof.</v>
      </c>
      <c r="AJ5" s="250" t="str">
        <f t="shared" si="0"/>
        <v xml:space="preserve"> </v>
      </c>
      <c r="AK5" s="250" t="str">
        <f t="shared" si="0"/>
        <v xml:space="preserve"> </v>
      </c>
      <c r="AL5" s="250" t="str">
        <f t="shared" si="0"/>
        <v xml:space="preserve"> </v>
      </c>
      <c r="AM5" s="250" t="str">
        <f t="shared" si="0"/>
        <v xml:space="preserve"> </v>
      </c>
      <c r="AN5" s="250" t="str">
        <f t="shared" si="0"/>
        <v xml:space="preserve"> </v>
      </c>
      <c r="AO5" s="250" t="str">
        <f t="shared" si="0"/>
        <v xml:space="preserve"> </v>
      </c>
      <c r="AP5" s="250" t="str">
        <f t="shared" si="0"/>
        <v xml:space="preserve"> </v>
      </c>
      <c r="AQ5" s="250" t="str">
        <f t="shared" si="0"/>
        <v xml:space="preserve"> </v>
      </c>
      <c r="AR5" s="250" t="str">
        <f t="shared" si="0"/>
        <v xml:space="preserve"> </v>
      </c>
      <c r="AS5" s="1049" t="str">
        <f t="shared" si="0"/>
        <v xml:space="preserve"> </v>
      </c>
      <c r="AT5" s="1051" t="s">
        <v>1777</v>
      </c>
      <c r="AU5" s="1051" t="s">
        <v>1778</v>
      </c>
      <c r="AV5" s="248" t="s">
        <v>875</v>
      </c>
      <c r="AW5" s="248" t="s">
        <v>876</v>
      </c>
      <c r="AX5" s="248" t="s">
        <v>877</v>
      </c>
      <c r="AY5" s="248" t="s">
        <v>878</v>
      </c>
      <c r="AZ5" s="248" t="s">
        <v>733</v>
      </c>
      <c r="BA5" s="273"/>
      <c r="BB5" s="121">
        <v>2</v>
      </c>
      <c r="BC5" s="68" t="str">
        <f>A98</f>
        <v>Argovia</v>
      </c>
      <c r="BD5" s="981" t="b">
        <v>1</v>
      </c>
      <c r="BF5" s="951">
        <v>1</v>
      </c>
      <c r="BG5" s="951" t="s">
        <v>1396</v>
      </c>
      <c r="BH5" s="951" t="s">
        <v>1396</v>
      </c>
      <c r="BI5" s="951"/>
      <c r="BJ5" s="1012" t="str">
        <f>""</f>
        <v/>
      </c>
      <c r="BL5" s="976" t="s">
        <v>646</v>
      </c>
      <c r="BM5" s="964"/>
      <c r="BN5" s="964"/>
      <c r="BO5" s="962" t="s">
        <v>725</v>
      </c>
      <c r="BP5" s="964"/>
      <c r="BQ5" s="1305">
        <f>IF(AND(Kategorie1&gt;0,einzel1&gt;0),IF(AND(einzel1=2,EFH,Reduktion,Domanda!F16&lt;2),BN7,INDEX($BO$10:$BS$22,Kategorie1,einzel1)),)</f>
        <v>0</v>
      </c>
      <c r="BR5" s="1305">
        <f>IF(AND(Kategorie2&gt;0,einzel1&gt;0),IF(AND(einzel1=2,EFH,Reduktion,Domanda!F16&lt;2),BN7,INDEX($BO$10:$BS$22,Kategorie2,einzel1)),)</f>
        <v>0</v>
      </c>
      <c r="BS5" s="1305">
        <f>IF(AND(Kategorie3&gt;0,einzel1&gt;0),IF(AND(einzel1=2,EFH,Reduktion,Domanda!F16&lt;2),BN7,INDEX($BO$10:$BS$22,Kategorie3,einzel1)),)</f>
        <v>0</v>
      </c>
      <c r="BT5" s="1305">
        <f>IF(AND(Kategorie4&gt;0,einzel1&gt;0),IF(AND(einzel1=2,EFH,Reduktion,Domanda!F16&lt;2),BN7,INDEX($BO$10:$BS$22,Kategorie4,einzel1)),)</f>
        <v>0</v>
      </c>
      <c r="BU5" s="74"/>
      <c r="BV5" s="1306" t="b">
        <f>IF((BQ5+BR5+BS5+BT5)=0,FALSE,TRUE)</f>
        <v>0</v>
      </c>
    </row>
    <row r="6" spans="1:75" ht="15" customHeight="1">
      <c r="A6" s="78"/>
      <c r="B6" s="118"/>
      <c r="C6" s="114"/>
      <c r="D6" s="114" t="s">
        <v>865</v>
      </c>
      <c r="E6" s="115" t="s">
        <v>1473</v>
      </c>
      <c r="F6" s="114" t="s">
        <v>496</v>
      </c>
      <c r="G6" s="119" t="s">
        <v>866</v>
      </c>
      <c r="I6" s="97"/>
      <c r="J6" s="1015" t="s">
        <v>1783</v>
      </c>
      <c r="K6" s="1016">
        <f>IF(AND(Kategorie1=13,BadMisch),0,Dati!E14)</f>
        <v>0</v>
      </c>
      <c r="L6" s="1015" t="s">
        <v>1148</v>
      </c>
      <c r="M6" s="1016">
        <f>IF(AND(Kategorie2=13,BadMisch),0,Dati!F14)</f>
        <v>0</v>
      </c>
      <c r="N6" s="1015" t="s">
        <v>1151</v>
      </c>
      <c r="O6" s="1016">
        <f>IF(AND(Kategorie3=13,BadMisch),0,Dati!G14)</f>
        <v>0</v>
      </c>
      <c r="P6" s="1015" t="s">
        <v>1668</v>
      </c>
      <c r="Q6" s="1016">
        <f>IF(AND(Kategorie4=13,BadMisch),0,Dati!H14)</f>
        <v>0</v>
      </c>
      <c r="R6" s="944" t="b">
        <f>OR(WWBonus1,WWBonus2,WWBonus3,WWBonus4)</f>
        <v>0</v>
      </c>
      <c r="S6" s="944"/>
      <c r="T6" s="213" t="str">
        <f t="shared" ref="T6:T49" si="1">INDEX($V$6:$V$51,$AA6,1)</f>
        <v xml:space="preserve">  </v>
      </c>
      <c r="U6" s="1228" t="s">
        <v>409</v>
      </c>
      <c r="V6" s="1228" t="s">
        <v>409</v>
      </c>
      <c r="W6" s="744"/>
      <c r="X6" s="745"/>
      <c r="Y6" s="840"/>
      <c r="Z6" s="77"/>
      <c r="AA6" s="77">
        <v>1</v>
      </c>
      <c r="AB6" s="77" t="b">
        <v>0</v>
      </c>
      <c r="AC6" s="77" t="b">
        <v>0</v>
      </c>
      <c r="AD6" s="77" t="b">
        <v>0</v>
      </c>
      <c r="AE6" s="77">
        <v>1</v>
      </c>
      <c r="AF6" s="243" t="str">
        <f>IF(OR(Schulnutzung,Verkaufsnutzung,Bueronutzung,Industrienutzung),"Apparecchi d'ufficio energ. efficienti","Elettrodomestici")</f>
        <v>Elettrodomestici</v>
      </c>
      <c r="AG6" s="271"/>
      <c r="AH6" s="271"/>
      <c r="AI6" s="272"/>
      <c r="AJ6" s="272"/>
      <c r="AK6" s="272"/>
      <c r="AL6" s="272"/>
      <c r="AM6" s="272"/>
      <c r="AN6" s="272"/>
      <c r="AO6" s="272"/>
      <c r="AP6" s="272"/>
      <c r="AQ6" s="272"/>
      <c r="AR6" s="272"/>
      <c r="AS6" s="272"/>
      <c r="AT6" s="1052">
        <v>1</v>
      </c>
      <c r="AU6" s="1052">
        <v>0</v>
      </c>
      <c r="AV6" s="242">
        <f>IF(Kategorie1&gt;0,IF(OR(minergiea,minergiep),$AE6,IF(OR(Neubau1=2,Neubau1=1),$AT6,$AU6)*INDEX($AG6:$AS6,1,Kategorie1)),)</f>
        <v>1</v>
      </c>
      <c r="AW6" s="242">
        <f>IF(Kategorie2&gt;0,IF(OR(minergiea,minergiep),$AE6,IF(OR(Neubau2=2,Neubau2=1),$AT6,$AU6)*INDEX($AG6:$AS6,1,Kategorie2)),)</f>
        <v>1</v>
      </c>
      <c r="AX6" s="242">
        <f>IF(Kategorie3&gt;0,IF(OR(minergiea,minergiep),$AE6,IF(OR(Neubau3=2,Neubau3=1),$AT6,$AU6)*INDEX($AG6:$AS6,1,Kategorie3)),)</f>
        <v>1</v>
      </c>
      <c r="AY6" s="242">
        <f>IF(Kategorie4&gt;0,IF(OR(minergiea,minergiep),$AE6,IF(OR(Neubau4=2,Neubau4=1),$AT6,$AU6)*INDEX($AG6:$AS6,1,Kategorie4)),)</f>
        <v>1</v>
      </c>
      <c r="AZ6" s="242">
        <f>SUM(AV6:AY6)</f>
        <v>4</v>
      </c>
      <c r="BA6" s="1230" t="s">
        <v>480</v>
      </c>
      <c r="BB6" s="213">
        <v>3</v>
      </c>
      <c r="BC6" s="75" t="str">
        <f t="shared" ref="BC6:BC30" si="2">A99</f>
        <v>Appenzello-Interno</v>
      </c>
      <c r="BD6" s="608" t="b">
        <v>1</v>
      </c>
      <c r="BF6" s="952">
        <v>2</v>
      </c>
      <c r="BG6" s="213" t="s">
        <v>1264</v>
      </c>
      <c r="BH6" s="952" t="str">
        <f>IF(minergiea,"","&lt;= 2000 m2")</f>
        <v/>
      </c>
      <c r="BI6" s="952">
        <v>500</v>
      </c>
      <c r="BJ6" s="1009"/>
      <c r="BL6" s="1927">
        <f>IF(minergiea,MAX(BQ5:BT5),IF(mehr1=4,BN8,IF(BD33,MAX(BQ5:BT6),0)+BN8*BO4))</f>
        <v>0</v>
      </c>
      <c r="BM6" s="1928"/>
      <c r="BN6" s="966"/>
      <c r="BO6" s="965" t="s">
        <v>726</v>
      </c>
      <c r="BP6" s="966"/>
      <c r="BQ6" s="731">
        <f>IF(AND(Kategorie1&gt;0,mehr1&gt;0),INDEX($BT$10:$BW$22,Kategorie1,mehr1),)</f>
        <v>0</v>
      </c>
      <c r="BR6" s="731">
        <f>IF(AND(Kategorie2&gt;0,mehr1&gt;0),INDEX($BT$10:$BW$22,Kategorie2,mehr1),)</f>
        <v>0</v>
      </c>
      <c r="BS6" s="731">
        <f>IF(AND(Kategorie3&gt;0,mehr1&gt;0),INDEX($BT$10:$BW$22,Kategorie3,mehr1),)</f>
        <v>0</v>
      </c>
      <c r="BT6" s="731">
        <f>IF(AND(Kategorie4&gt;0,mehr1&gt;0),INDEX($BT$10:$BW$22,Kategorie4,mehr1),)</f>
        <v>0</v>
      </c>
      <c r="BU6" s="967"/>
      <c r="BV6" s="1002" t="b">
        <f>IF((BQ6+BR6+BS6+BT6)=0,FALSE,TRUE)</f>
        <v>0</v>
      </c>
    </row>
    <row r="7" spans="1:75" ht="15">
      <c r="A7" s="78">
        <v>1</v>
      </c>
      <c r="B7" s="120"/>
      <c r="C7" s="83"/>
      <c r="D7" s="83"/>
      <c r="E7" s="83"/>
      <c r="F7" s="121"/>
      <c r="G7" s="122"/>
      <c r="I7" s="69" t="s">
        <v>1671</v>
      </c>
      <c r="J7" s="70" t="s">
        <v>1615</v>
      </c>
      <c r="K7" s="71" t="s">
        <v>1616</v>
      </c>
      <c r="L7" s="70" t="s">
        <v>1372</v>
      </c>
      <c r="M7" s="70" t="s">
        <v>1672</v>
      </c>
      <c r="N7" s="70" t="s">
        <v>1673</v>
      </c>
      <c r="O7" s="77" t="s">
        <v>1674</v>
      </c>
      <c r="P7" s="874" t="s">
        <v>1675</v>
      </c>
      <c r="Q7" s="874" t="s">
        <v>1676</v>
      </c>
      <c r="R7" s="875" t="s">
        <v>1677</v>
      </c>
      <c r="S7" s="1539" t="s">
        <v>456</v>
      </c>
      <c r="T7" s="213" t="str">
        <f t="shared" si="1"/>
        <v>Riscaldamento a olio combustibile</v>
      </c>
      <c r="U7" s="1228" t="s">
        <v>151</v>
      </c>
      <c r="V7" s="1228" t="s">
        <v>151</v>
      </c>
      <c r="W7" s="744">
        <v>85</v>
      </c>
      <c r="X7" s="745">
        <v>1</v>
      </c>
      <c r="Y7" s="840">
        <v>1</v>
      </c>
      <c r="Z7" s="77">
        <v>1</v>
      </c>
      <c r="AA7" s="77">
        <v>2</v>
      </c>
      <c r="AB7" s="77" t="b">
        <v>0</v>
      </c>
      <c r="AC7" s="77" t="b">
        <v>0</v>
      </c>
      <c r="AD7" s="77" t="b">
        <v>0</v>
      </c>
      <c r="AE7" s="77">
        <v>1</v>
      </c>
      <c r="AF7" s="148" t="s">
        <v>34</v>
      </c>
      <c r="AG7" s="271"/>
      <c r="AH7" s="271"/>
      <c r="AI7" s="272"/>
      <c r="AJ7" s="272">
        <v>1</v>
      </c>
      <c r="AK7" s="272">
        <v>1</v>
      </c>
      <c r="AL7" s="272">
        <v>1</v>
      </c>
      <c r="AM7" s="866">
        <v>1</v>
      </c>
      <c r="AN7" s="866">
        <v>1</v>
      </c>
      <c r="AO7" s="272">
        <v>1</v>
      </c>
      <c r="AP7" s="272">
        <v>1</v>
      </c>
      <c r="AQ7" s="272">
        <v>1</v>
      </c>
      <c r="AR7" s="272">
        <v>1</v>
      </c>
      <c r="AS7" s="272">
        <v>1</v>
      </c>
      <c r="AT7" s="272">
        <v>1</v>
      </c>
      <c r="AU7" s="272">
        <v>1</v>
      </c>
      <c r="AV7" s="242">
        <f>IF(Kategorie1&gt;0,IF(OR(minergiea,minergiep),$AE7,1)*INDEX($AG7:$AS7,1,Kategorie1),)</f>
        <v>0</v>
      </c>
      <c r="AW7" s="242">
        <f>IF(Kategorie2&gt;0,IF(OR(minergiea,minergiep),$AE7,1)*INDEX($AG7:$AS7,1,Kategorie2),)</f>
        <v>0</v>
      </c>
      <c r="AX7" s="242">
        <f>IF(Kategorie3&gt;0,IF(OR(minergiea,minergiep),$AE7,1)*INDEX($AG7:$AS7,1,Kategorie3),)</f>
        <v>0</v>
      </c>
      <c r="AY7" s="242">
        <f>IF(Kategorie4&gt;0,IF(OR(minergiea,minergiep),$AE7,1)*INDEX($AG7:$AS7,1,Kategorie4),)</f>
        <v>0</v>
      </c>
      <c r="AZ7" s="242">
        <f t="shared" ref="AZ7:AZ13" si="3">SUM(AV7:AY7)</f>
        <v>0</v>
      </c>
      <c r="BA7" s="1230" t="s">
        <v>9</v>
      </c>
      <c r="BB7" s="213">
        <v>4</v>
      </c>
      <c r="BC7" s="75" t="str">
        <f t="shared" si="2"/>
        <v>Appenzello-Esterno</v>
      </c>
      <c r="BD7" s="608" t="b">
        <v>1</v>
      </c>
      <c r="BF7" s="952">
        <v>3</v>
      </c>
      <c r="BG7" s="952" t="s">
        <v>1265</v>
      </c>
      <c r="BH7" s="952" t="str">
        <f>IF(minergiea,"","&gt; 2000 m2")</f>
        <v/>
      </c>
      <c r="BI7" s="952">
        <v>2000</v>
      </c>
      <c r="BJ7" s="1009" t="s">
        <v>1760</v>
      </c>
      <c r="BL7" s="962" t="s">
        <v>993</v>
      </c>
      <c r="BM7" s="964"/>
      <c r="BN7" s="1707">
        <f>IF(minergiea,2900,IF(minergiep,1750,800))</f>
        <v>2900</v>
      </c>
      <c r="BO7" s="962"/>
      <c r="BP7" s="964" t="s">
        <v>1790</v>
      </c>
      <c r="BQ7" s="964" t="s">
        <v>1790</v>
      </c>
      <c r="BR7" s="964" t="s">
        <v>1790</v>
      </c>
      <c r="BS7" s="964" t="s">
        <v>1790</v>
      </c>
      <c r="BT7" s="75"/>
      <c r="BU7" s="964" t="s">
        <v>905</v>
      </c>
      <c r="BV7" s="1708" t="s">
        <v>905</v>
      </c>
      <c r="BW7" s="951" t="s">
        <v>905</v>
      </c>
    </row>
    <row r="8" spans="1:75">
      <c r="A8" s="78">
        <v>2</v>
      </c>
      <c r="B8" s="1623" t="str">
        <f t="shared" ref="B8:B13" si="4">IF(Kanton=29,B55,G128)</f>
        <v/>
      </c>
      <c r="C8" s="70" t="str">
        <f>IF(Kanton=29,C55,IF($B$96&gt;0,INDEX(C$54:C$94,$B$96,1),""))</f>
        <v/>
      </c>
      <c r="D8" s="70" t="str">
        <f>IF(Kanton=29,D55,IF($B$96&gt;0,INDEX(D$54:D$94,$B$96,1),""))</f>
        <v/>
      </c>
      <c r="E8" s="70" t="str">
        <f>IF(Kanton=29,E55,IF($B$96&gt;0,INDEX(E$54:E$94,$B$96,1),""))</f>
        <v/>
      </c>
      <c r="F8" s="70" t="str">
        <f>IF(Kanton=29,F55,IF($B$96&gt;0,INDEX(F$54:F$94,$B$96,1),""))</f>
        <v/>
      </c>
      <c r="G8" s="125" t="str">
        <f>IF(Kanton=29,G55,IF($B$96&gt;0,INDEX(G$54:G$94,$B$96,1),""))</f>
        <v/>
      </c>
      <c r="I8" s="69"/>
      <c r="J8" s="70" t="s">
        <v>754</v>
      </c>
      <c r="K8" s="70" t="s">
        <v>754</v>
      </c>
      <c r="L8" s="70" t="s">
        <v>754</v>
      </c>
      <c r="M8" s="70" t="s">
        <v>755</v>
      </c>
      <c r="N8" s="70" t="s">
        <v>756</v>
      </c>
      <c r="O8" s="77" t="s">
        <v>1394</v>
      </c>
      <c r="P8" s="77" t="s">
        <v>800</v>
      </c>
      <c r="Q8" s="77" t="s">
        <v>800</v>
      </c>
      <c r="R8" s="77" t="s">
        <v>1678</v>
      </c>
      <c r="S8" s="88" t="s">
        <v>1679</v>
      </c>
      <c r="T8" s="213" t="str">
        <f t="shared" si="1"/>
        <v>Riscaldamento a olio a condensazione, solo risc.</v>
      </c>
      <c r="U8" s="1228" t="s">
        <v>267</v>
      </c>
      <c r="V8" s="1228" t="s">
        <v>268</v>
      </c>
      <c r="W8" s="744">
        <v>91</v>
      </c>
      <c r="X8" s="745">
        <v>1</v>
      </c>
      <c r="Y8" s="840"/>
      <c r="Z8" s="77">
        <v>1</v>
      </c>
      <c r="AA8" s="77">
        <v>3</v>
      </c>
      <c r="AB8" s="77" t="b">
        <v>0</v>
      </c>
      <c r="AC8" s="77" t="b">
        <v>0</v>
      </c>
      <c r="AD8" s="77" t="b">
        <v>0</v>
      </c>
      <c r="AE8" s="77">
        <v>1</v>
      </c>
      <c r="AF8" s="148" t="s">
        <v>1622</v>
      </c>
      <c r="AG8" s="271"/>
      <c r="AH8" s="271"/>
      <c r="AI8" s="272"/>
      <c r="AJ8" s="272"/>
      <c r="AK8" s="272"/>
      <c r="AL8" s="272"/>
      <c r="AM8" s="866">
        <v>1</v>
      </c>
      <c r="AN8" s="272"/>
      <c r="AO8" s="272"/>
      <c r="AP8" s="272"/>
      <c r="AQ8" s="272"/>
      <c r="AR8" s="272">
        <v>1</v>
      </c>
      <c r="AS8" s="272">
        <v>1</v>
      </c>
      <c r="AT8" s="272">
        <v>1</v>
      </c>
      <c r="AU8" s="272">
        <v>1</v>
      </c>
      <c r="AV8" s="242">
        <f>IF(Kategorie1&gt;0,IF(OR(minergiea,minergiep),IF($AE8,IF(OR(Neubau1=2,Neubau1=1),$AT8,$AU8)*INDEX($AG8:$AS8,1,Kategorie1),0),IF(OR(Neubau1=2,Neubau1=1),$AT8,$AU8)*INDEX($AG8:$AS8,1,Kategorie1)),)</f>
        <v>0</v>
      </c>
      <c r="AW8" s="242">
        <f>IF(Kategorie2&gt;0,IF(OR(minergiea,minergiep),IF($AE8,IF(OR(Neubau2=2,Neubau2=1),$AT8,$AU8)*INDEX($AG8:$AS8,1,Kategorie2),0),IF(OR(Neubau2=2,Neubau2=1),$AT8,$AU8)*INDEX($AG8:$AS8,1,Kategorie2)),)</f>
        <v>0</v>
      </c>
      <c r="AX8" s="242">
        <f>IF(Kategorie3&gt;0,IF(OR(minergiea,minergiep),IF($AE8,IF(OR(Neubau3=2,Neubau3=1),$AT8,$AU8)*INDEX($AG8:$AS8,1,Kategorie3),0),IF(OR(Neubau3=2,Neubau3=1),$AT8,$AU8)*INDEX($AG8:$AS8,1,Kategorie3)),)</f>
        <v>0</v>
      </c>
      <c r="AY8" s="242">
        <f>IF(Kategorie4&gt;0,IF(OR(minergiea,minergiep),IF($AE8,IF(OR(Neubau4=2,Neubau4=1),$AT8,$AU8)*INDEX($AG8:$AS8,1,Kategorie4),0),IF(OR(Neubau4=2,Neubau4=1),$AT8,$AU8)*INDEX($AG8:$AS8,1,Kategorie4)),)</f>
        <v>0</v>
      </c>
      <c r="AZ8" s="242">
        <f t="shared" si="3"/>
        <v>0</v>
      </c>
      <c r="BA8" s="1230" t="s">
        <v>1353</v>
      </c>
      <c r="BB8" s="213">
        <v>5</v>
      </c>
      <c r="BC8" s="75" t="str">
        <f t="shared" si="2"/>
        <v>Berna</v>
      </c>
      <c r="BD8" s="608" t="b">
        <v>1</v>
      </c>
      <c r="BF8" s="952">
        <v>4</v>
      </c>
      <c r="BG8" s="952" t="s">
        <v>362</v>
      </c>
      <c r="BH8" s="59" t="str">
        <f>IF(minergiea,"","Neuerstellung")</f>
        <v/>
      </c>
      <c r="BI8" s="952">
        <v>5000</v>
      </c>
      <c r="BJ8" s="1009"/>
      <c r="BL8" s="962" t="s">
        <v>994</v>
      </c>
      <c r="BM8" s="964"/>
      <c r="BN8" s="1707">
        <f>IF(minergiea,500,IF(minergiep,500,500))</f>
        <v>500</v>
      </c>
      <c r="BO8" s="962"/>
      <c r="BP8" s="964" t="s">
        <v>906</v>
      </c>
      <c r="BQ8" s="964" t="s">
        <v>906</v>
      </c>
      <c r="BR8" s="964" t="s">
        <v>906</v>
      </c>
      <c r="BS8" s="964" t="s">
        <v>906</v>
      </c>
      <c r="BT8" s="75"/>
      <c r="BU8" s="964" t="s">
        <v>906</v>
      </c>
      <c r="BV8" s="1708" t="s">
        <v>906</v>
      </c>
      <c r="BW8" s="952" t="s">
        <v>906</v>
      </c>
    </row>
    <row r="9" spans="1:75">
      <c r="A9" s="78">
        <v>3</v>
      </c>
      <c r="B9" s="1623" t="str">
        <f t="shared" si="4"/>
        <v/>
      </c>
      <c r="C9" s="70" t="str">
        <f>IF(Kanton=29,C56,IF($C$96&gt;0,INDEX(C$54:C$94,$C$96,1),""))</f>
        <v/>
      </c>
      <c r="D9" s="70" t="str">
        <f>IF(Kanton=29,D56,IF($C$96&gt;0,INDEX(D$54:D$94,$C$96,1),""))</f>
        <v/>
      </c>
      <c r="E9" s="70" t="str">
        <f>IF(Kanton=29,E56,IF($C$96&gt;0,INDEX(E$54:E$94,$C$96,1),""))</f>
        <v/>
      </c>
      <c r="F9" s="70" t="str">
        <f>IF(Kanton=29,F56,IF($C$96&gt;0,INDEX(F$54:F$94,$C$96,1),""))</f>
        <v/>
      </c>
      <c r="G9" s="125" t="str">
        <f>IF(Kanton=29,G56,IF($C$96&gt;0,INDEX(G$54:G$94,$C$96,1),""))</f>
        <v/>
      </c>
      <c r="H9" s="78">
        <v>1</v>
      </c>
      <c r="I9" s="79"/>
      <c r="J9" s="79"/>
      <c r="K9" s="79"/>
      <c r="L9" s="79"/>
      <c r="M9" s="80"/>
      <c r="N9" s="80">
        <v>1</v>
      </c>
      <c r="O9" s="81"/>
      <c r="P9" s="81"/>
      <c r="Q9" s="81"/>
      <c r="R9" s="81" t="b">
        <v>0</v>
      </c>
      <c r="S9" s="173" t="b">
        <v>1</v>
      </c>
      <c r="T9" s="213" t="str">
        <f t="shared" si="1"/>
        <v>Riscaldamento a olio a condensazione, solo AC</v>
      </c>
      <c r="U9" s="1228" t="s">
        <v>152</v>
      </c>
      <c r="V9" s="1228" t="s">
        <v>269</v>
      </c>
      <c r="W9" s="744">
        <v>88</v>
      </c>
      <c r="X9" s="745">
        <v>1</v>
      </c>
      <c r="Y9" s="840">
        <v>1</v>
      </c>
      <c r="Z9" s="77"/>
      <c r="AA9" s="77">
        <v>4</v>
      </c>
      <c r="AB9" s="77" t="b">
        <v>0</v>
      </c>
      <c r="AC9" s="77" t="b">
        <v>0</v>
      </c>
      <c r="AD9" s="77" t="b">
        <v>0</v>
      </c>
      <c r="AE9" s="77">
        <v>1</v>
      </c>
      <c r="AF9" s="612" t="s">
        <v>956</v>
      </c>
      <c r="AG9" s="271"/>
      <c r="AH9" s="271"/>
      <c r="AI9" s="272"/>
      <c r="AJ9" s="272"/>
      <c r="AK9" s="272"/>
      <c r="AL9" s="272">
        <v>1</v>
      </c>
      <c r="AM9" s="927"/>
      <c r="AN9" s="272"/>
      <c r="AO9" s="272">
        <v>1</v>
      </c>
      <c r="AP9" s="272"/>
      <c r="AQ9" s="272"/>
      <c r="AR9" s="272"/>
      <c r="AS9" s="272"/>
      <c r="AT9" s="272">
        <v>1</v>
      </c>
      <c r="AU9" s="272">
        <v>1</v>
      </c>
      <c r="AV9" s="242">
        <f>IF(Kategorie1&gt;0,IF(OR(minergiea,minergiep),IF($AE9=1,IF(OR(Neubau1=2,Neubau1=1),$AT9,$AU9)*INDEX($AG9:$AS9,1,Kategorie1),0),IF(OR(Neubau1=2,Neubau1=1),$AT9,$AU9)*INDEX($AG9:$AS9,1,Kategorie1)),)</f>
        <v>0</v>
      </c>
      <c r="AW9" s="242">
        <f>IF(Kategorie2&gt;0,IF(OR(minergiea,minergiep),IF($AE9=1,IF(OR(Neubau2=2,Neubau2=1),$AT9,$AU9)*INDEX($AG9:$AS9,1,Kategorie2),0),IF(OR(Neubau2=2,Neubau2=1),$AT9,$AU9)*INDEX($AG9:$AS9,1,Kategorie2)),)</f>
        <v>0</v>
      </c>
      <c r="AX9" s="242">
        <f>IF(Kategorie3&gt;0,IF(OR(minergiea,minergiep),IF($AE9=1,IF(OR(Neubau3=2,Neubau3=1),$AT9,$AU9)*INDEX($AG9:$AS9,1,Kategorie3),0),IF(OR(Neubau3=2,Neubau3=1),$AT9,$AU9)*INDEX($AG9:$AS9,1,Kategorie3)),)</f>
        <v>0</v>
      </c>
      <c r="AY9" s="242">
        <f>IF(Kategorie4&gt;0,IF(OR(minergiea,minergiep),IF($AE9=1,IF(OR(Neubau4=2,Neubau4=1),$AT9,$AU9)*INDEX($AG9:$AS9,1,Kategorie4),0),IF(OR(Neubau4=2,Neubau4=1),$AT9,$AU9)*INDEX($AG9:$AS9,1,Kategorie4)),)</f>
        <v>0</v>
      </c>
      <c r="AZ9" s="242">
        <f t="shared" si="3"/>
        <v>0</v>
      </c>
      <c r="BA9" s="1230" t="s">
        <v>580</v>
      </c>
      <c r="BB9" s="213">
        <v>6</v>
      </c>
      <c r="BC9" s="75" t="str">
        <f t="shared" si="2"/>
        <v>Basilea-Campagna</v>
      </c>
      <c r="BD9" s="608" t="b">
        <v>1</v>
      </c>
      <c r="BF9" s="213">
        <v>5</v>
      </c>
      <c r="BG9" s="952" t="s">
        <v>407</v>
      </c>
      <c r="BH9" s="952"/>
      <c r="BI9" s="213">
        <v>999999</v>
      </c>
      <c r="BJ9" s="874"/>
      <c r="BL9" s="965" t="s">
        <v>70</v>
      </c>
      <c r="BM9" s="966"/>
      <c r="BN9" s="1709">
        <v>0</v>
      </c>
      <c r="BO9" s="965" t="s">
        <v>948</v>
      </c>
      <c r="BP9" s="966" t="s">
        <v>364</v>
      </c>
      <c r="BQ9" s="966" t="s">
        <v>365</v>
      </c>
      <c r="BR9" s="966" t="s">
        <v>366</v>
      </c>
      <c r="BS9" s="966" t="s">
        <v>367</v>
      </c>
      <c r="BT9" s="127" t="s">
        <v>948</v>
      </c>
      <c r="BU9" s="966" t="s">
        <v>363</v>
      </c>
      <c r="BV9" s="1710" t="s">
        <v>368</v>
      </c>
      <c r="BW9" s="1304" t="s">
        <v>907</v>
      </c>
    </row>
    <row r="10" spans="1:75">
      <c r="A10" s="78">
        <v>4</v>
      </c>
      <c r="B10" s="1623" t="str">
        <f t="shared" si="4"/>
        <v/>
      </c>
      <c r="C10" s="70" t="str">
        <f>IF(Kanton=29,C57,IF($D$96&gt;0,INDEX(C$54:C$94,$D$96,1),""))</f>
        <v/>
      </c>
      <c r="D10" s="70" t="str">
        <f>IF(Kanton=29,D57,IF($D$96&gt;0,INDEX(D$54:D$94,$D$96,1),""))</f>
        <v/>
      </c>
      <c r="E10" s="70" t="str">
        <f>IF(Kanton=29,E57,IF($D$96&gt;0,INDEX(E$54:E$94,$D$96,1),""))</f>
        <v/>
      </c>
      <c r="F10" s="70" t="str">
        <f>IF(Kanton=29,F57,IF($D$96&gt;0,INDEX(F$54:F$94,$D$96,1),""))</f>
        <v/>
      </c>
      <c r="G10" s="125" t="str">
        <f>IF(Kanton=29,G57,IF($D$96&gt;0,INDEX(G$54:G$94,$D$96,1),""))</f>
        <v/>
      </c>
      <c r="H10" s="78">
        <v>2</v>
      </c>
      <c r="I10" s="1327" t="str">
        <f>IF(minergiea,BE37,IF(minergiep,BD37,BC37))</f>
        <v>Abit. plurif.</v>
      </c>
      <c r="J10" s="70">
        <v>55</v>
      </c>
      <c r="K10" s="82">
        <v>65</v>
      </c>
      <c r="L10" s="70">
        <v>75</v>
      </c>
      <c r="M10" s="83">
        <v>40</v>
      </c>
      <c r="N10" s="83">
        <v>2</v>
      </c>
      <c r="O10" s="84">
        <v>0.7</v>
      </c>
      <c r="P10" s="933">
        <v>38</v>
      </c>
      <c r="Q10" s="933">
        <v>60</v>
      </c>
      <c r="R10" s="72" t="b">
        <v>0</v>
      </c>
      <c r="S10" s="88" t="b">
        <v>1</v>
      </c>
      <c r="T10" s="213" t="str">
        <f t="shared" si="1"/>
        <v>Riscaldamento a gas</v>
      </c>
      <c r="U10" s="1228" t="s">
        <v>153</v>
      </c>
      <c r="V10" s="1228" t="s">
        <v>153</v>
      </c>
      <c r="W10" s="744">
        <v>85</v>
      </c>
      <c r="X10" s="745">
        <v>1</v>
      </c>
      <c r="Y10" s="840">
        <v>1</v>
      </c>
      <c r="Z10" s="77">
        <v>1</v>
      </c>
      <c r="AA10" s="77">
        <v>5</v>
      </c>
      <c r="AB10" s="77" t="b">
        <v>0</v>
      </c>
      <c r="AC10" s="77" t="b">
        <v>0</v>
      </c>
      <c r="AD10" s="77" t="b">
        <v>0</v>
      </c>
      <c r="AE10" s="77">
        <v>1</v>
      </c>
      <c r="AF10" s="612" t="s">
        <v>955</v>
      </c>
      <c r="AG10" s="271"/>
      <c r="AH10" s="271"/>
      <c r="AI10" s="272"/>
      <c r="AJ10" s="272">
        <v>1</v>
      </c>
      <c r="AK10" s="272">
        <v>1</v>
      </c>
      <c r="AL10" s="272"/>
      <c r="AM10" s="272">
        <v>1</v>
      </c>
      <c r="AN10" s="272">
        <v>1</v>
      </c>
      <c r="AO10" s="272"/>
      <c r="AP10" s="272">
        <v>1</v>
      </c>
      <c r="AQ10" s="272">
        <v>1</v>
      </c>
      <c r="AR10" s="272">
        <v>1</v>
      </c>
      <c r="AS10" s="272"/>
      <c r="AT10" s="272">
        <v>1</v>
      </c>
      <c r="AU10" s="272">
        <v>1</v>
      </c>
      <c r="AV10" s="242">
        <f>IF(Kategorie1&gt;0,IF(OR(minergiea,minergiep),IF($AE10=1,IF(OR(Neubau1=2,Neubau1=1),$AT10,$AU10)*INDEX($AG10:$AS10,1,Kategorie1),0),IF(OR(Neubau1=2,Neubau1=1),$AT10,$AU10)*INDEX($AG10:$AS10,1,Kategorie1)),)</f>
        <v>0</v>
      </c>
      <c r="AW10" s="242">
        <f>IF(Kategorie2&gt;0,IF(OR(minergiea,minergiep),IF($AE10=1,IF(OR(Neubau2=2,Neubau2=1),$AT10,$AU10)*INDEX($AG10:$AS10,1,Kategorie2),0),IF(OR(Neubau2=2,Neubau2=1),$AT10,$AU10)*INDEX($AG10:$AS10,1,Kategorie2)),)</f>
        <v>0</v>
      </c>
      <c r="AX10" s="242">
        <f>IF(Kategorie3&gt;0,IF(OR(minergiea,minergiep),IF($AE10=1,IF(OR(Neubau3=2,Neubau3=1),$AT10,$AU10)*INDEX($AG10:$AS10,1,Kategorie3),0),IF(OR(Neubau3=2,Neubau3=1),$AT10,$AU10)*INDEX($AG10:$AS10,1,Kategorie3)),)</f>
        <v>0</v>
      </c>
      <c r="AY10" s="242">
        <f>IF(Kategorie4&gt;0,IF(OR(minergiea,minergiep),IF($AE10=1,IF(OR(Neubau4=2,Neubau4=1),$AT10,$AU10)*INDEX($AG10:$AS10,1,Kategorie4),0),IF(OR(Neubau4=2,Neubau4=1),$AT10,$AU10)*INDEX($AG10:$AS10,1,Kategorie4)),)</f>
        <v>0</v>
      </c>
      <c r="AZ10" s="242">
        <f t="shared" si="3"/>
        <v>0</v>
      </c>
      <c r="BA10" s="1230" t="s">
        <v>255</v>
      </c>
      <c r="BB10" s="213">
        <v>7</v>
      </c>
      <c r="BC10" s="75" t="str">
        <f t="shared" si="2"/>
        <v>Basilea-Città</v>
      </c>
      <c r="BD10" s="608" t="b">
        <v>1</v>
      </c>
      <c r="BF10" s="251">
        <v>6</v>
      </c>
      <c r="BG10" s="251"/>
      <c r="BH10" s="251"/>
      <c r="BI10" s="251"/>
      <c r="BJ10" s="1013"/>
      <c r="BL10" s="962"/>
      <c r="BM10" s="964"/>
      <c r="BN10" s="968"/>
      <c r="BO10" s="975"/>
      <c r="BP10" s="1711"/>
      <c r="BQ10" s="1711"/>
      <c r="BR10" s="1711"/>
      <c r="BS10" s="1711"/>
      <c r="BT10" s="975"/>
      <c r="BU10" s="1711"/>
      <c r="BV10" s="1712"/>
      <c r="BW10" s="969"/>
    </row>
    <row r="11" spans="1:75">
      <c r="A11" s="78">
        <v>5</v>
      </c>
      <c r="B11" s="1623" t="str">
        <f t="shared" si="4"/>
        <v/>
      </c>
      <c r="C11" s="70" t="str">
        <f>IF(Kanton=29,C58,IF($E$96&gt;0,INDEX(C$54:C$94,$E$96,1),""))</f>
        <v/>
      </c>
      <c r="D11" s="70" t="str">
        <f>IF(Kanton=29,D58,IF($E$96&gt;0,INDEX(D$54:D$94,$E$96,1),""))</f>
        <v/>
      </c>
      <c r="E11" s="70" t="str">
        <f>IF(Kanton=29,E58,IF($E$96&gt;0,INDEX(E$54:E$94,$E$96,1),""))</f>
        <v/>
      </c>
      <c r="F11" s="70" t="str">
        <f>IF(Kanton=29,F58,IF($E$96&gt;0,INDEX(F$54:F$94,$E$96,1),""))</f>
        <v/>
      </c>
      <c r="G11" s="125" t="str">
        <f>IF(Kanton=29,G58,IF($E$96&gt;0,INDEX(G$54:G$94,$E$96,1),""))</f>
        <v/>
      </c>
      <c r="H11" s="78">
        <v>3</v>
      </c>
      <c r="I11" s="69" t="str">
        <f t="shared" ref="I11:I21" si="5">IF(minergiea,BE38,IF(minergiep,BD38,BC38))</f>
        <v>Abit. monof.</v>
      </c>
      <c r="J11" s="70">
        <v>65</v>
      </c>
      <c r="K11" s="82">
        <v>65</v>
      </c>
      <c r="L11" s="70">
        <v>50</v>
      </c>
      <c r="M11" s="70">
        <v>60</v>
      </c>
      <c r="N11" s="70">
        <v>2</v>
      </c>
      <c r="O11" s="84">
        <v>0.7</v>
      </c>
      <c r="P11" s="933">
        <v>38</v>
      </c>
      <c r="Q11" s="933">
        <v>60</v>
      </c>
      <c r="R11" s="77" t="b">
        <v>0</v>
      </c>
      <c r="S11" s="88" t="b">
        <v>1</v>
      </c>
      <c r="T11" s="213" t="str">
        <f t="shared" si="1"/>
        <v>Riscaldamento a gas a condensazione, solo risc.</v>
      </c>
      <c r="U11" s="1228" t="s">
        <v>154</v>
      </c>
      <c r="V11" s="1228" t="s">
        <v>270</v>
      </c>
      <c r="W11" s="744">
        <v>95</v>
      </c>
      <c r="X11" s="745">
        <v>1</v>
      </c>
      <c r="Y11" s="840"/>
      <c r="Z11" s="77">
        <v>1</v>
      </c>
      <c r="AA11" s="77">
        <v>6</v>
      </c>
      <c r="AB11" s="77" t="b">
        <v>0</v>
      </c>
      <c r="AC11" s="77" t="b">
        <v>0</v>
      </c>
      <c r="AD11" s="77" t="b">
        <v>0</v>
      </c>
      <c r="AE11" s="77">
        <v>1</v>
      </c>
      <c r="AF11" s="612" t="str">
        <f>IF(OR(Dati!L50,Dati!L49),"il calore residuo è utilizzato?","")</f>
        <v/>
      </c>
      <c r="AG11" s="271"/>
      <c r="AH11" s="271"/>
      <c r="AI11" s="272"/>
      <c r="AJ11" s="272">
        <v>1</v>
      </c>
      <c r="AK11" s="272">
        <v>1</v>
      </c>
      <c r="AL11" s="272">
        <v>1</v>
      </c>
      <c r="AM11" s="272">
        <v>1</v>
      </c>
      <c r="AN11" s="272">
        <v>1</v>
      </c>
      <c r="AO11" s="272">
        <v>1</v>
      </c>
      <c r="AP11" s="272">
        <v>1</v>
      </c>
      <c r="AQ11" s="272">
        <v>1</v>
      </c>
      <c r="AR11" s="272">
        <v>1</v>
      </c>
      <c r="AS11" s="272"/>
      <c r="AT11" s="272">
        <v>1</v>
      </c>
      <c r="AU11" s="272">
        <v>1</v>
      </c>
      <c r="AV11" s="242">
        <f>IF(Kategorie1&gt;0,IF(OR(minergiea,minergiep),$AE11,IF(OR(Neubau1=2,Neubau1=1),$AT11,$AU11)*INDEX($AG11:$AS11,1,Kategorie1)),)</f>
        <v>1</v>
      </c>
      <c r="AW11" s="242">
        <f>IF(Kategorie2&gt;0,IF(OR(minergiea,minergiep),$AE11,IF(OR(Neubau2=2,Neubau2=1),$AT11,$AU11)*INDEX($AG11:$AS11,1,Kategorie2)),)</f>
        <v>1</v>
      </c>
      <c r="AX11" s="242">
        <f>IF(Kategorie3&gt;0,IF(OR(minergiea,minergiep),$AE11,IF(OR(Neubau3=2,Neubau3=1),$AT11,$AU11)*INDEX($AG11:$AS11,1,Kategorie3)),)</f>
        <v>1</v>
      </c>
      <c r="AY11" s="242">
        <f>IF(Kategorie4&gt;0,IF(OR(minergiea,minergiep),$AE11,IF(OR(Neubau4=2,Neubau4=1),$AT11,$AU11)*INDEX($AG11:$AS11,1,Kategorie4)),)</f>
        <v>1</v>
      </c>
      <c r="AZ11" s="242">
        <f t="shared" si="3"/>
        <v>4</v>
      </c>
      <c r="BA11" s="1230" t="str">
        <f>IF(OR(Dati!L50,Dati!L49),"il calore residuo è utilizzato?","")</f>
        <v/>
      </c>
      <c r="BB11" s="213">
        <v>8</v>
      </c>
      <c r="BC11" s="75" t="str">
        <f t="shared" si="2"/>
        <v>Friburgo</v>
      </c>
      <c r="BD11" s="608" t="b">
        <v>1</v>
      </c>
      <c r="BF11" s="739" t="s">
        <v>1761</v>
      </c>
      <c r="BG11" s="739"/>
      <c r="BH11" s="1006"/>
      <c r="BI11" s="741" t="s">
        <v>1762</v>
      </c>
      <c r="BJ11" s="741" t="s">
        <v>1763</v>
      </c>
      <c r="BL11" s="962" t="s">
        <v>774</v>
      </c>
      <c r="BM11" s="964" t="s">
        <v>1769</v>
      </c>
      <c r="BN11" s="968"/>
      <c r="BO11" s="973"/>
      <c r="BP11" s="1707">
        <f>IF(minergiea,2900,IF(minergiep,2300,900))</f>
        <v>2900</v>
      </c>
      <c r="BQ11" s="1707">
        <f>IF(minergiea,2900,IF(minergiep,2500,1300))</f>
        <v>2900</v>
      </c>
      <c r="BR11" s="1707">
        <f>IF(minergiea,5200,IF(minergiep,4800,2900))</f>
        <v>5200</v>
      </c>
      <c r="BS11" s="1707">
        <f>IF(minergiea,9000,IF(minergiep,8500,8500))</f>
        <v>9000</v>
      </c>
      <c r="BT11" s="973"/>
      <c r="BU11" s="1707">
        <f>IF(minergiea,3000,IF(minergiep,3500,2900))</f>
        <v>3000</v>
      </c>
      <c r="BV11" s="1713">
        <f>IF(minergiea,7000,IF(minergiep,8500,8500))</f>
        <v>7000</v>
      </c>
      <c r="BW11" s="970">
        <v>0</v>
      </c>
    </row>
    <row r="12" spans="1:75">
      <c r="A12" s="78">
        <v>6</v>
      </c>
      <c r="B12" s="1623" t="str">
        <f t="shared" si="4"/>
        <v/>
      </c>
      <c r="C12" s="70" t="str">
        <f>IF(Kanton=29,C59,IF($F$96&gt;0,INDEX(C$54:C$94,$F$96,1),""))</f>
        <v/>
      </c>
      <c r="D12" s="70" t="str">
        <f>IF(Kanton=29,D59,IF($F$96&gt;0,INDEX(D$54:D$94,$F$96,1),""))</f>
        <v/>
      </c>
      <c r="E12" s="70" t="str">
        <f>IF(Kanton=29,E59,IF($F$96&gt;0,INDEX(E$54:E$94,$F$96,1),""))</f>
        <v/>
      </c>
      <c r="F12" s="70" t="str">
        <f>IF(Kanton=29,F59,IF($F$96&gt;0,INDEX(F$54:F$94,$F$96,1),""))</f>
        <v/>
      </c>
      <c r="G12" s="125" t="str">
        <f>IF(Kanton=29,G59,IF($F$96&gt;0,INDEX(G$54:G$94,$F$96,1),""))</f>
        <v/>
      </c>
      <c r="H12" s="78">
        <v>4</v>
      </c>
      <c r="I12" s="69" t="str">
        <f t="shared" si="5"/>
        <v xml:space="preserve"> </v>
      </c>
      <c r="J12" s="70">
        <v>65</v>
      </c>
      <c r="K12" s="82">
        <v>85</v>
      </c>
      <c r="L12" s="70">
        <v>25</v>
      </c>
      <c r="M12" s="70">
        <v>20</v>
      </c>
      <c r="N12" s="70">
        <v>3</v>
      </c>
      <c r="O12" s="84">
        <v>0.7</v>
      </c>
      <c r="P12" s="77">
        <v>40</v>
      </c>
      <c r="Q12" s="933">
        <v>55</v>
      </c>
      <c r="R12" s="77" t="b">
        <v>0</v>
      </c>
      <c r="S12" s="88" t="b">
        <v>1</v>
      </c>
      <c r="T12" s="213" t="str">
        <f t="shared" si="1"/>
        <v>Riscaldamento a gas a condensazione, solo AC</v>
      </c>
      <c r="U12" s="1228" t="s">
        <v>155</v>
      </c>
      <c r="V12" s="1228" t="s">
        <v>271</v>
      </c>
      <c r="W12" s="744">
        <v>92</v>
      </c>
      <c r="X12" s="745">
        <v>1</v>
      </c>
      <c r="Y12" s="840">
        <v>1</v>
      </c>
      <c r="Z12" s="77"/>
      <c r="AA12" s="77">
        <v>7</v>
      </c>
      <c r="AB12" s="77" t="b">
        <v>0</v>
      </c>
      <c r="AC12" s="77" t="b">
        <v>0</v>
      </c>
      <c r="AD12" s="77" t="b">
        <v>0</v>
      </c>
      <c r="AE12" s="77">
        <v>0</v>
      </c>
      <c r="AF12" s="612" t="s">
        <v>581</v>
      </c>
      <c r="AG12" s="271"/>
      <c r="AH12" s="271"/>
      <c r="AI12" s="272"/>
      <c r="AJ12" s="272"/>
      <c r="AK12" s="272"/>
      <c r="AL12" s="272"/>
      <c r="AM12" s="272"/>
      <c r="AN12" s="272"/>
      <c r="AO12" s="272"/>
      <c r="AP12" s="272"/>
      <c r="AQ12" s="272"/>
      <c r="AR12" s="272"/>
      <c r="AS12" s="272">
        <v>1</v>
      </c>
      <c r="AT12" s="272">
        <v>1</v>
      </c>
      <c r="AU12" s="272">
        <v>1</v>
      </c>
      <c r="AV12" s="242">
        <f>IF(Kategorie1&gt;0,IF(OR(minergiea,minergiep),$AE12,IF(OR(Neubau1=2,Neubau1=1),$AT12,$AU12)*INDEX($AG12:$AS12,1,Kategorie1)),)</f>
        <v>0</v>
      </c>
      <c r="AW12" s="242">
        <f>IF(Kategorie2&gt;0,IF(OR(minergiea,minergiep),$AE12,IF(OR(Neubau2=2,Neubau2=1),$AT12,$AU12)*INDEX($AG12:$AS12,1,Kategorie2)),)</f>
        <v>0</v>
      </c>
      <c r="AX12" s="242">
        <f>IF(Kategorie3&gt;0,IF(OR(minergiea,minergiep),$AE12,IF(OR(Neubau3=2,Neubau3=1),$AT12,$AU12)*INDEX($AG12:$AS12,1,Kategorie3)),)</f>
        <v>0</v>
      </c>
      <c r="AY12" s="242">
        <f>IF(Kategorie4&gt;0,IF(OR(minergiea,minergiep),$AE12,IF(OR(Neubau4=2,Neubau4=1),$AT12,$AU12)*INDEX($AG12:$AS12,1,Kategorie4)),)</f>
        <v>0</v>
      </c>
      <c r="AZ12" s="242">
        <f t="shared" si="3"/>
        <v>0</v>
      </c>
      <c r="BA12" s="1230" t="s">
        <v>10</v>
      </c>
      <c r="BB12" s="213">
        <v>9</v>
      </c>
      <c r="BC12" s="75" t="str">
        <f t="shared" si="2"/>
        <v>Ginevra</v>
      </c>
      <c r="BD12" s="608" t="b">
        <v>1</v>
      </c>
      <c r="BF12" s="1007"/>
      <c r="BG12" s="1591">
        <f>Input!C21</f>
        <v>0</v>
      </c>
      <c r="BH12" s="1592">
        <f>Input!C22</f>
        <v>0</v>
      </c>
      <c r="BI12" s="1008">
        <f>IF(OR(EBF=0,EBF=""),1,IF(EBF&lt;=BI6,2,IF(EBF&lt;BI7,3,IF(EBF&lt;BI8,4,5))))</f>
        <v>1</v>
      </c>
      <c r="BJ12" s="1011" t="str">
        <f>IF(AND(mehr1&gt;1,einzel1&gt;1),$BJ$7,IF(AND(einzel1&gt;1,BI12&lt;&gt;einzel1,EBF&gt;0),BJ6,BJ5))</f>
        <v/>
      </c>
      <c r="BL12" s="962" t="s">
        <v>775</v>
      </c>
      <c r="BM12" s="964" t="s">
        <v>1770</v>
      </c>
      <c r="BN12" s="968"/>
      <c r="BO12" s="973"/>
      <c r="BP12" s="1707">
        <f>IF(minergiea,2900,IF(minergiep,2300,900))</f>
        <v>2900</v>
      </c>
      <c r="BQ12" s="1707">
        <f>IF(minergiea,2900,IF(minergiep,2500,1300))</f>
        <v>2900</v>
      </c>
      <c r="BR12" s="1707">
        <f>IF(minergiea,5200,IF(minergiep,4800,2900))</f>
        <v>5200</v>
      </c>
      <c r="BS12" s="1707">
        <f>IF(minergiea,9000,IF(minergiep,8500,8500))</f>
        <v>9000</v>
      </c>
      <c r="BT12" s="973"/>
      <c r="BU12" s="1707">
        <f>IF(minergiea,3000,IF(minergiep,3500,2900))</f>
        <v>3000</v>
      </c>
      <c r="BV12" s="1713">
        <f>IF(minergiea,7000,IF(minergiep,8500,8500))</f>
        <v>7000</v>
      </c>
      <c r="BW12" s="970">
        <v>0</v>
      </c>
    </row>
    <row r="13" spans="1:75">
      <c r="A13" s="78">
        <v>7</v>
      </c>
      <c r="B13" s="1623" t="str">
        <f t="shared" si="4"/>
        <v/>
      </c>
      <c r="C13" s="70" t="str">
        <f>IF(Kanton=29,C60,IF($G$96&gt;0,INDEX(C$54:C$94,$G$96,1),""))</f>
        <v/>
      </c>
      <c r="D13" s="70" t="str">
        <f>IF(Kanton=29,D60,IF($G$96&gt;0,INDEX(D$54:D$94,$G$96,1),""))</f>
        <v/>
      </c>
      <c r="E13" s="70" t="str">
        <f>IF(Kanton=29,E60,IF($G$96&gt;0,INDEX(E$54:E$94,$G$96,1),""))</f>
        <v/>
      </c>
      <c r="F13" s="70" t="str">
        <f>IF(Kanton=29,F60,IF($G$96&gt;0,INDEX(F$54:F$94,$G$96,1),""))</f>
        <v/>
      </c>
      <c r="G13" s="125" t="str">
        <f>IF(Kanton=29,G60,IF($G$96&gt;0,INDEX(G$54:G$94,$G$96,1),""))</f>
        <v/>
      </c>
      <c r="H13" s="78">
        <v>5</v>
      </c>
      <c r="I13" s="69" t="str">
        <f t="shared" si="5"/>
        <v xml:space="preserve"> </v>
      </c>
      <c r="J13" s="70">
        <v>70</v>
      </c>
      <c r="K13" s="82">
        <v>70</v>
      </c>
      <c r="L13" s="70">
        <v>25</v>
      </c>
      <c r="M13" s="70">
        <v>10</v>
      </c>
      <c r="N13" s="70">
        <v>4</v>
      </c>
      <c r="O13" s="84">
        <v>0.7</v>
      </c>
      <c r="P13" s="77">
        <v>40</v>
      </c>
      <c r="Q13" s="933">
        <v>55</v>
      </c>
      <c r="R13" s="77" t="b">
        <v>0</v>
      </c>
      <c r="S13" s="88" t="b">
        <v>1</v>
      </c>
      <c r="T13" s="213" t="str">
        <f t="shared" si="1"/>
        <v>Scaldaacqua a gas</v>
      </c>
      <c r="U13" s="1228" t="s">
        <v>995</v>
      </c>
      <c r="V13" s="1228" t="s">
        <v>995</v>
      </c>
      <c r="W13" s="744">
        <v>70</v>
      </c>
      <c r="X13" s="745">
        <v>1</v>
      </c>
      <c r="Y13" s="840">
        <v>1</v>
      </c>
      <c r="Z13" s="77"/>
      <c r="AA13" s="77">
        <v>8</v>
      </c>
      <c r="AB13" s="77" t="b">
        <v>0</v>
      </c>
      <c r="AC13" s="77" t="b">
        <v>0</v>
      </c>
      <c r="AD13" s="77" t="b">
        <v>0</v>
      </c>
      <c r="AE13" s="81">
        <v>1</v>
      </c>
      <c r="AF13" s="244" t="s">
        <v>1734</v>
      </c>
      <c r="AG13" s="271"/>
      <c r="AH13" s="271"/>
      <c r="AI13" s="272"/>
      <c r="AJ13" s="272"/>
      <c r="AK13" s="272"/>
      <c r="AL13" s="272"/>
      <c r="AM13" s="272"/>
      <c r="AN13" s="272"/>
      <c r="AO13" s="272"/>
      <c r="AP13" s="272"/>
      <c r="AQ13" s="272"/>
      <c r="AR13" s="272"/>
      <c r="AS13" s="272"/>
      <c r="AT13" s="272">
        <v>1</v>
      </c>
      <c r="AU13" s="272">
        <v>1</v>
      </c>
      <c r="AV13" s="242">
        <f>IF(Kategorie1&gt;0,IF(OR(minergiea,minergiep),$AE13,IF(OR(Neubau1=2,Neubau1=1),$AT13,$AU13)*INDEX($AG13:$AS13,1,Kategorie1)),)</f>
        <v>1</v>
      </c>
      <c r="AW13" s="242">
        <f>IF(Kategorie2&gt;0,IF(OR(minergiea,minergiep),$AE13,IF(OR(Neubau2=2,Neubau2=1),$AT13,$AU13)*INDEX($AG13:$AS13,1,Kategorie2)),)</f>
        <v>1</v>
      </c>
      <c r="AX13" s="242">
        <f>IF(Kategorie3&gt;0,IF(OR(minergiea,minergiep),$AE13,IF(OR(Neubau3=2,Neubau3=1),$AT13,$AU13)*INDEX($AG13:$AS13,1,Kategorie3)),)</f>
        <v>1</v>
      </c>
      <c r="AY13" s="242">
        <f>IF(Kategorie4&gt;0,IF(OR(minergiea,minergiep),$AE13,IF(OR(Neubau4=2,Neubau4=1),$AT13,$AU13)*INDEX($AG13:$AS13,1,Kategorie4)),)</f>
        <v>1</v>
      </c>
      <c r="AZ13" s="242">
        <f t="shared" si="3"/>
        <v>4</v>
      </c>
      <c r="BA13" s="275" t="str">
        <f>IF(Neubau=2,"Ermeticità all'aria n50,st &lt; 0.6 1/h",IF(Neubau=3,"Ermeticità all'aria n50,st &lt;1.5 1/h","Ermeticità all'aria n50, st&lt;0.6 (risp. 1.5) 1/h"))</f>
        <v>Ermeticità all'aria n50, st&lt;0.6 (risp. 1.5) 1/h</v>
      </c>
      <c r="BB13" s="213">
        <v>10</v>
      </c>
      <c r="BC13" s="75" t="str">
        <f t="shared" si="2"/>
        <v>Glarona</v>
      </c>
      <c r="BD13" s="608" t="b">
        <v>1</v>
      </c>
      <c r="BL13" s="962" t="s">
        <v>1383</v>
      </c>
      <c r="BM13" s="964" t="s">
        <v>548</v>
      </c>
      <c r="BN13" s="968"/>
      <c r="BO13" s="973"/>
      <c r="BP13" s="1707">
        <f t="shared" ref="BP13:BP22" si="6">IF(minergiea,2900,IF(minergiep,2500,1100))</f>
        <v>2900</v>
      </c>
      <c r="BQ13" s="1707">
        <f t="shared" ref="BQ13:BQ22" si="7">IF(minergiea,2900,IF(minergiep,2700,1600))</f>
        <v>2900</v>
      </c>
      <c r="BR13" s="1707">
        <f t="shared" ref="BR13:BR22" si="8">IF(minergiea,5200,IF(minergiep,5400,3500))</f>
        <v>5200</v>
      </c>
      <c r="BS13" s="1707">
        <f t="shared" ref="BS13:BS22" si="9">IF(minergiea,9000,IF(minergiep,10000,10000))</f>
        <v>9000</v>
      </c>
      <c r="BT13" s="973"/>
      <c r="BU13" s="1707">
        <f t="shared" ref="BU13:BU22" si="10">IF(minergiea,3300,IF(minergiep,3900,3500))</f>
        <v>3300</v>
      </c>
      <c r="BV13" s="1713">
        <f t="shared" ref="BV13:BV22" si="11">IF(minergiea,8000,IF(minergiep,10000,10000))</f>
        <v>8000</v>
      </c>
      <c r="BW13" s="970">
        <v>0</v>
      </c>
    </row>
    <row r="14" spans="1:75">
      <c r="A14" s="78">
        <v>8</v>
      </c>
      <c r="B14" s="1623" t="str">
        <f t="shared" ref="B14:G14" si="12">IF(Kanton=29,B61,"")</f>
        <v/>
      </c>
      <c r="C14" s="70" t="str">
        <f t="shared" si="12"/>
        <v/>
      </c>
      <c r="D14" s="70" t="str">
        <f t="shared" si="12"/>
        <v/>
      </c>
      <c r="E14" s="70" t="str">
        <f t="shared" si="12"/>
        <v/>
      </c>
      <c r="F14" s="70" t="str">
        <f t="shared" si="12"/>
        <v/>
      </c>
      <c r="G14" s="125" t="str">
        <f t="shared" si="12"/>
        <v/>
      </c>
      <c r="H14" s="78">
        <v>6</v>
      </c>
      <c r="I14" s="69" t="str">
        <f t="shared" si="5"/>
        <v xml:space="preserve"> </v>
      </c>
      <c r="J14" s="70">
        <v>50</v>
      </c>
      <c r="K14" s="82">
        <v>65</v>
      </c>
      <c r="L14" s="70">
        <v>25</v>
      </c>
      <c r="M14" s="70">
        <v>10</v>
      </c>
      <c r="N14" s="70">
        <v>3</v>
      </c>
      <c r="O14" s="84">
        <v>0.7</v>
      </c>
      <c r="P14" s="77">
        <v>40</v>
      </c>
      <c r="Q14" s="933">
        <v>55</v>
      </c>
      <c r="R14" s="77" t="b">
        <v>0</v>
      </c>
      <c r="S14" s="88" t="b">
        <v>1</v>
      </c>
      <c r="T14" s="213" t="str">
        <f t="shared" si="1"/>
        <v>Riscaldamento a legna</v>
      </c>
      <c r="U14" s="1228" t="s">
        <v>996</v>
      </c>
      <c r="V14" s="1228" t="s">
        <v>996</v>
      </c>
      <c r="W14" s="744">
        <v>75</v>
      </c>
      <c r="X14" s="745">
        <v>0.7</v>
      </c>
      <c r="Y14" s="840">
        <v>1</v>
      </c>
      <c r="Z14" s="77">
        <v>1</v>
      </c>
      <c r="AA14" s="77">
        <v>9</v>
      </c>
      <c r="AB14" s="77" t="b">
        <v>0</v>
      </c>
      <c r="AC14" s="77" t="b">
        <v>0</v>
      </c>
      <c r="AD14" s="77" t="b">
        <v>0</v>
      </c>
      <c r="AE14" s="1054" t="s">
        <v>300</v>
      </c>
      <c r="AF14" s="1055"/>
      <c r="AG14" s="81"/>
      <c r="AH14" s="242"/>
      <c r="AI14" s="242"/>
      <c r="AJ14" s="242"/>
      <c r="AK14" s="242"/>
      <c r="AL14" s="242"/>
      <c r="AM14" s="242"/>
      <c r="AN14" s="242"/>
      <c r="AO14" s="242"/>
      <c r="AP14" s="242"/>
      <c r="AQ14" s="242"/>
      <c r="AR14" s="242"/>
      <c r="AS14" s="242"/>
      <c r="AT14" s="212"/>
      <c r="AU14" s="212"/>
      <c r="AV14" s="242"/>
      <c r="AW14" s="212"/>
      <c r="AX14" s="212"/>
      <c r="AY14" s="212"/>
      <c r="AZ14" s="212"/>
      <c r="BA14" s="274"/>
      <c r="BB14" s="213">
        <v>11</v>
      </c>
      <c r="BC14" s="75" t="str">
        <f t="shared" si="2"/>
        <v>Grigioni</v>
      </c>
      <c r="BD14" s="608" t="b">
        <v>1</v>
      </c>
      <c r="BL14" s="962" t="s">
        <v>1384</v>
      </c>
      <c r="BM14" s="964" t="s">
        <v>552</v>
      </c>
      <c r="BN14" s="968"/>
      <c r="BO14" s="973"/>
      <c r="BP14" s="1707">
        <f t="shared" si="6"/>
        <v>2900</v>
      </c>
      <c r="BQ14" s="1707">
        <f t="shared" si="7"/>
        <v>2900</v>
      </c>
      <c r="BR14" s="1707">
        <f t="shared" si="8"/>
        <v>5200</v>
      </c>
      <c r="BS14" s="1707">
        <f t="shared" si="9"/>
        <v>9000</v>
      </c>
      <c r="BT14" s="973"/>
      <c r="BU14" s="1707">
        <f t="shared" si="10"/>
        <v>3300</v>
      </c>
      <c r="BV14" s="1713">
        <f t="shared" si="11"/>
        <v>8000</v>
      </c>
      <c r="BW14" s="970">
        <v>0</v>
      </c>
    </row>
    <row r="15" spans="1:75">
      <c r="A15" s="78">
        <v>9</v>
      </c>
      <c r="B15" s="1623" t="str">
        <f t="shared" ref="B15:G30" si="13">IF(Kanton=29,B62,"")</f>
        <v/>
      </c>
      <c r="C15" s="70" t="str">
        <f t="shared" si="13"/>
        <v/>
      </c>
      <c r="D15" s="70" t="str">
        <f t="shared" si="13"/>
        <v/>
      </c>
      <c r="E15" s="70" t="str">
        <f t="shared" si="13"/>
        <v/>
      </c>
      <c r="F15" s="70" t="str">
        <f t="shared" si="13"/>
        <v/>
      </c>
      <c r="G15" s="125" t="str">
        <f t="shared" si="13"/>
        <v/>
      </c>
      <c r="H15" s="78">
        <v>7</v>
      </c>
      <c r="I15" s="69" t="str">
        <f t="shared" si="5"/>
        <v xml:space="preserve"> </v>
      </c>
      <c r="J15" s="70">
        <v>95</v>
      </c>
      <c r="K15" s="82">
        <v>75</v>
      </c>
      <c r="L15" s="70">
        <v>0</v>
      </c>
      <c r="M15" s="70">
        <v>5</v>
      </c>
      <c r="N15" s="70">
        <v>3</v>
      </c>
      <c r="O15" s="84">
        <v>1.2</v>
      </c>
      <c r="P15" s="77">
        <v>45</v>
      </c>
      <c r="Q15" s="933">
        <v>65</v>
      </c>
      <c r="R15" s="77" t="b">
        <v>0</v>
      </c>
      <c r="S15" s="88" t="b">
        <v>0</v>
      </c>
      <c r="T15" s="213" t="str">
        <f t="shared" si="1"/>
        <v>Riscaldamento a pellets</v>
      </c>
      <c r="U15" s="1228" t="s">
        <v>40</v>
      </c>
      <c r="V15" s="1228" t="s">
        <v>40</v>
      </c>
      <c r="W15" s="929">
        <v>85</v>
      </c>
      <c r="X15" s="745">
        <v>0.7</v>
      </c>
      <c r="Y15" s="840">
        <v>1</v>
      </c>
      <c r="Z15" s="77">
        <v>1</v>
      </c>
      <c r="AA15" s="77">
        <v>10</v>
      </c>
      <c r="AB15" s="77" t="b">
        <v>0</v>
      </c>
      <c r="AC15" s="77" t="b">
        <v>0</v>
      </c>
      <c r="AD15" s="77" t="b">
        <v>0</v>
      </c>
      <c r="AE15" s="1059" t="s">
        <v>301</v>
      </c>
      <c r="AF15" s="1056">
        <f>Kategorie1</f>
        <v>1</v>
      </c>
      <c r="AG15" s="68"/>
      <c r="BB15" s="213">
        <v>12</v>
      </c>
      <c r="BC15" s="75" t="str">
        <f t="shared" si="2"/>
        <v>Giura</v>
      </c>
      <c r="BD15" s="608" t="b">
        <v>1</v>
      </c>
      <c r="BF15" s="737" t="s">
        <v>1764</v>
      </c>
      <c r="BG15" s="736"/>
      <c r="BH15" s="108"/>
      <c r="BI15" s="1296" t="s">
        <v>1765</v>
      </c>
      <c r="BJ15" s="959"/>
      <c r="BL15" s="962" t="s">
        <v>1385</v>
      </c>
      <c r="BM15" s="964" t="s">
        <v>1771</v>
      </c>
      <c r="BN15" s="968"/>
      <c r="BO15" s="973"/>
      <c r="BP15" s="1707">
        <f t="shared" si="6"/>
        <v>2900</v>
      </c>
      <c r="BQ15" s="1707">
        <f t="shared" si="7"/>
        <v>2900</v>
      </c>
      <c r="BR15" s="1707">
        <f t="shared" si="8"/>
        <v>5200</v>
      </c>
      <c r="BS15" s="1707">
        <f t="shared" si="9"/>
        <v>9000</v>
      </c>
      <c r="BT15" s="973"/>
      <c r="BU15" s="1707">
        <f t="shared" si="10"/>
        <v>3300</v>
      </c>
      <c r="BV15" s="1713">
        <f t="shared" si="11"/>
        <v>8000</v>
      </c>
      <c r="BW15" s="970">
        <v>0</v>
      </c>
    </row>
    <row r="16" spans="1:75">
      <c r="A16" s="78">
        <v>10</v>
      </c>
      <c r="B16" s="1623" t="str">
        <f t="shared" si="13"/>
        <v/>
      </c>
      <c r="C16" s="70" t="str">
        <f t="shared" si="13"/>
        <v/>
      </c>
      <c r="D16" s="70" t="str">
        <f t="shared" si="13"/>
        <v/>
      </c>
      <c r="E16" s="70" t="str">
        <f t="shared" si="13"/>
        <v/>
      </c>
      <c r="F16" s="70" t="str">
        <f t="shared" si="13"/>
        <v/>
      </c>
      <c r="G16" s="125" t="str">
        <f t="shared" si="13"/>
        <v/>
      </c>
      <c r="H16" s="78">
        <v>8</v>
      </c>
      <c r="I16" s="69" t="str">
        <f t="shared" si="5"/>
        <v xml:space="preserve"> </v>
      </c>
      <c r="J16" s="70">
        <v>95</v>
      </c>
      <c r="K16" s="82">
        <v>75</v>
      </c>
      <c r="L16" s="70">
        <v>50</v>
      </c>
      <c r="M16" s="70">
        <v>5</v>
      </c>
      <c r="N16" s="70">
        <v>3</v>
      </c>
      <c r="O16" s="90">
        <v>1</v>
      </c>
      <c r="P16" s="77">
        <v>40</v>
      </c>
      <c r="Q16" s="933">
        <v>60</v>
      </c>
      <c r="R16" s="77" t="b">
        <v>0</v>
      </c>
      <c r="S16" s="88" t="b">
        <v>1</v>
      </c>
      <c r="T16" s="213" t="str">
        <f t="shared" si="1"/>
        <v>Teleriscaldamento (min. 50% di energie rinnovabili)</v>
      </c>
      <c r="U16" s="1228" t="s">
        <v>1323</v>
      </c>
      <c r="V16" s="1228" t="s">
        <v>1322</v>
      </c>
      <c r="W16" s="929">
        <v>100</v>
      </c>
      <c r="X16" s="930">
        <v>0.6</v>
      </c>
      <c r="Y16" s="840">
        <v>1</v>
      </c>
      <c r="Z16" s="77">
        <v>1</v>
      </c>
      <c r="AA16" s="77">
        <v>11</v>
      </c>
      <c r="AB16" s="77" t="b">
        <v>0</v>
      </c>
      <c r="AC16" s="77" t="b">
        <v>0</v>
      </c>
      <c r="AD16" s="77" t="b">
        <v>0</v>
      </c>
      <c r="AE16" s="1060" t="s">
        <v>302</v>
      </c>
      <c r="AF16" s="1057">
        <f>Kategorie2</f>
        <v>1</v>
      </c>
      <c r="AG16" s="75"/>
      <c r="AX16" s="59" t="s">
        <v>603</v>
      </c>
      <c r="BB16" s="213">
        <v>13</v>
      </c>
      <c r="BC16" s="75" t="str">
        <f t="shared" si="2"/>
        <v>Lucerna</v>
      </c>
      <c r="BD16" s="608" t="b">
        <v>1</v>
      </c>
      <c r="BF16" s="955"/>
      <c r="BG16" s="979"/>
      <c r="BH16" s="1000"/>
      <c r="BI16" s="1297"/>
      <c r="BJ16" s="960"/>
      <c r="BL16" s="962" t="s">
        <v>1386</v>
      </c>
      <c r="BM16" s="964" t="s">
        <v>1772</v>
      </c>
      <c r="BN16" s="968"/>
      <c r="BO16" s="973"/>
      <c r="BP16" s="1707">
        <f t="shared" si="6"/>
        <v>2900</v>
      </c>
      <c r="BQ16" s="1707">
        <f t="shared" si="7"/>
        <v>2900</v>
      </c>
      <c r="BR16" s="1707">
        <f t="shared" si="8"/>
        <v>5200</v>
      </c>
      <c r="BS16" s="1707">
        <f t="shared" si="9"/>
        <v>9000</v>
      </c>
      <c r="BT16" s="973"/>
      <c r="BU16" s="1707">
        <f t="shared" si="10"/>
        <v>3300</v>
      </c>
      <c r="BV16" s="1713">
        <f t="shared" si="11"/>
        <v>8000</v>
      </c>
      <c r="BW16" s="970">
        <v>0</v>
      </c>
    </row>
    <row r="17" spans="1:81">
      <c r="A17" s="78">
        <v>11</v>
      </c>
      <c r="B17" s="1623" t="str">
        <f t="shared" si="13"/>
        <v/>
      </c>
      <c r="C17" s="70" t="str">
        <f t="shared" si="13"/>
        <v/>
      </c>
      <c r="D17" s="70" t="str">
        <f t="shared" si="13"/>
        <v/>
      </c>
      <c r="E17" s="70" t="str">
        <f t="shared" si="13"/>
        <v/>
      </c>
      <c r="F17" s="70" t="str">
        <f t="shared" si="13"/>
        <v/>
      </c>
      <c r="G17" s="125" t="str">
        <f t="shared" si="13"/>
        <v/>
      </c>
      <c r="H17" s="78">
        <v>9</v>
      </c>
      <c r="I17" s="69" t="str">
        <f t="shared" si="5"/>
        <v xml:space="preserve"> </v>
      </c>
      <c r="J17" s="70">
        <v>80</v>
      </c>
      <c r="K17" s="82">
        <v>80</v>
      </c>
      <c r="L17" s="70">
        <v>100</v>
      </c>
      <c r="M17" s="70">
        <v>30</v>
      </c>
      <c r="N17" s="70">
        <v>3</v>
      </c>
      <c r="O17" s="90">
        <v>1</v>
      </c>
      <c r="P17" s="933">
        <v>70</v>
      </c>
      <c r="Q17" s="933">
        <v>85</v>
      </c>
      <c r="R17" s="77" t="b">
        <v>0</v>
      </c>
      <c r="S17" s="88" t="b">
        <v>1</v>
      </c>
      <c r="T17" s="213" t="str">
        <f t="shared" si="1"/>
        <v>Riscaldamento centrale elettrico ad accumulazione</v>
      </c>
      <c r="U17" s="1228" t="s">
        <v>997</v>
      </c>
      <c r="V17" s="1228" t="s">
        <v>340</v>
      </c>
      <c r="W17" s="744">
        <v>93</v>
      </c>
      <c r="X17" s="745">
        <v>2</v>
      </c>
      <c r="Y17" s="840"/>
      <c r="Z17" s="77">
        <v>1</v>
      </c>
      <c r="AA17" s="77">
        <v>12</v>
      </c>
      <c r="AB17" s="77" t="b">
        <v>0</v>
      </c>
      <c r="AC17" s="77" t="b">
        <v>0</v>
      </c>
      <c r="AD17" s="77" t="b">
        <v>0</v>
      </c>
      <c r="AE17" s="1060" t="s">
        <v>303</v>
      </c>
      <c r="AF17" s="1057">
        <f>Kategorie3</f>
        <v>1</v>
      </c>
      <c r="AG17" s="75"/>
      <c r="BB17" s="213">
        <v>14</v>
      </c>
      <c r="BC17" s="75" t="str">
        <f t="shared" si="2"/>
        <v>Neuchâtel</v>
      </c>
      <c r="BD17" s="608" t="b">
        <v>1</v>
      </c>
      <c r="BF17" s="1294"/>
      <c r="BG17" s="1294"/>
      <c r="BH17" s="1294"/>
      <c r="BI17" s="953" t="s">
        <v>1766</v>
      </c>
      <c r="BJ17" s="961" t="s">
        <v>1767</v>
      </c>
      <c r="BL17" s="962" t="s">
        <v>1387</v>
      </c>
      <c r="BM17" s="964" t="s">
        <v>1773</v>
      </c>
      <c r="BN17" s="968"/>
      <c r="BO17" s="973"/>
      <c r="BP17" s="1707">
        <f t="shared" si="6"/>
        <v>2900</v>
      </c>
      <c r="BQ17" s="1707">
        <f t="shared" si="7"/>
        <v>2900</v>
      </c>
      <c r="BR17" s="1707">
        <f t="shared" si="8"/>
        <v>5200</v>
      </c>
      <c r="BS17" s="1707">
        <f t="shared" si="9"/>
        <v>9000</v>
      </c>
      <c r="BT17" s="973"/>
      <c r="BU17" s="1707">
        <f t="shared" si="10"/>
        <v>3300</v>
      </c>
      <c r="BV17" s="1713">
        <f t="shared" si="11"/>
        <v>8000</v>
      </c>
      <c r="BW17" s="970">
        <v>0</v>
      </c>
    </row>
    <row r="18" spans="1:81">
      <c r="A18" s="78">
        <v>12</v>
      </c>
      <c r="B18" s="1623" t="str">
        <f t="shared" si="13"/>
        <v/>
      </c>
      <c r="C18" s="70" t="str">
        <f t="shared" si="13"/>
        <v/>
      </c>
      <c r="D18" s="70" t="str">
        <f t="shared" si="13"/>
        <v/>
      </c>
      <c r="E18" s="70" t="str">
        <f t="shared" si="13"/>
        <v/>
      </c>
      <c r="F18" s="70" t="str">
        <f t="shared" si="13"/>
        <v/>
      </c>
      <c r="G18" s="125" t="str">
        <f t="shared" si="13"/>
        <v/>
      </c>
      <c r="H18" s="78">
        <v>10</v>
      </c>
      <c r="I18" s="69" t="str">
        <f t="shared" si="5"/>
        <v xml:space="preserve"> </v>
      </c>
      <c r="J18" s="70">
        <v>60</v>
      </c>
      <c r="K18" s="82">
        <v>70</v>
      </c>
      <c r="L18" s="70">
        <v>25</v>
      </c>
      <c r="M18" s="70">
        <v>20</v>
      </c>
      <c r="N18" s="70">
        <v>3</v>
      </c>
      <c r="O18" s="84">
        <v>0.7</v>
      </c>
      <c r="P18" s="77">
        <v>20</v>
      </c>
      <c r="Q18" s="933">
        <v>40</v>
      </c>
      <c r="R18" s="77" t="b">
        <v>0</v>
      </c>
      <c r="S18" s="88" t="b">
        <v>1</v>
      </c>
      <c r="T18" s="213" t="str">
        <f t="shared" si="1"/>
        <v>Riscaldamento elettrico diretto</v>
      </c>
      <c r="U18" s="1228" t="s">
        <v>998</v>
      </c>
      <c r="V18" s="1228" t="s">
        <v>998</v>
      </c>
      <c r="W18" s="744">
        <v>100</v>
      </c>
      <c r="X18" s="745">
        <v>2</v>
      </c>
      <c r="Y18" s="840"/>
      <c r="Z18" s="77">
        <v>1</v>
      </c>
      <c r="AA18" s="77">
        <v>13</v>
      </c>
      <c r="AB18" s="77" t="b">
        <v>0</v>
      </c>
      <c r="AC18" s="77" t="b">
        <v>0</v>
      </c>
      <c r="AD18" s="77" t="b">
        <v>0</v>
      </c>
      <c r="AE18" s="1061" t="s">
        <v>304</v>
      </c>
      <c r="AF18" s="1058">
        <f>Kategorie4</f>
        <v>1</v>
      </c>
      <c r="AG18" s="75"/>
      <c r="BB18" s="213">
        <v>15</v>
      </c>
      <c r="BC18" s="75" t="str">
        <f t="shared" si="2"/>
        <v>Nidvaldo</v>
      </c>
      <c r="BD18" s="608" t="b">
        <v>1</v>
      </c>
      <c r="BF18" s="1233" t="s">
        <v>1326</v>
      </c>
      <c r="BG18" s="1234" t="s">
        <v>672</v>
      </c>
      <c r="BH18" s="1233" t="s">
        <v>1326</v>
      </c>
      <c r="BI18" s="962"/>
      <c r="BJ18" s="963"/>
      <c r="BL18" s="962" t="s">
        <v>1388</v>
      </c>
      <c r="BM18" s="964" t="s">
        <v>1145</v>
      </c>
      <c r="BN18" s="968"/>
      <c r="BO18" s="973"/>
      <c r="BP18" s="1707">
        <f t="shared" si="6"/>
        <v>2900</v>
      </c>
      <c r="BQ18" s="1707">
        <f t="shared" si="7"/>
        <v>2900</v>
      </c>
      <c r="BR18" s="1707">
        <f t="shared" si="8"/>
        <v>5200</v>
      </c>
      <c r="BS18" s="1707">
        <f t="shared" si="9"/>
        <v>9000</v>
      </c>
      <c r="BT18" s="973"/>
      <c r="BU18" s="1707">
        <f t="shared" si="10"/>
        <v>3300</v>
      </c>
      <c r="BV18" s="1713">
        <f t="shared" si="11"/>
        <v>8000</v>
      </c>
      <c r="BW18" s="970">
        <v>0</v>
      </c>
    </row>
    <row r="19" spans="1:81">
      <c r="A19" s="78">
        <v>13</v>
      </c>
      <c r="B19" s="1623" t="str">
        <f t="shared" si="13"/>
        <v/>
      </c>
      <c r="C19" s="70" t="str">
        <f t="shared" si="13"/>
        <v/>
      </c>
      <c r="D19" s="70" t="str">
        <f t="shared" si="13"/>
        <v/>
      </c>
      <c r="E19" s="70" t="str">
        <f t="shared" si="13"/>
        <v/>
      </c>
      <c r="F19" s="70" t="str">
        <f t="shared" si="13"/>
        <v/>
      </c>
      <c r="G19" s="125" t="str">
        <f t="shared" si="13"/>
        <v/>
      </c>
      <c r="H19" s="78">
        <v>11</v>
      </c>
      <c r="I19" s="69" t="str">
        <f t="shared" si="5"/>
        <v xml:space="preserve"> </v>
      </c>
      <c r="J19" s="70">
        <v>60</v>
      </c>
      <c r="K19" s="82">
        <v>70</v>
      </c>
      <c r="L19" s="70">
        <v>5</v>
      </c>
      <c r="M19" s="70">
        <v>100</v>
      </c>
      <c r="N19" s="70">
        <v>3</v>
      </c>
      <c r="O19" s="84">
        <v>0.3</v>
      </c>
      <c r="P19" s="77">
        <v>20</v>
      </c>
      <c r="Q19" s="933">
        <v>35</v>
      </c>
      <c r="R19" s="77" t="b">
        <v>0</v>
      </c>
      <c r="S19" s="88" t="b">
        <v>1</v>
      </c>
      <c r="T19" s="213" t="str">
        <f t="shared" si="1"/>
        <v>Scaldaacqua elettrico</v>
      </c>
      <c r="U19" s="1228" t="s">
        <v>999</v>
      </c>
      <c r="V19" s="1228" t="s">
        <v>999</v>
      </c>
      <c r="W19" s="744">
        <v>90</v>
      </c>
      <c r="X19" s="745">
        <v>2</v>
      </c>
      <c r="Y19" s="840">
        <v>1</v>
      </c>
      <c r="Z19" s="77"/>
      <c r="AA19" s="77">
        <v>14</v>
      </c>
      <c r="AB19" s="77" t="b">
        <v>0</v>
      </c>
      <c r="AC19" s="77" t="b">
        <v>0</v>
      </c>
      <c r="AD19" s="77" t="b">
        <v>0</v>
      </c>
      <c r="BB19" s="213">
        <v>16</v>
      </c>
      <c r="BC19" s="75" t="str">
        <f t="shared" si="2"/>
        <v>Obvaldo</v>
      </c>
      <c r="BD19" s="608" t="b">
        <v>1</v>
      </c>
      <c r="BF19" s="1233" t="s">
        <v>38</v>
      </c>
      <c r="BG19" s="1233" t="s">
        <v>1327</v>
      </c>
      <c r="BH19" s="1294" t="s">
        <v>38</v>
      </c>
      <c r="BI19" s="992" t="b">
        <v>1</v>
      </c>
      <c r="BJ19" s="993" t="b">
        <v>0</v>
      </c>
      <c r="BL19" s="962" t="s">
        <v>1389</v>
      </c>
      <c r="BM19" s="964" t="s">
        <v>662</v>
      </c>
      <c r="BN19" s="968"/>
      <c r="BO19" s="973"/>
      <c r="BP19" s="1707">
        <f t="shared" si="6"/>
        <v>2900</v>
      </c>
      <c r="BQ19" s="1707">
        <f t="shared" si="7"/>
        <v>2900</v>
      </c>
      <c r="BR19" s="1707">
        <f t="shared" si="8"/>
        <v>5200</v>
      </c>
      <c r="BS19" s="1707">
        <f t="shared" si="9"/>
        <v>9000</v>
      </c>
      <c r="BT19" s="973"/>
      <c r="BU19" s="1707">
        <f t="shared" si="10"/>
        <v>3300</v>
      </c>
      <c r="BV19" s="1713">
        <f t="shared" si="11"/>
        <v>8000</v>
      </c>
      <c r="BW19" s="970">
        <v>0</v>
      </c>
    </row>
    <row r="20" spans="1:81" ht="15.6">
      <c r="A20" s="78">
        <v>14</v>
      </c>
      <c r="B20" s="1623" t="str">
        <f t="shared" si="13"/>
        <v/>
      </c>
      <c r="C20" s="70" t="str">
        <f t="shared" si="13"/>
        <v/>
      </c>
      <c r="D20" s="70" t="str">
        <f t="shared" si="13"/>
        <v/>
      </c>
      <c r="E20" s="70" t="str">
        <f t="shared" si="13"/>
        <v/>
      </c>
      <c r="F20" s="70" t="str">
        <f t="shared" si="13"/>
        <v/>
      </c>
      <c r="G20" s="125" t="str">
        <f t="shared" si="13"/>
        <v/>
      </c>
      <c r="H20" s="78">
        <v>12</v>
      </c>
      <c r="I20" s="69" t="str">
        <f t="shared" si="5"/>
        <v xml:space="preserve"> </v>
      </c>
      <c r="J20" s="70">
        <v>75</v>
      </c>
      <c r="K20" s="82">
        <v>70</v>
      </c>
      <c r="L20" s="70">
        <v>0</v>
      </c>
      <c r="M20" s="70">
        <v>20</v>
      </c>
      <c r="N20" s="70">
        <v>3</v>
      </c>
      <c r="O20" s="84">
        <v>0.7</v>
      </c>
      <c r="P20" s="77">
        <v>25</v>
      </c>
      <c r="Q20" s="933">
        <v>40</v>
      </c>
      <c r="R20" s="77" t="b">
        <v>0</v>
      </c>
      <c r="S20" s="88" t="b">
        <v>0</v>
      </c>
      <c r="T20" s="213" t="str">
        <f t="shared" si="1"/>
        <v>UFC (fossile) - parte termica + elettrica</v>
      </c>
      <c r="U20" s="1228" t="s">
        <v>729</v>
      </c>
      <c r="V20" s="1228" t="s">
        <v>728</v>
      </c>
      <c r="W20" s="744"/>
      <c r="X20" s="745">
        <v>1</v>
      </c>
      <c r="Y20" s="840">
        <v>1</v>
      </c>
      <c r="Z20" s="77">
        <v>1</v>
      </c>
      <c r="AA20" s="77">
        <v>15</v>
      </c>
      <c r="AB20" s="77" t="b">
        <v>0</v>
      </c>
      <c r="AC20" s="77" t="b">
        <v>0</v>
      </c>
      <c r="AD20" s="77" t="b">
        <v>0</v>
      </c>
      <c r="AE20" s="901" t="s">
        <v>1276</v>
      </c>
      <c r="AN20" s="901" t="s">
        <v>848</v>
      </c>
      <c r="BB20" s="213">
        <v>17</v>
      </c>
      <c r="BC20" s="75" t="str">
        <f t="shared" si="2"/>
        <v>San Gallo</v>
      </c>
      <c r="BD20" s="608" t="b">
        <v>1</v>
      </c>
      <c r="BF20" s="1235" t="s">
        <v>167</v>
      </c>
      <c r="BG20" s="1235" t="s">
        <v>167</v>
      </c>
      <c r="BH20" s="1294" t="s">
        <v>1409</v>
      </c>
      <c r="BL20" s="962" t="s">
        <v>1390</v>
      </c>
      <c r="BM20" s="964" t="s">
        <v>521</v>
      </c>
      <c r="BN20" s="968"/>
      <c r="BO20" s="973"/>
      <c r="BP20" s="1707">
        <f t="shared" si="6"/>
        <v>2900</v>
      </c>
      <c r="BQ20" s="1707">
        <f t="shared" si="7"/>
        <v>2900</v>
      </c>
      <c r="BR20" s="1707">
        <f t="shared" si="8"/>
        <v>5200</v>
      </c>
      <c r="BS20" s="1707">
        <f t="shared" si="9"/>
        <v>9000</v>
      </c>
      <c r="BT20" s="973"/>
      <c r="BU20" s="1707">
        <f t="shared" si="10"/>
        <v>3300</v>
      </c>
      <c r="BV20" s="1713">
        <f t="shared" si="11"/>
        <v>8000</v>
      </c>
      <c r="BW20" s="970">
        <v>0</v>
      </c>
    </row>
    <row r="21" spans="1:81">
      <c r="A21" s="78">
        <v>15</v>
      </c>
      <c r="B21" s="1623" t="str">
        <f t="shared" si="13"/>
        <v/>
      </c>
      <c r="C21" s="70" t="str">
        <f t="shared" si="13"/>
        <v/>
      </c>
      <c r="D21" s="70" t="str">
        <f t="shared" si="13"/>
        <v/>
      </c>
      <c r="E21" s="70" t="str">
        <f t="shared" si="13"/>
        <v/>
      </c>
      <c r="F21" s="70" t="str">
        <f t="shared" si="13"/>
        <v/>
      </c>
      <c r="G21" s="125" t="str">
        <f t="shared" si="13"/>
        <v/>
      </c>
      <c r="H21" s="78">
        <v>13</v>
      </c>
      <c r="I21" s="79" t="str">
        <f t="shared" si="5"/>
        <v xml:space="preserve"> </v>
      </c>
      <c r="J21" s="80">
        <v>70</v>
      </c>
      <c r="K21" s="1628">
        <v>90</v>
      </c>
      <c r="L21" s="80">
        <v>0</v>
      </c>
      <c r="M21" s="80">
        <v>20</v>
      </c>
      <c r="N21" s="80">
        <v>3</v>
      </c>
      <c r="O21" s="100">
        <v>0.7</v>
      </c>
      <c r="P21" s="81">
        <v>0</v>
      </c>
      <c r="Q21" s="81">
        <v>0</v>
      </c>
      <c r="R21" s="81" t="b">
        <v>0</v>
      </c>
      <c r="S21" s="173" t="b">
        <v>0</v>
      </c>
      <c r="T21" s="213" t="str">
        <f t="shared" si="1"/>
        <v>UFC (a legna) - parte termica + elettrica</v>
      </c>
      <c r="U21" s="1228" t="s">
        <v>1233</v>
      </c>
      <c r="V21" s="1228" t="s">
        <v>1232</v>
      </c>
      <c r="W21" s="744"/>
      <c r="X21" s="745">
        <v>0.7</v>
      </c>
      <c r="Y21" s="840">
        <v>1</v>
      </c>
      <c r="Z21" s="77">
        <v>1</v>
      </c>
      <c r="AA21" s="77">
        <v>16</v>
      </c>
      <c r="AB21" s="77" t="b">
        <v>1</v>
      </c>
      <c r="AC21" s="77" t="b">
        <v>0</v>
      </c>
      <c r="AD21" s="77" t="b">
        <v>0</v>
      </c>
      <c r="AV21" s="1931" t="s">
        <v>1776</v>
      </c>
      <c r="AW21" s="1932"/>
      <c r="BB21" s="213">
        <v>18</v>
      </c>
      <c r="BC21" s="75" t="str">
        <f t="shared" si="2"/>
        <v>Sciaffusa</v>
      </c>
      <c r="BD21" s="608" t="b">
        <v>1</v>
      </c>
      <c r="BF21" s="1593">
        <f>Input!C10</f>
        <v>0</v>
      </c>
      <c r="BG21" s="1594">
        <f>Input!C15</f>
        <v>0</v>
      </c>
      <c r="BH21" s="1295" t="s">
        <v>167</v>
      </c>
      <c r="BL21" s="962" t="s">
        <v>1391</v>
      </c>
      <c r="BM21" s="964" t="s">
        <v>522</v>
      </c>
      <c r="BN21" s="968"/>
      <c r="BO21" s="973"/>
      <c r="BP21" s="1707">
        <f t="shared" si="6"/>
        <v>2900</v>
      </c>
      <c r="BQ21" s="1707">
        <f t="shared" si="7"/>
        <v>2900</v>
      </c>
      <c r="BR21" s="1707">
        <f t="shared" si="8"/>
        <v>5200</v>
      </c>
      <c r="BS21" s="1707">
        <f t="shared" si="9"/>
        <v>9000</v>
      </c>
      <c r="BT21" s="973"/>
      <c r="BU21" s="1707">
        <f t="shared" si="10"/>
        <v>3300</v>
      </c>
      <c r="BV21" s="1713">
        <f t="shared" si="11"/>
        <v>8000</v>
      </c>
      <c r="BW21" s="970">
        <v>0</v>
      </c>
    </row>
    <row r="22" spans="1:81">
      <c r="A22" s="78">
        <v>16</v>
      </c>
      <c r="B22" s="1623" t="str">
        <f t="shared" si="13"/>
        <v/>
      </c>
      <c r="C22" s="70" t="str">
        <f t="shared" si="13"/>
        <v/>
      </c>
      <c r="D22" s="70" t="str">
        <f t="shared" si="13"/>
        <v/>
      </c>
      <c r="E22" s="70" t="str">
        <f t="shared" si="13"/>
        <v/>
      </c>
      <c r="F22" s="70" t="str">
        <f t="shared" si="13"/>
        <v/>
      </c>
      <c r="G22" s="125" t="str">
        <f t="shared" si="13"/>
        <v/>
      </c>
      <c r="R22" s="164" t="s">
        <v>1716</v>
      </c>
      <c r="S22" s="290" t="b">
        <f>OR(Kategorie1=10,Kategorie2=10,Kategorie3=10,Kategorie4=10,Kategorie1=11,Kategorie2=11,Kategorie3=11,Kategorie4=11)</f>
        <v>0</v>
      </c>
      <c r="T22" s="213" t="str">
        <f t="shared" si="1"/>
        <v>Pompa di calore ad aria, solo riscaldamento</v>
      </c>
      <c r="U22" s="213" t="s">
        <v>1623</v>
      </c>
      <c r="V22" s="213" t="s">
        <v>558</v>
      </c>
      <c r="W22" s="928">
        <v>2.2999999999999998</v>
      </c>
      <c r="X22" s="745">
        <v>2</v>
      </c>
      <c r="Y22" s="840"/>
      <c r="Z22" s="77">
        <v>1</v>
      </c>
      <c r="AA22" s="77">
        <v>17</v>
      </c>
      <c r="AB22" s="77" t="b">
        <v>0</v>
      </c>
      <c r="AC22" s="77" t="b">
        <v>0</v>
      </c>
      <c r="AD22" s="77" t="b">
        <v>0</v>
      </c>
      <c r="AE22" s="994" t="s">
        <v>305</v>
      </c>
      <c r="AF22" s="996" t="s">
        <v>306</v>
      </c>
      <c r="AG22" s="96"/>
      <c r="AI22" s="60" t="s">
        <v>1775</v>
      </c>
      <c r="AJ22" s="95"/>
      <c r="AK22" s="95"/>
      <c r="AL22" s="96"/>
      <c r="AN22" s="1045"/>
      <c r="AO22" s="111"/>
      <c r="AP22" s="111"/>
      <c r="AQ22" s="111"/>
      <c r="AR22" s="1046" t="s">
        <v>850</v>
      </c>
      <c r="AS22" s="112" t="s">
        <v>1613</v>
      </c>
      <c r="AT22" s="111" t="s">
        <v>849</v>
      </c>
      <c r="AU22" s="111"/>
      <c r="AV22" s="1047">
        <v>1</v>
      </c>
      <c r="AW22" s="878" t="s">
        <v>1774</v>
      </c>
      <c r="BB22" s="213">
        <v>19</v>
      </c>
      <c r="BC22" s="75" t="str">
        <f t="shared" si="2"/>
        <v>Soletta</v>
      </c>
      <c r="BD22" s="608" t="b">
        <v>1</v>
      </c>
      <c r="BH22" s="1593">
        <f>Input!C80</f>
        <v>0</v>
      </c>
      <c r="BL22" s="965" t="s">
        <v>1392</v>
      </c>
      <c r="BM22" s="966" t="s">
        <v>523</v>
      </c>
      <c r="BN22" s="971"/>
      <c r="BO22" s="974"/>
      <c r="BP22" s="1714">
        <f t="shared" si="6"/>
        <v>2900</v>
      </c>
      <c r="BQ22" s="1714">
        <f t="shared" si="7"/>
        <v>2900</v>
      </c>
      <c r="BR22" s="1714">
        <f t="shared" si="8"/>
        <v>5200</v>
      </c>
      <c r="BS22" s="1714">
        <f t="shared" si="9"/>
        <v>9000</v>
      </c>
      <c r="BT22" s="974"/>
      <c r="BU22" s="1714">
        <f t="shared" si="10"/>
        <v>3300</v>
      </c>
      <c r="BV22" s="1709">
        <f t="shared" si="11"/>
        <v>8000</v>
      </c>
      <c r="BW22" s="972">
        <v>0</v>
      </c>
    </row>
    <row r="23" spans="1:81" ht="13.8" thickBot="1">
      <c r="A23" s="78">
        <v>17</v>
      </c>
      <c r="B23" s="1623" t="str">
        <f t="shared" si="13"/>
        <v/>
      </c>
      <c r="C23" s="70" t="str">
        <f t="shared" si="13"/>
        <v/>
      </c>
      <c r="D23" s="70" t="str">
        <f t="shared" si="13"/>
        <v/>
      </c>
      <c r="E23" s="70" t="str">
        <f t="shared" si="13"/>
        <v/>
      </c>
      <c r="F23" s="70" t="str">
        <f t="shared" si="13"/>
        <v/>
      </c>
      <c r="G23" s="125" t="str">
        <f t="shared" si="13"/>
        <v/>
      </c>
      <c r="I23" s="60" t="s">
        <v>1680</v>
      </c>
      <c r="J23" s="108"/>
      <c r="K23" s="597" t="s">
        <v>1681</v>
      </c>
      <c r="L23" s="60" t="s">
        <v>1682</v>
      </c>
      <c r="M23" s="598"/>
      <c r="N23" s="869">
        <f>IF(Kategorie1&gt;0,INDEX($O$9:$O$21,Kategorie1,1),)</f>
        <v>0</v>
      </c>
      <c r="O23" s="597" t="s">
        <v>1683</v>
      </c>
      <c r="P23" s="60" t="s">
        <v>1682</v>
      </c>
      <c r="Q23" s="107"/>
      <c r="R23" s="869">
        <f>IF(Kategorie2&gt;0,INDEX($O$9:$O$21,Kategorie2,1),)</f>
        <v>0</v>
      </c>
      <c r="T23" s="213" t="str">
        <f t="shared" si="1"/>
        <v>Pompa di calore ad aria, solo acqua calda</v>
      </c>
      <c r="U23" s="213" t="s">
        <v>1624</v>
      </c>
      <c r="V23" s="213" t="s">
        <v>559</v>
      </c>
      <c r="W23" s="928">
        <v>2.2999999999999998</v>
      </c>
      <c r="X23" s="745">
        <v>2</v>
      </c>
      <c r="Y23" s="840">
        <v>1</v>
      </c>
      <c r="Z23" s="77"/>
      <c r="AA23" s="77">
        <v>18</v>
      </c>
      <c r="AB23" s="77" t="b">
        <v>0</v>
      </c>
      <c r="AC23" s="77" t="b">
        <v>0</v>
      </c>
      <c r="AD23" s="77" t="b">
        <v>0</v>
      </c>
      <c r="AE23" s="121" t="str">
        <f>""</f>
        <v/>
      </c>
      <c r="AF23" s="1124" t="s">
        <v>875</v>
      </c>
      <c r="AG23" s="1588">
        <f>Input!C36</f>
        <v>0</v>
      </c>
      <c r="AI23" s="68" t="str">
        <f>Q40</f>
        <v xml:space="preserve"> </v>
      </c>
      <c r="AJ23" s="67"/>
      <c r="AK23" s="67"/>
      <c r="AL23" s="183"/>
      <c r="AN23" s="68" t="str">
        <f>""</f>
        <v/>
      </c>
      <c r="AO23" s="67"/>
      <c r="AP23" s="67"/>
      <c r="AQ23" s="906"/>
      <c r="AR23" s="906">
        <v>1</v>
      </c>
      <c r="AS23" s="176">
        <v>2</v>
      </c>
      <c r="AT23" s="74"/>
      <c r="AU23" s="85"/>
      <c r="AV23" s="77">
        <v>0.1</v>
      </c>
      <c r="AW23" s="77">
        <v>0.1</v>
      </c>
      <c r="BB23" s="213">
        <v>20</v>
      </c>
      <c r="BC23" s="75" t="str">
        <f t="shared" si="2"/>
        <v>Svitto</v>
      </c>
      <c r="BD23" s="608" t="b">
        <v>1</v>
      </c>
      <c r="BF23" s="1090" t="str">
        <f>IF(minergiea,"Nachzertifizierung","Orientamento finestra principale:")</f>
        <v>Nachzertifizierung</v>
      </c>
      <c r="BG23" s="1089"/>
      <c r="BH23" s="1090" t="s">
        <v>4</v>
      </c>
    </row>
    <row r="24" spans="1:81" ht="16.2" thickBot="1">
      <c r="A24" s="78">
        <v>18</v>
      </c>
      <c r="B24" s="1623" t="str">
        <f t="shared" si="13"/>
        <v/>
      </c>
      <c r="C24" s="70" t="str">
        <f t="shared" si="13"/>
        <v/>
      </c>
      <c r="D24" s="70" t="str">
        <f t="shared" si="13"/>
        <v/>
      </c>
      <c r="E24" s="70" t="str">
        <f t="shared" si="13"/>
        <v/>
      </c>
      <c r="F24" s="70" t="str">
        <f t="shared" si="13"/>
        <v/>
      </c>
      <c r="G24" s="125" t="str">
        <f t="shared" si="13"/>
        <v/>
      </c>
      <c r="I24" s="175">
        <v>1</v>
      </c>
      <c r="J24" s="906"/>
      <c r="K24" s="911" t="s">
        <v>1686</v>
      </c>
      <c r="L24" s="1586">
        <f>IF(N24=0,1,N24)</f>
        <v>1</v>
      </c>
      <c r="M24" s="912" t="str">
        <f>K4</f>
        <v/>
      </c>
      <c r="N24" s="1585">
        <f>Input!C31</f>
        <v>0</v>
      </c>
      <c r="O24" s="911" t="s">
        <v>1686</v>
      </c>
      <c r="P24" s="1586">
        <f>IF(R24=0,1,R24)</f>
        <v>1</v>
      </c>
      <c r="Q24" s="912" t="str">
        <f>M4</f>
        <v/>
      </c>
      <c r="R24" s="1587">
        <f>Input!C42</f>
        <v>0</v>
      </c>
      <c r="T24" s="213" t="str">
        <f t="shared" si="1"/>
        <v>Pompa di calore, sonda geotermica solo riscaldamento</v>
      </c>
      <c r="U24" s="213" t="s">
        <v>1476</v>
      </c>
      <c r="V24" s="213" t="s">
        <v>557</v>
      </c>
      <c r="W24" s="928">
        <v>3.1</v>
      </c>
      <c r="X24" s="745">
        <v>2</v>
      </c>
      <c r="Y24" s="840"/>
      <c r="Z24" s="77">
        <v>1</v>
      </c>
      <c r="AA24" s="77">
        <v>19</v>
      </c>
      <c r="AB24" s="77" t="b">
        <v>0</v>
      </c>
      <c r="AC24" s="77" t="b">
        <v>0</v>
      </c>
      <c r="AD24" s="77" t="b">
        <v>0</v>
      </c>
      <c r="AE24" s="1217" t="s">
        <v>1325</v>
      </c>
      <c r="AF24" s="1125" t="s">
        <v>876</v>
      </c>
      <c r="AG24" s="1589">
        <f>Input!C47</f>
        <v>0</v>
      </c>
      <c r="AI24" s="75" t="str">
        <f>Q41</f>
        <v>Si</v>
      </c>
      <c r="AJ24" s="74"/>
      <c r="AK24" s="74"/>
      <c r="AL24" s="85"/>
      <c r="AN24" s="75" t="str">
        <f>$AW$22&amp;"/"&amp;AT24</f>
        <v>&gt;1 /nessuno</v>
      </c>
      <c r="AO24" s="74"/>
      <c r="AP24" s="74"/>
      <c r="AQ24" s="117"/>
      <c r="AR24" s="117">
        <v>2</v>
      </c>
      <c r="AS24" s="76">
        <v>2</v>
      </c>
      <c r="AT24" s="74" t="s">
        <v>683</v>
      </c>
      <c r="AU24" s="85"/>
      <c r="AV24" s="77">
        <v>0.03</v>
      </c>
      <c r="AW24" s="77">
        <v>0.1</v>
      </c>
      <c r="BB24" s="213">
        <v>21</v>
      </c>
      <c r="BC24" s="75" t="str">
        <f t="shared" si="2"/>
        <v>Turgovia</v>
      </c>
      <c r="BD24" s="608" t="b">
        <v>1</v>
      </c>
      <c r="BF24" s="68" t="str">
        <f>IF(minergiea,"Neuzertifizierung","Est:")</f>
        <v>Neuzertifizierung</v>
      </c>
      <c r="BG24" s="1104" t="b">
        <v>0</v>
      </c>
      <c r="BH24" s="1699" t="b">
        <f>IF(OR(BG25,BG26),TRUE,FALSE)</f>
        <v>0</v>
      </c>
      <c r="BL24" s="901" t="s">
        <v>836</v>
      </c>
    </row>
    <row r="25" spans="1:81" ht="14.25" customHeight="1">
      <c r="A25" s="78">
        <v>19</v>
      </c>
      <c r="B25" s="1623" t="str">
        <f t="shared" si="13"/>
        <v/>
      </c>
      <c r="C25" s="70" t="str">
        <f t="shared" si="13"/>
        <v/>
      </c>
      <c r="D25" s="70" t="str">
        <f t="shared" si="13"/>
        <v/>
      </c>
      <c r="E25" s="70" t="str">
        <f t="shared" si="13"/>
        <v/>
      </c>
      <c r="F25" s="70" t="str">
        <f t="shared" si="13"/>
        <v/>
      </c>
      <c r="G25" s="125" t="str">
        <f t="shared" si="13"/>
        <v/>
      </c>
      <c r="I25" s="88">
        <v>2</v>
      </c>
      <c r="J25" s="117" t="s">
        <v>1684</v>
      </c>
      <c r="K25" s="902" t="s">
        <v>1687</v>
      </c>
      <c r="L25" s="910" t="str">
        <f>INDEX($O$35:$O$46,Lüftung1,1)</f>
        <v/>
      </c>
      <c r="M25" s="94"/>
      <c r="N25" s="94"/>
      <c r="O25" s="902" t="s">
        <v>1687</v>
      </c>
      <c r="P25" s="910" t="str">
        <f>INDEX($O$35:$O$46,Lüftung2,1)</f>
        <v/>
      </c>
      <c r="Q25" s="94"/>
      <c r="R25" s="903"/>
      <c r="T25" s="213" t="str">
        <f t="shared" si="1"/>
        <v>Pompa di calore, sonda geotermica solo acqua calda</v>
      </c>
      <c r="U25" s="213" t="s">
        <v>1477</v>
      </c>
      <c r="V25" s="213" t="s">
        <v>369</v>
      </c>
      <c r="W25" s="928">
        <v>2.7</v>
      </c>
      <c r="X25" s="745">
        <v>2</v>
      </c>
      <c r="Y25" s="840">
        <v>1</v>
      </c>
      <c r="Z25" s="77"/>
      <c r="AA25" s="77">
        <v>20</v>
      </c>
      <c r="AB25" s="77" t="b">
        <v>0</v>
      </c>
      <c r="AC25" s="77" t="b">
        <v>0</v>
      </c>
      <c r="AD25" s="77" t="b">
        <v>0</v>
      </c>
      <c r="AE25" s="1218" t="s">
        <v>673</v>
      </c>
      <c r="AF25" s="1125" t="s">
        <v>877</v>
      </c>
      <c r="AG25" s="1589">
        <f>Input!C58</f>
        <v>0</v>
      </c>
      <c r="AI25" s="75" t="str">
        <f>Q42</f>
        <v>No</v>
      </c>
      <c r="AJ25" s="74"/>
      <c r="AK25" s="74"/>
      <c r="AL25" s="85"/>
      <c r="AN25" s="75" t="str">
        <f>$AW$22&amp;"/"&amp;AT25</f>
        <v>&gt;1 /moderato</v>
      </c>
      <c r="AO25" s="74"/>
      <c r="AP25" s="74"/>
      <c r="AQ25" s="117"/>
      <c r="AR25" s="117">
        <v>3</v>
      </c>
      <c r="AS25" s="76">
        <v>2</v>
      </c>
      <c r="AT25" s="74" t="s">
        <v>684</v>
      </c>
      <c r="AU25" s="85"/>
      <c r="AV25" s="77">
        <v>0.02</v>
      </c>
      <c r="AW25" s="77">
        <v>7.0000000000000007E-2</v>
      </c>
      <c r="BB25" s="213">
        <v>22</v>
      </c>
      <c r="BC25" s="75" t="str">
        <f t="shared" si="2"/>
        <v>Ticino</v>
      </c>
      <c r="BD25" s="608" t="b">
        <v>1</v>
      </c>
      <c r="BF25" s="75" t="str">
        <f>IF(minergiea,"SIA 380:2009","Sud:")</f>
        <v>SIA 380:2009</v>
      </c>
      <c r="BG25" s="1105">
        <f>Input!C25</f>
        <v>0</v>
      </c>
      <c r="BH25" s="72" t="s">
        <v>452</v>
      </c>
      <c r="BM25" s="901"/>
    </row>
    <row r="26" spans="1:81">
      <c r="A26" s="78">
        <v>20</v>
      </c>
      <c r="B26" s="1623" t="str">
        <f t="shared" si="13"/>
        <v/>
      </c>
      <c r="C26" s="70" t="str">
        <f t="shared" si="13"/>
        <v/>
      </c>
      <c r="D26" s="70" t="str">
        <f t="shared" si="13"/>
        <v/>
      </c>
      <c r="E26" s="70" t="str">
        <f t="shared" si="13"/>
        <v/>
      </c>
      <c r="F26" s="70" t="str">
        <f t="shared" si="13"/>
        <v/>
      </c>
      <c r="G26" s="125" t="str">
        <f t="shared" si="13"/>
        <v/>
      </c>
      <c r="I26" s="173">
        <v>3</v>
      </c>
      <c r="J26" s="241" t="s">
        <v>1685</v>
      </c>
      <c r="K26" s="904" t="s">
        <v>621</v>
      </c>
      <c r="L26" s="905" t="b">
        <f>IF(_WW1=3,INDEX($R$9:$R$21,Kategorie1,1),FALSE)</f>
        <v>0</v>
      </c>
      <c r="M26" s="946" t="s">
        <v>622</v>
      </c>
      <c r="N26" s="913" t="b">
        <f>IF(Kategorie1&gt;0,INDEX($S$9:$S$21,Kategorie1,1),TRUE)</f>
        <v>1</v>
      </c>
      <c r="O26" s="904" t="s">
        <v>621</v>
      </c>
      <c r="P26" s="905" t="b">
        <f>IF(_WW2=3,INDEX($R$9:$R$21,Kategorie2,1),FALSE)</f>
        <v>0</v>
      </c>
      <c r="Q26" s="913" t="s">
        <v>622</v>
      </c>
      <c r="R26" s="945" t="b">
        <f>IF(Kategorie2&gt;0,INDEX($S$9:$S$21,Kategorie2,1),TRUE)</f>
        <v>1</v>
      </c>
      <c r="T26" s="213" t="str">
        <f t="shared" si="1"/>
        <v>Pompa di calore, acque di scarico, solo riscaldamento</v>
      </c>
      <c r="U26" s="213" t="s">
        <v>613</v>
      </c>
      <c r="V26" s="213" t="s">
        <v>370</v>
      </c>
      <c r="W26" s="746"/>
      <c r="X26" s="745">
        <v>2</v>
      </c>
      <c r="Y26" s="840"/>
      <c r="Z26" s="77">
        <v>1</v>
      </c>
      <c r="AA26" s="77">
        <v>21</v>
      </c>
      <c r="AB26" s="77" t="b">
        <v>0</v>
      </c>
      <c r="AC26" s="77" t="b">
        <v>0</v>
      </c>
      <c r="AD26" s="77" t="b">
        <v>0</v>
      </c>
      <c r="AE26" s="1217" t="s">
        <v>674</v>
      </c>
      <c r="AF26" s="1126" t="s">
        <v>878</v>
      </c>
      <c r="AG26" s="1590">
        <f>Input!C69</f>
        <v>0</v>
      </c>
      <c r="AI26" s="75"/>
      <c r="AJ26" s="74"/>
      <c r="AK26" s="74"/>
      <c r="AL26" s="85"/>
      <c r="AN26" s="75" t="str">
        <f>$AW$22&amp;"/"&amp;AT26</f>
        <v>&gt;1 /forte</v>
      </c>
      <c r="AO26" s="74"/>
      <c r="AP26" s="74"/>
      <c r="AQ26" s="117"/>
      <c r="AR26" s="117">
        <v>4</v>
      </c>
      <c r="AS26" s="76">
        <v>2</v>
      </c>
      <c r="AT26" s="92" t="s">
        <v>685</v>
      </c>
      <c r="AU26" s="184"/>
      <c r="AV26" s="81">
        <v>0.01</v>
      </c>
      <c r="AW26" s="81">
        <v>0.04</v>
      </c>
      <c r="AX26" s="1935" t="s">
        <v>1117</v>
      </c>
      <c r="AY26" s="1935"/>
      <c r="BB26" s="213">
        <v>23</v>
      </c>
      <c r="BC26" s="75" t="str">
        <f t="shared" si="2"/>
        <v>Uri</v>
      </c>
      <c r="BD26" s="608" t="b">
        <v>1</v>
      </c>
      <c r="BF26" s="127" t="str">
        <f>IF(minergiea,"ältere Vers.","Ovest:")</f>
        <v>ältere Vers.</v>
      </c>
      <c r="BG26" s="1106">
        <f>Input!C26</f>
        <v>0</v>
      </c>
      <c r="BH26" s="81" t="b">
        <f>IF(OR(AND(BG26=TRUE,BG25=TRUE),AND(BG24=TRUE,BG25=TRUE),AND(BG26=TRUE,BG24=TRUE)),TRUE,FALSE)</f>
        <v>0</v>
      </c>
      <c r="BJ26" s="59">
        <f>IF(minergiep,MIN(2,Domanda!J18),1)</f>
        <v>1</v>
      </c>
      <c r="BL26" s="1031" t="s">
        <v>838</v>
      </c>
      <c r="BM26" s="1031"/>
      <c r="BN26" s="1031"/>
    </row>
    <row r="27" spans="1:81" ht="15.6" customHeight="1">
      <c r="A27" s="78">
        <v>21</v>
      </c>
      <c r="B27" s="1623" t="str">
        <f t="shared" si="13"/>
        <v/>
      </c>
      <c r="C27" s="70" t="str">
        <f t="shared" si="13"/>
        <v/>
      </c>
      <c r="D27" s="70" t="str">
        <f t="shared" si="13"/>
        <v/>
      </c>
      <c r="E27" s="70" t="str">
        <f t="shared" si="13"/>
        <v/>
      </c>
      <c r="F27" s="70" t="str">
        <f t="shared" si="13"/>
        <v/>
      </c>
      <c r="G27" s="125" t="str">
        <f t="shared" si="13"/>
        <v/>
      </c>
      <c r="I27" s="171" t="s">
        <v>623</v>
      </c>
      <c r="J27" s="914">
        <v>2</v>
      </c>
      <c r="K27" s="597" t="s">
        <v>1378</v>
      </c>
      <c r="L27" s="60" t="s">
        <v>1682</v>
      </c>
      <c r="M27" s="595"/>
      <c r="N27" s="869">
        <f>IF(Kategorie3&gt;0,INDEX($O$9:$O$21,Kategorie3,1),)</f>
        <v>0</v>
      </c>
      <c r="O27" s="907" t="s">
        <v>1379</v>
      </c>
      <c r="P27" s="60" t="s">
        <v>1682</v>
      </c>
      <c r="Q27" s="908"/>
      <c r="R27" s="909">
        <f>IF(Kategorie4&gt;0,INDEX($O$9:$O$21,Kategorie4,1),)</f>
        <v>0</v>
      </c>
      <c r="T27" s="213" t="str">
        <f t="shared" si="1"/>
        <v>Pompa di calore, acque di scarico, solo acqua calda</v>
      </c>
      <c r="U27" s="213" t="s">
        <v>1244</v>
      </c>
      <c r="V27" s="213" t="s">
        <v>371</v>
      </c>
      <c r="W27" s="746"/>
      <c r="X27" s="745">
        <v>2</v>
      </c>
      <c r="Y27" s="840">
        <v>1</v>
      </c>
      <c r="Z27" s="77"/>
      <c r="AA27" s="77">
        <v>22</v>
      </c>
      <c r="AB27" s="77" t="b">
        <v>0</v>
      </c>
      <c r="AC27" s="77" t="b">
        <v>0</v>
      </c>
      <c r="AD27" s="77" t="b">
        <v>0</v>
      </c>
      <c r="AE27" s="1217" t="s">
        <v>39</v>
      </c>
      <c r="AI27" s="75"/>
      <c r="AJ27" s="74"/>
      <c r="AK27" s="74"/>
      <c r="AL27" s="85"/>
      <c r="AN27" s="75" t="str">
        <f>$AW$22&amp;"/ "&amp;AT24</f>
        <v>&gt;1 / nessuno</v>
      </c>
      <c r="AO27" s="74"/>
      <c r="AP27" s="74"/>
      <c r="AQ27" s="117"/>
      <c r="AR27" s="117">
        <v>2</v>
      </c>
      <c r="AS27" s="76">
        <v>2</v>
      </c>
      <c r="AT27" s="1035"/>
      <c r="AU27" s="1050" t="s">
        <v>624</v>
      </c>
      <c r="AV27" s="1042">
        <f>IF(Einwirkseiten1=0,,INDEX($AV$23:$AW$26,INDEX($AR$23:$AR$29,Einwirkseiten1,1),INDEX($AS$23:$AS$29,Einwirkseiten1,1)))</f>
        <v>0.1</v>
      </c>
      <c r="AW27" s="1036"/>
      <c r="AX27" s="1936">
        <f>Standardlüftung1</f>
        <v>2</v>
      </c>
      <c r="AY27" s="1936"/>
      <c r="BB27" s="213">
        <v>24</v>
      </c>
      <c r="BC27" s="75" t="str">
        <f t="shared" si="2"/>
        <v>Vaud</v>
      </c>
      <c r="BD27" s="608" t="b">
        <v>1</v>
      </c>
      <c r="BF27" s="1669">
        <v>2016</v>
      </c>
      <c r="BG27" s="1731" t="s">
        <v>1715</v>
      </c>
      <c r="BP27" s="86" t="s">
        <v>1018</v>
      </c>
      <c r="BQ27" s="109"/>
      <c r="BR27" s="109" t="s">
        <v>1022</v>
      </c>
      <c r="BS27" s="109" t="s">
        <v>1019</v>
      </c>
      <c r="BT27" s="109" t="s">
        <v>1020</v>
      </c>
      <c r="BU27" s="1043" t="s">
        <v>1021</v>
      </c>
      <c r="BW27" s="900" t="s">
        <v>1184</v>
      </c>
    </row>
    <row r="28" spans="1:81">
      <c r="A28" s="78">
        <v>22</v>
      </c>
      <c r="B28" s="1623" t="str">
        <f t="shared" si="13"/>
        <v/>
      </c>
      <c r="C28" s="70" t="str">
        <f t="shared" si="13"/>
        <v/>
      </c>
      <c r="D28" s="70" t="str">
        <f t="shared" si="13"/>
        <v/>
      </c>
      <c r="E28" s="70" t="str">
        <f t="shared" si="13"/>
        <v/>
      </c>
      <c r="F28" s="70" t="str">
        <f t="shared" si="13"/>
        <v/>
      </c>
      <c r="G28" s="125" t="str">
        <f t="shared" si="13"/>
        <v/>
      </c>
      <c r="I28" s="171" t="s">
        <v>1375</v>
      </c>
      <c r="J28" s="914">
        <v>1</v>
      </c>
      <c r="K28" s="911" t="s">
        <v>1686</v>
      </c>
      <c r="L28" s="1586">
        <f>IF(N28=0,1,N28)</f>
        <v>1</v>
      </c>
      <c r="M28" s="912" t="str">
        <f>O4</f>
        <v/>
      </c>
      <c r="N28" s="1585">
        <f>Input!C53</f>
        <v>0</v>
      </c>
      <c r="O28" s="911" t="s">
        <v>1686</v>
      </c>
      <c r="P28" s="1586">
        <f>IF(R28=0,1,R28)</f>
        <v>1</v>
      </c>
      <c r="Q28" s="912" t="str">
        <f>Q4</f>
        <v/>
      </c>
      <c r="R28" s="1587">
        <f>Input!C64</f>
        <v>0</v>
      </c>
      <c r="T28" s="213" t="str">
        <f t="shared" si="1"/>
        <v>Pompa di calore ad acqua, solo riscaldamento</v>
      </c>
      <c r="U28" s="213" t="s">
        <v>1245</v>
      </c>
      <c r="V28" s="213" t="s">
        <v>372</v>
      </c>
      <c r="W28" s="928">
        <v>2.7</v>
      </c>
      <c r="X28" s="745">
        <v>2</v>
      </c>
      <c r="Y28" s="840"/>
      <c r="Z28" s="77">
        <v>1</v>
      </c>
      <c r="AA28" s="77">
        <v>23</v>
      </c>
      <c r="AB28" s="77" t="b">
        <v>0</v>
      </c>
      <c r="AC28" s="77" t="b">
        <v>0</v>
      </c>
      <c r="AD28" s="77" t="b">
        <v>0</v>
      </c>
      <c r="AE28" s="1217" t="s">
        <v>675</v>
      </c>
      <c r="AI28" s="75"/>
      <c r="AJ28" s="74"/>
      <c r="AK28" s="74"/>
      <c r="AL28" s="85"/>
      <c r="AN28" s="75" t="str">
        <f>$AW$22&amp;"/ "&amp;AT25</f>
        <v>&gt;1 / moderato</v>
      </c>
      <c r="AO28" s="74"/>
      <c r="AP28" s="74"/>
      <c r="AQ28" s="117"/>
      <c r="AR28" s="117">
        <v>3</v>
      </c>
      <c r="AS28" s="76">
        <v>2</v>
      </c>
      <c r="AT28" s="1035"/>
      <c r="AU28" s="1050" t="s">
        <v>625</v>
      </c>
      <c r="AV28" s="1042">
        <f>IF(Einwirkseiten2=0,,INDEX($AV$23:$AW$26,INDEX($AR$23:$AR$29,Einwirkseiten2,1),INDEX($AS$23:$AS$29,Einwirkseiten2,1)))</f>
        <v>0.1</v>
      </c>
      <c r="AW28" s="1036"/>
      <c r="AX28" s="1936">
        <f>Standardlüftung2</f>
        <v>1</v>
      </c>
      <c r="AY28" s="1936"/>
      <c r="BB28" s="213">
        <v>25</v>
      </c>
      <c r="BC28" s="75" t="str">
        <f t="shared" si="2"/>
        <v>Vallese</v>
      </c>
      <c r="BD28" s="608" t="b">
        <v>1</v>
      </c>
      <c r="BF28" s="1377" t="s">
        <v>1724</v>
      </c>
      <c r="BG28" s="1377" t="s">
        <v>1819</v>
      </c>
      <c r="BH28" s="1377" t="s">
        <v>1820</v>
      </c>
      <c r="BI28" s="1933" t="s">
        <v>1806</v>
      </c>
      <c r="BJ28" s="1934"/>
      <c r="BK28" s="1669">
        <f>BN28</f>
        <v>3</v>
      </c>
      <c r="BL28" s="68" t="s">
        <v>837</v>
      </c>
      <c r="BM28" s="67" t="b">
        <f>IF(BN28=2,TRUE,FALSE)</f>
        <v>0</v>
      </c>
      <c r="BN28" s="1670">
        <f>Input!C1</f>
        <v>3</v>
      </c>
      <c r="BP28" s="75" t="s">
        <v>1681</v>
      </c>
      <c r="BQ28" s="74" t="b">
        <f>IF(Aerazione!M24=2,TRUE,FALSE)</f>
        <v>0</v>
      </c>
      <c r="BR28" s="75" t="str">
        <f>IF(minergiep,IF($BQ$28,$BQ35,""),"")</f>
        <v/>
      </c>
      <c r="BS28" s="75" t="str">
        <f>IF(minergiep,IF($BQ$29,$BQ35,""),"")</f>
        <v/>
      </c>
      <c r="BT28" s="75" t="str">
        <f>IF(minergiep,IF($BQ$30,$BQ35,""),"")</f>
        <v/>
      </c>
      <c r="BU28" s="213" t="str">
        <f>IF(minergiep,IF($BQ$31,$BQ35,""),"")</f>
        <v/>
      </c>
      <c r="BV28" s="59" t="s">
        <v>1396</v>
      </c>
      <c r="BW28" s="251" t="b">
        <f>OR(abgabe1=6,abgabe2=6,abgabe3=6,abgabe4=6)</f>
        <v>0</v>
      </c>
    </row>
    <row r="29" spans="1:81">
      <c r="A29" s="78">
        <v>23</v>
      </c>
      <c r="B29" s="1623" t="str">
        <f t="shared" si="13"/>
        <v/>
      </c>
      <c r="C29" s="70" t="str">
        <f t="shared" si="13"/>
        <v/>
      </c>
      <c r="D29" s="70" t="str">
        <f t="shared" si="13"/>
        <v/>
      </c>
      <c r="E29" s="70" t="str">
        <f t="shared" si="13"/>
        <v/>
      </c>
      <c r="F29" s="70" t="str">
        <f t="shared" si="13"/>
        <v/>
      </c>
      <c r="G29" s="125" t="str">
        <f t="shared" si="13"/>
        <v/>
      </c>
      <c r="I29" s="171" t="s">
        <v>1376</v>
      </c>
      <c r="J29" s="914">
        <v>1</v>
      </c>
      <c r="K29" s="902" t="s">
        <v>1687</v>
      </c>
      <c r="L29" s="910" t="str">
        <f>INDEX($O$35:$O$46,Lüftung3,1)</f>
        <v/>
      </c>
      <c r="M29" s="94"/>
      <c r="N29" s="94"/>
      <c r="O29" s="902" t="s">
        <v>1687</v>
      </c>
      <c r="P29" s="910" t="str">
        <f>INDEX($O$35:$O$46,Lüftung4,1)</f>
        <v/>
      </c>
      <c r="Q29" s="94"/>
      <c r="R29" s="903"/>
      <c r="T29" s="213" t="str">
        <f t="shared" si="1"/>
        <v>Pompa di calore ad acqua, solo acqua calda</v>
      </c>
      <c r="U29" s="213" t="s">
        <v>1246</v>
      </c>
      <c r="V29" s="213" t="s">
        <v>373</v>
      </c>
      <c r="W29" s="928">
        <v>2.8</v>
      </c>
      <c r="X29" s="745">
        <v>2</v>
      </c>
      <c r="Y29" s="840">
        <v>1</v>
      </c>
      <c r="Z29" s="841"/>
      <c r="AA29" s="77">
        <v>24</v>
      </c>
      <c r="AB29" s="77" t="b">
        <v>0</v>
      </c>
      <c r="AC29" s="77" t="b">
        <v>0</v>
      </c>
      <c r="AD29" s="77" t="b">
        <v>0</v>
      </c>
      <c r="AE29" s="1219" t="s">
        <v>676</v>
      </c>
      <c r="AI29" s="127"/>
      <c r="AJ29" s="92"/>
      <c r="AK29" s="92"/>
      <c r="AL29" s="184"/>
      <c r="AN29" s="127" t="str">
        <f>$AW$22&amp;"/ "&amp;AT26</f>
        <v>&gt;1 / forte</v>
      </c>
      <c r="AO29" s="92"/>
      <c r="AP29" s="92"/>
      <c r="AQ29" s="241"/>
      <c r="AR29" s="241">
        <v>4</v>
      </c>
      <c r="AS29" s="174">
        <v>2</v>
      </c>
      <c r="AT29" s="1035"/>
      <c r="AU29" s="1050" t="s">
        <v>626</v>
      </c>
      <c r="AV29" s="1042">
        <f>IF(Einwirkseiten3=0,,INDEX($AV$23:$AW$26,INDEX($AR$23:$AR$29,Einwirkseiten3,1),INDEX($AS$23:$AS$29,Einwirkseiten3,1)))</f>
        <v>0.1</v>
      </c>
      <c r="AW29" s="1036"/>
      <c r="AX29" s="1936">
        <f>Standardlüftung3</f>
        <v>1</v>
      </c>
      <c r="AY29" s="1936"/>
      <c r="BB29" s="213">
        <v>26</v>
      </c>
      <c r="BC29" s="75" t="str">
        <f t="shared" si="2"/>
        <v>Zugo</v>
      </c>
      <c r="BD29" s="608" t="b">
        <v>1</v>
      </c>
      <c r="BF29" s="1378" t="s">
        <v>1725</v>
      </c>
      <c r="BG29" s="1378" t="s">
        <v>1821</v>
      </c>
      <c r="BH29" s="1378" t="s">
        <v>1822</v>
      </c>
      <c r="BL29" s="1735" t="s">
        <v>1851</v>
      </c>
      <c r="BM29" s="67"/>
      <c r="BN29" s="183"/>
      <c r="BP29" s="75" t="s">
        <v>1683</v>
      </c>
      <c r="BQ29" s="74" t="b">
        <f>IF(Aerazione!M65=2,TRUE,FALSE)</f>
        <v>0</v>
      </c>
      <c r="BR29" s="75" t="str">
        <f>IF(minergiep,IF($BQ$28,$BQ36,""),"")</f>
        <v/>
      </c>
      <c r="BS29" s="75" t="str">
        <f>IF(minergiep,IF($BQ$29,$BQ36,""),"")</f>
        <v/>
      </c>
      <c r="BT29" s="75" t="str">
        <f>IF(minergiep,IF($BQ$30,$BQ36,""),"")</f>
        <v/>
      </c>
      <c r="BU29" s="213" t="str">
        <f>IF(minergiep,IF($BQ$31,$BQ36,""),"")</f>
        <v/>
      </c>
      <c r="BV29" s="59" t="s">
        <v>1396</v>
      </c>
    </row>
    <row r="30" spans="1:81">
      <c r="A30" s="78">
        <v>24</v>
      </c>
      <c r="B30" s="1623" t="str">
        <f t="shared" si="13"/>
        <v/>
      </c>
      <c r="C30" s="70" t="str">
        <f t="shared" si="13"/>
        <v/>
      </c>
      <c r="D30" s="70" t="str">
        <f t="shared" si="13"/>
        <v/>
      </c>
      <c r="E30" s="70" t="str">
        <f t="shared" si="13"/>
        <v/>
      </c>
      <c r="F30" s="70" t="str">
        <f t="shared" si="13"/>
        <v/>
      </c>
      <c r="G30" s="125" t="str">
        <f t="shared" si="13"/>
        <v/>
      </c>
      <c r="I30" s="172" t="s">
        <v>1377</v>
      </c>
      <c r="J30" s="915">
        <v>1</v>
      </c>
      <c r="K30" s="904" t="s">
        <v>621</v>
      </c>
      <c r="L30" s="905" t="b">
        <f>IF(_WW3=3,INDEX($R$9:$R$21,Kategorie3,1),FALSE)</f>
        <v>0</v>
      </c>
      <c r="M30" s="946" t="s">
        <v>622</v>
      </c>
      <c r="N30" s="913" t="b">
        <f>IF(Kategorie3&gt;0,INDEX($S$9:$S$21,Kategorie3,1),TRUE)</f>
        <v>1</v>
      </c>
      <c r="O30" s="904" t="s">
        <v>621</v>
      </c>
      <c r="P30" s="905" t="b">
        <f>IF(_WW4=3,INDEX($R$9:$R$21,Kategorie4,1),FALSE)</f>
        <v>0</v>
      </c>
      <c r="Q30" s="913" t="s">
        <v>622</v>
      </c>
      <c r="R30" s="945" t="b">
        <f>IF(Kategorie4&gt;0,INDEX($S$9:$S$21,Kategorie4,1),TRUE)</f>
        <v>1</v>
      </c>
      <c r="T30" s="213" t="str">
        <f t="shared" si="1"/>
        <v>Pompa di calore, acqua sotterranea, diretta, solo risc.</v>
      </c>
      <c r="U30" s="213" t="s">
        <v>215</v>
      </c>
      <c r="V30" s="1228" t="s">
        <v>341</v>
      </c>
      <c r="W30" s="928">
        <v>3.2</v>
      </c>
      <c r="X30" s="745">
        <v>2</v>
      </c>
      <c r="Y30" s="840"/>
      <c r="Z30" s="77">
        <v>1</v>
      </c>
      <c r="AA30" s="77">
        <v>25</v>
      </c>
      <c r="AB30" s="77" t="b">
        <v>0</v>
      </c>
      <c r="AC30" s="77" t="b">
        <v>0</v>
      </c>
      <c r="AD30" s="77" t="b">
        <v>0</v>
      </c>
      <c r="AT30" s="1035"/>
      <c r="AU30" s="1050" t="s">
        <v>627</v>
      </c>
      <c r="AV30" s="1042">
        <f>IF(Einwirkseiten4=0,,INDEX($AV$23:$AW$26,INDEX($AR$23:$AR$29,Einwirkseiten4,1),INDEX($AS$23:$AS$29,Einwirkseiten4,1)))</f>
        <v>0.1</v>
      </c>
      <c r="AW30" s="1036"/>
      <c r="AX30" s="1936">
        <f>Standardlüftung4</f>
        <v>1</v>
      </c>
      <c r="AY30" s="1936"/>
      <c r="BB30" s="213">
        <v>27</v>
      </c>
      <c r="BC30" s="75" t="str">
        <f t="shared" si="2"/>
        <v>Zurigo</v>
      </c>
      <c r="BD30" s="608" t="b">
        <v>1</v>
      </c>
      <c r="BF30" s="213"/>
      <c r="BG30" s="213"/>
      <c r="BH30" s="213"/>
      <c r="BL30" s="1220" t="s">
        <v>1852</v>
      </c>
      <c r="BM30" s="74"/>
      <c r="BN30" s="85"/>
      <c r="BP30" s="75" t="s">
        <v>1378</v>
      </c>
      <c r="BQ30" s="74" t="b">
        <f>IF(Aerazione!M106=2,TRUE,FALSE)</f>
        <v>0</v>
      </c>
      <c r="BR30" s="75" t="str">
        <f>IF(minergiep,IF($BQ$28,$BQ37,""),"")</f>
        <v/>
      </c>
      <c r="BS30" s="75" t="str">
        <f>IF(minergiep,IF($BQ$29,$BQ37,""),"")</f>
        <v/>
      </c>
      <c r="BT30" s="75" t="str">
        <f>IF(minergiep,IF($BQ$30,$BQ37,""),"")</f>
        <v/>
      </c>
      <c r="BU30" s="213" t="str">
        <f>IF(minergiep,IF($BQ$31,$BQ37,""),"")</f>
        <v/>
      </c>
      <c r="BV30" s="59" t="s">
        <v>1396</v>
      </c>
    </row>
    <row r="31" spans="1:81" ht="15.6">
      <c r="A31" s="78">
        <v>25</v>
      </c>
      <c r="B31" s="1623" t="str">
        <f t="shared" ref="B31:G46" si="14">IF(Kanton=29,B78,"")</f>
        <v/>
      </c>
      <c r="C31" s="70" t="str">
        <f t="shared" si="14"/>
        <v/>
      </c>
      <c r="D31" s="70" t="str">
        <f t="shared" si="14"/>
        <v/>
      </c>
      <c r="E31" s="70" t="str">
        <f t="shared" si="14"/>
        <v/>
      </c>
      <c r="F31" s="70" t="str">
        <f t="shared" si="14"/>
        <v/>
      </c>
      <c r="G31" s="125" t="str">
        <f t="shared" si="14"/>
        <v/>
      </c>
      <c r="T31" s="213" t="str">
        <f t="shared" si="1"/>
        <v>Pompa di calore, acqua sotterranea, diretta, solo AC</v>
      </c>
      <c r="U31" s="213" t="s">
        <v>216</v>
      </c>
      <c r="V31" s="1228" t="s">
        <v>342</v>
      </c>
      <c r="W31" s="928">
        <v>2.9</v>
      </c>
      <c r="X31" s="745">
        <v>2</v>
      </c>
      <c r="Y31" s="840">
        <v>1</v>
      </c>
      <c r="Z31" s="77"/>
      <c r="AA31" s="77">
        <v>26</v>
      </c>
      <c r="AB31" s="77" t="b">
        <v>0</v>
      </c>
      <c r="AC31" s="77" t="b">
        <v>0</v>
      </c>
      <c r="AD31" s="77" t="b">
        <v>0</v>
      </c>
      <c r="AE31" s="901" t="s">
        <v>307</v>
      </c>
      <c r="BB31" s="213">
        <v>28</v>
      </c>
      <c r="BC31" s="75" t="str">
        <f>A124</f>
        <v>Principato del Liechtenstein</v>
      </c>
      <c r="BD31" s="608" t="b">
        <v>1</v>
      </c>
      <c r="BF31" s="213" t="s">
        <v>1685</v>
      </c>
      <c r="BG31" s="1228" t="s">
        <v>1685</v>
      </c>
      <c r="BH31" s="1228" t="s">
        <v>1685</v>
      </c>
      <c r="BL31" s="1220" t="s">
        <v>1853</v>
      </c>
      <c r="BM31" s="74"/>
      <c r="BN31" s="85"/>
      <c r="BP31" s="127" t="s">
        <v>1379</v>
      </c>
      <c r="BQ31" s="92" t="b">
        <f>IF(Aerazione!M147=2,TRUE,FALSE)</f>
        <v>0</v>
      </c>
      <c r="BR31" s="127" t="str">
        <f>IF(minergiep,IF($BQ$28,$BQ38,""),"")</f>
        <v/>
      </c>
      <c r="BS31" s="127" t="str">
        <f>IF(minergiep,IF($BQ$29,$BQ38,""),"")</f>
        <v/>
      </c>
      <c r="BT31" s="127" t="str">
        <f>IF(minergiep,IF($BQ$30,$BQ38,""),"")</f>
        <v/>
      </c>
      <c r="BU31" s="251" t="str">
        <f>IF(minergiep,IF($BQ$31,$BQ38,""),"")</f>
        <v/>
      </c>
      <c r="BV31" s="59" t="s">
        <v>1396</v>
      </c>
    </row>
    <row r="32" spans="1:81" ht="15.6">
      <c r="A32" s="78">
        <v>26</v>
      </c>
      <c r="B32" s="1623" t="str">
        <f t="shared" si="14"/>
        <v/>
      </c>
      <c r="C32" s="70" t="str">
        <f t="shared" si="14"/>
        <v/>
      </c>
      <c r="D32" s="70" t="str">
        <f t="shared" si="14"/>
        <v/>
      </c>
      <c r="E32" s="70" t="str">
        <f t="shared" si="14"/>
        <v/>
      </c>
      <c r="F32" s="70" t="str">
        <f t="shared" si="14"/>
        <v/>
      </c>
      <c r="G32" s="125" t="str">
        <f t="shared" si="14"/>
        <v/>
      </c>
      <c r="I32" s="901" t="s">
        <v>1380</v>
      </c>
      <c r="L32" s="901" t="s">
        <v>1687</v>
      </c>
      <c r="T32" s="213" t="str">
        <f t="shared" si="1"/>
        <v>Pompa di calore, acqua sotterranea, indiretta, solo risc.</v>
      </c>
      <c r="U32" s="1123" t="s">
        <v>217</v>
      </c>
      <c r="V32" s="1229" t="s">
        <v>343</v>
      </c>
      <c r="W32" s="933">
        <v>2.7</v>
      </c>
      <c r="X32" s="930">
        <v>2</v>
      </c>
      <c r="Y32" s="933"/>
      <c r="Z32" s="933">
        <v>1</v>
      </c>
      <c r="AA32" s="77">
        <v>27</v>
      </c>
      <c r="AB32" s="77" t="b">
        <v>0</v>
      </c>
      <c r="AC32" s="77" t="b">
        <v>0</v>
      </c>
      <c r="AD32" s="77" t="b">
        <v>0</v>
      </c>
      <c r="BB32" s="251">
        <v>29</v>
      </c>
      <c r="BC32" s="127" t="str">
        <f>A125</f>
        <v>Speciale</v>
      </c>
      <c r="BD32" s="607" t="b">
        <v>1</v>
      </c>
      <c r="BF32" s="251" t="s">
        <v>1684</v>
      </c>
      <c r="BG32" s="1734" t="s">
        <v>1684</v>
      </c>
      <c r="BH32" s="1734" t="s">
        <v>1684</v>
      </c>
      <c r="BL32" s="1035" t="str">
        <f>IF(BN28&gt;0,INDEX(BL29:BL31,BN28,1),BL29)</f>
        <v>Formulario di verifica per la domanda MINERGIE - A</v>
      </c>
      <c r="BM32" s="982"/>
      <c r="BN32" s="1036"/>
      <c r="BZ32" s="86" t="s">
        <v>1366</v>
      </c>
      <c r="CA32" s="882"/>
      <c r="CB32" s="882"/>
      <c r="CC32" s="87"/>
    </row>
    <row r="33" spans="1:85">
      <c r="A33" s="78">
        <v>27</v>
      </c>
      <c r="B33" s="1623" t="str">
        <f t="shared" si="14"/>
        <v/>
      </c>
      <c r="C33" s="70" t="str">
        <f t="shared" si="14"/>
        <v/>
      </c>
      <c r="D33" s="70" t="str">
        <f t="shared" si="14"/>
        <v/>
      </c>
      <c r="E33" s="70" t="str">
        <f t="shared" si="14"/>
        <v/>
      </c>
      <c r="F33" s="70" t="str">
        <f t="shared" si="14"/>
        <v/>
      </c>
      <c r="G33" s="125" t="str">
        <f t="shared" si="14"/>
        <v/>
      </c>
      <c r="R33" s="59"/>
      <c r="S33" s="59"/>
      <c r="T33" s="213" t="str">
        <f t="shared" si="1"/>
        <v>Pompa di calore, acqua sotterranea, indiretta, solo AC</v>
      </c>
      <c r="U33" s="1123" t="s">
        <v>218</v>
      </c>
      <c r="V33" s="1229" t="s">
        <v>344</v>
      </c>
      <c r="W33" s="933">
        <v>2.7</v>
      </c>
      <c r="X33" s="930">
        <v>2</v>
      </c>
      <c r="Y33" s="933">
        <v>1</v>
      </c>
      <c r="Z33" s="933"/>
      <c r="AA33" s="77">
        <v>28</v>
      </c>
      <c r="AB33" s="77" t="b">
        <v>0</v>
      </c>
      <c r="AC33" s="77" t="b">
        <v>0</v>
      </c>
      <c r="AD33" s="77" t="b">
        <v>0</v>
      </c>
      <c r="AE33" s="60"/>
      <c r="AF33" s="998" t="s">
        <v>308</v>
      </c>
      <c r="AG33" s="1929" t="s">
        <v>1681</v>
      </c>
      <c r="AH33" s="1930"/>
      <c r="AI33" s="1929" t="s">
        <v>1683</v>
      </c>
      <c r="AJ33" s="1930"/>
      <c r="AK33" s="1929" t="s">
        <v>1378</v>
      </c>
      <c r="AL33" s="1930"/>
      <c r="AM33" s="1929" t="s">
        <v>1379</v>
      </c>
      <c r="AN33" s="1930"/>
      <c r="BB33" s="1643">
        <v>1</v>
      </c>
      <c r="BC33" s="982">
        <f>IF(Kanton&gt;0,INDEX(BC4:BC32,Kanton,1),"")</f>
        <v>0</v>
      </c>
      <c r="BD33" s="986">
        <f>IF(Kanton&gt;0,INDEX(BD4:BD32,Kanton,1),TRUE)</f>
        <v>0</v>
      </c>
      <c r="BF33" s="985">
        <v>1</v>
      </c>
      <c r="BG33" s="1643">
        <f>Input!C81</f>
        <v>0</v>
      </c>
      <c r="BH33" s="1643">
        <f>Input!C82</f>
        <v>0</v>
      </c>
      <c r="BL33" s="229" t="s">
        <v>837</v>
      </c>
      <c r="BM33" s="228" t="b">
        <f>IF(BN28=3,TRUE,FALSE)</f>
        <v>1</v>
      </c>
      <c r="BN33" s="1041"/>
      <c r="BZ33" s="900" t="s">
        <v>791</v>
      </c>
      <c r="CA33" s="900" t="s">
        <v>792</v>
      </c>
      <c r="CB33" s="900" t="s">
        <v>793</v>
      </c>
      <c r="CC33" s="1562" t="s">
        <v>794</v>
      </c>
      <c r="CD33" s="900" t="s">
        <v>791</v>
      </c>
      <c r="CE33" s="1562" t="s">
        <v>792</v>
      </c>
      <c r="CF33" s="900" t="s">
        <v>793</v>
      </c>
      <c r="CG33" s="1562" t="s">
        <v>794</v>
      </c>
    </row>
    <row r="34" spans="1:85" ht="15.6">
      <c r="A34" s="78">
        <v>28</v>
      </c>
      <c r="B34" s="1623" t="str">
        <f t="shared" si="14"/>
        <v/>
      </c>
      <c r="C34" s="70" t="str">
        <f t="shared" si="14"/>
        <v/>
      </c>
      <c r="D34" s="70" t="str">
        <f t="shared" si="14"/>
        <v/>
      </c>
      <c r="E34" s="70" t="str">
        <f t="shared" si="14"/>
        <v/>
      </c>
      <c r="F34" s="70" t="str">
        <f t="shared" si="14"/>
        <v/>
      </c>
      <c r="G34" s="125" t="str">
        <f t="shared" si="14"/>
        <v/>
      </c>
      <c r="I34" s="1597" t="s">
        <v>720</v>
      </c>
      <c r="J34" s="1598"/>
      <c r="L34" s="61" t="s">
        <v>1288</v>
      </c>
      <c r="M34" s="62"/>
      <c r="N34" s="62"/>
      <c r="O34" s="63"/>
      <c r="P34" s="61" t="s">
        <v>1690</v>
      </c>
      <c r="Q34" s="64"/>
      <c r="R34" s="900"/>
      <c r="S34" s="1540" t="s">
        <v>1763</v>
      </c>
      <c r="T34" s="213" t="str">
        <f t="shared" si="1"/>
        <v>Pompa di calore per scambiatore geotermico, solo risc.</v>
      </c>
      <c r="U34" s="932" t="s">
        <v>219</v>
      </c>
      <c r="V34" s="1229" t="s">
        <v>345</v>
      </c>
      <c r="W34" s="933">
        <v>2.9</v>
      </c>
      <c r="X34" s="930">
        <v>2</v>
      </c>
      <c r="Y34" s="933"/>
      <c r="Z34" s="933">
        <v>1</v>
      </c>
      <c r="AA34" s="77">
        <v>29</v>
      </c>
      <c r="AB34" s="77" t="b">
        <v>0</v>
      </c>
      <c r="AC34" s="77" t="b">
        <v>0</v>
      </c>
      <c r="AD34" s="77" t="b">
        <v>0</v>
      </c>
      <c r="AE34" s="980"/>
      <c r="AF34" s="999"/>
      <c r="AG34" s="980"/>
      <c r="AH34" s="1000"/>
      <c r="AI34" s="980"/>
      <c r="AJ34" s="1000"/>
      <c r="AK34" s="980"/>
      <c r="AL34" s="1000"/>
      <c r="AM34" s="980"/>
      <c r="AN34" s="1000"/>
      <c r="BB34" s="1097"/>
      <c r="BC34" s="60" t="s">
        <v>1780</v>
      </c>
      <c r="BD34" s="1098" t="s">
        <v>1458</v>
      </c>
      <c r="BE34" s="163" t="s">
        <v>398</v>
      </c>
      <c r="BF34" s="163"/>
      <c r="BL34" s="86" t="s">
        <v>279</v>
      </c>
      <c r="BM34" s="109"/>
      <c r="BN34" s="109"/>
      <c r="BO34" s="949"/>
      <c r="BQ34" s="86" t="s">
        <v>290</v>
      </c>
      <c r="BR34" s="109"/>
      <c r="BS34" s="95"/>
      <c r="BT34" s="107"/>
      <c r="BU34" s="949"/>
      <c r="BW34" s="60" t="s">
        <v>247</v>
      </c>
      <c r="BX34" s="595"/>
      <c r="BY34" s="949"/>
      <c r="BZ34" s="900">
        <f>Aerazione!M24</f>
        <v>1</v>
      </c>
      <c r="CA34" s="900">
        <f>Aerazione!M65</f>
        <v>1</v>
      </c>
      <c r="CB34" s="900">
        <f>Aerazione!M106</f>
        <v>1</v>
      </c>
      <c r="CC34" s="900">
        <f>Aerazione!M147</f>
        <v>1</v>
      </c>
      <c r="CD34" s="121"/>
      <c r="CE34" s="121"/>
      <c r="CF34" s="121"/>
      <c r="CG34" s="121"/>
    </row>
    <row r="35" spans="1:85">
      <c r="A35" s="78">
        <v>29</v>
      </c>
      <c r="B35" s="1623" t="str">
        <f t="shared" si="14"/>
        <v/>
      </c>
      <c r="C35" s="70" t="str">
        <f t="shared" si="14"/>
        <v/>
      </c>
      <c r="D35" s="70" t="str">
        <f t="shared" si="14"/>
        <v/>
      </c>
      <c r="E35" s="70" t="str">
        <f t="shared" si="14"/>
        <v/>
      </c>
      <c r="F35" s="70" t="str">
        <f t="shared" si="14"/>
        <v/>
      </c>
      <c r="G35" s="125" t="str">
        <f t="shared" si="14"/>
        <v/>
      </c>
      <c r="I35" s="1599" t="s">
        <v>623</v>
      </c>
      <c r="J35" s="1600">
        <f>IF(AND(Klima&gt;1,Kategorie1&gt;0),INDEX($J$9:$J$21,Kategorie1,1),)</f>
        <v>0</v>
      </c>
      <c r="K35" s="59">
        <v>1</v>
      </c>
      <c r="L35" s="66" t="s">
        <v>509</v>
      </c>
      <c r="M35" s="67"/>
      <c r="N35" s="183"/>
      <c r="O35" s="67" t="str">
        <f>""</f>
        <v/>
      </c>
      <c r="P35" s="68" t="s">
        <v>804</v>
      </c>
      <c r="Q35" s="141">
        <v>1</v>
      </c>
      <c r="S35" s="175" t="str">
        <f>IF(minergiep,IF(OR(WRGtyp1=2,WRGtyp1=3,_EBF1=0),,1),"")</f>
        <v/>
      </c>
      <c r="T35" s="213" t="str">
        <f t="shared" si="1"/>
        <v>Pompa di calore per scambiatore geotermico, solo AC</v>
      </c>
      <c r="U35" s="932" t="s">
        <v>220</v>
      </c>
      <c r="V35" s="1229" t="s">
        <v>346</v>
      </c>
      <c r="W35" s="933">
        <v>2.7</v>
      </c>
      <c r="X35" s="930">
        <v>2</v>
      </c>
      <c r="Y35" s="933">
        <v>1</v>
      </c>
      <c r="Z35" s="933"/>
      <c r="AA35" s="77">
        <v>30</v>
      </c>
      <c r="AB35" s="77" t="b">
        <v>0</v>
      </c>
      <c r="AC35" s="77" t="b">
        <v>0</v>
      </c>
      <c r="AD35" s="77" t="b">
        <v>0</v>
      </c>
      <c r="AE35" s="75"/>
      <c r="AF35" s="995" t="s">
        <v>309</v>
      </c>
      <c r="AG35" s="1910" t="b">
        <f>Kategorie1&lt;=5</f>
        <v>1</v>
      </c>
      <c r="AH35" s="1911"/>
      <c r="AI35" s="1910" t="b">
        <f>Kategorie2&lt;=5</f>
        <v>1</v>
      </c>
      <c r="AJ35" s="1911"/>
      <c r="AK35" s="1910" t="b">
        <f>Kategorie3&lt;=5</f>
        <v>1</v>
      </c>
      <c r="AL35" s="1911"/>
      <c r="AM35" s="1910" t="b">
        <f>Kategorie4&lt;=5</f>
        <v>1</v>
      </c>
      <c r="AN35" s="1911"/>
      <c r="AU35" s="243"/>
      <c r="BB35" s="68">
        <v>0</v>
      </c>
      <c r="BC35" s="121" t="s">
        <v>1396</v>
      </c>
      <c r="BD35" s="68" t="s">
        <v>1396</v>
      </c>
      <c r="BE35" s="68" t="s">
        <v>1396</v>
      </c>
      <c r="BF35" s="183"/>
      <c r="BL35" s="1047" t="s">
        <v>107</v>
      </c>
      <c r="BM35" s="77" t="s">
        <v>1681</v>
      </c>
      <c r="BN35" s="1082">
        <f>Aerazione!L16</f>
        <v>2</v>
      </c>
      <c r="BO35" s="121" t="b">
        <f>IF(BN35=2,TRUE,FALSE)</f>
        <v>1</v>
      </c>
      <c r="BQ35" s="75" t="s">
        <v>1396</v>
      </c>
      <c r="BR35" s="1071"/>
      <c r="BS35" s="1073" t="s">
        <v>802</v>
      </c>
      <c r="BT35" s="1085">
        <v>1</v>
      </c>
      <c r="BU35" s="1074">
        <f>IF(BQ28,INDEX($BR$35:$BR$38,BT35,1),0)</f>
        <v>0</v>
      </c>
      <c r="BW35" s="68" t="s">
        <v>696</v>
      </c>
      <c r="BX35" s="67"/>
      <c r="BY35" s="183"/>
      <c r="BZ35" s="745">
        <v>1</v>
      </c>
      <c r="CA35" s="745">
        <v>1</v>
      </c>
      <c r="CB35" s="745">
        <v>1</v>
      </c>
      <c r="CC35" s="1563">
        <v>1</v>
      </c>
      <c r="CD35" s="213" t="str">
        <f>IF(OR(Lüftung1=4,Lüftung1=5,Lüftung1=6,Lüftung1=7),$BW$35,$BW35)</f>
        <v>Nessuno scambiatore geotermico</v>
      </c>
      <c r="CE35" s="213" t="str">
        <f>IF(OR(Lüftung2=4,Lüftung2=5,Lüftung2=6,Lüftung2=7),$BW$35,$BW35)</f>
        <v>Nessuno scambiatore geotermico</v>
      </c>
      <c r="CF35" s="213" t="str">
        <f>IF(OR(Lüftung3=4,Lüftung3=5,Lüftung3=6,Lüftung3=7),$BW$35,$BW35)</f>
        <v>Nessuno scambiatore geotermico</v>
      </c>
      <c r="CG35" s="213" t="str">
        <f>IF(OR(Lüftung4=4,Lüftung4=5,Lüftung4=6,Lüftung4=7),$BW$35,$BW35)</f>
        <v>Nessuno scambiatore geotermico</v>
      </c>
    </row>
    <row r="36" spans="1:85">
      <c r="A36" s="78">
        <v>30</v>
      </c>
      <c r="B36" s="1623" t="str">
        <f t="shared" si="14"/>
        <v/>
      </c>
      <c r="C36" s="70" t="str">
        <f t="shared" si="14"/>
        <v/>
      </c>
      <c r="D36" s="70" t="str">
        <f t="shared" si="14"/>
        <v/>
      </c>
      <c r="E36" s="70" t="str">
        <f t="shared" si="14"/>
        <v/>
      </c>
      <c r="F36" s="70" t="str">
        <f t="shared" si="14"/>
        <v/>
      </c>
      <c r="G36" s="125" t="str">
        <f t="shared" si="14"/>
        <v/>
      </c>
      <c r="I36" s="1599" t="s">
        <v>1375</v>
      </c>
      <c r="J36" s="1600">
        <f>IF(AND(Klima&gt;1,Kategorie2&gt;0),INDEX($J$9:$J$21,Kategorie2,1),)</f>
        <v>0</v>
      </c>
      <c r="K36" s="59">
        <v>2</v>
      </c>
      <c r="L36" s="1220" t="s">
        <v>1100</v>
      </c>
      <c r="M36" s="1221"/>
      <c r="N36" s="1222"/>
      <c r="O36" s="1221" t="s">
        <v>418</v>
      </c>
      <c r="P36" s="75" t="s">
        <v>805</v>
      </c>
      <c r="Q36" s="142">
        <v>1</v>
      </c>
      <c r="S36" s="88" t="str">
        <f>IF(minergiep,IF(OR(WRGtyp2=2,WRGtyp2=3,_EBF2=0),,1),"")</f>
        <v/>
      </c>
      <c r="T36" s="213" t="str">
        <f t="shared" si="1"/>
        <v>Aerazione con PdC aspirazione / immissione più  RC</v>
      </c>
      <c r="U36" s="213" t="s">
        <v>221</v>
      </c>
      <c r="V36" s="1228" t="s">
        <v>596</v>
      </c>
      <c r="W36" s="1025">
        <v>100</v>
      </c>
      <c r="X36" s="1026">
        <v>0</v>
      </c>
      <c r="Y36" s="840"/>
      <c r="Z36" s="77">
        <v>1</v>
      </c>
      <c r="AA36" s="77">
        <v>37</v>
      </c>
      <c r="AB36" s="77" t="b">
        <v>0</v>
      </c>
      <c r="AC36" s="77" t="b">
        <v>1</v>
      </c>
      <c r="AD36" s="77" t="b">
        <v>0</v>
      </c>
      <c r="AE36" s="75"/>
      <c r="AF36" s="995" t="s">
        <v>310</v>
      </c>
      <c r="AG36" s="1910" t="b">
        <f>Kategorie1&gt;1</f>
        <v>0</v>
      </c>
      <c r="AH36" s="1911"/>
      <c r="AI36" s="1910" t="b">
        <f>Kategorie2&gt;1</f>
        <v>0</v>
      </c>
      <c r="AJ36" s="1911"/>
      <c r="AK36" s="1910" t="b">
        <f>Kategorie3&gt;1</f>
        <v>0</v>
      </c>
      <c r="AL36" s="1911"/>
      <c r="AM36" s="1910" t="b">
        <f>Kategorie4&gt;1</f>
        <v>0</v>
      </c>
      <c r="AN36" s="1911"/>
      <c r="AU36" s="148"/>
      <c r="BB36" s="75">
        <v>1</v>
      </c>
      <c r="BC36" s="213" t="s">
        <v>1396</v>
      </c>
      <c r="BD36" s="75" t="s">
        <v>1396</v>
      </c>
      <c r="BE36" s="75" t="s">
        <v>1396</v>
      </c>
      <c r="BF36" s="85"/>
      <c r="BL36" s="77" t="s">
        <v>1684</v>
      </c>
      <c r="BM36" s="77" t="s">
        <v>1683</v>
      </c>
      <c r="BN36" s="1082">
        <f>Aerazione!L57</f>
        <v>2</v>
      </c>
      <c r="BO36" s="213" t="b">
        <f>IF(BN36=2,TRUE,FALSE)</f>
        <v>1</v>
      </c>
      <c r="BQ36" s="75" t="s">
        <v>1181</v>
      </c>
      <c r="BR36" s="1071">
        <v>0.2</v>
      </c>
      <c r="BS36" s="89" t="s">
        <v>273</v>
      </c>
      <c r="BT36" s="1082">
        <v>1</v>
      </c>
      <c r="BU36" s="1075">
        <f>IF(BQ29,INDEX($BR$35:$BR$38,BT36,1),0)</f>
        <v>0</v>
      </c>
      <c r="BW36" s="75" t="s">
        <v>1743</v>
      </c>
      <c r="BX36" s="74"/>
      <c r="BY36" s="85"/>
      <c r="BZ36" s="745">
        <f ca="1">IF(Aerazione!J12&gt;0,MAX(MIN(1-MIN(Aerazione!E24/IF(Aerazione!J13&gt;0,Aerazione!J13,Aerazione!J12),IF(minergiep,0.25,0.2)),1),0),1)</f>
        <v>1</v>
      </c>
      <c r="CA36" s="745">
        <f ca="1">IF(Aerazione!J53&gt;0,MAX(MIN(1-MIN(Aerazione!E65/IF(Aerazione!J54&gt;0,Aerazione!J54,Aerazione!J53),IF(minergiep,0.25,0.2)),1),0),1)</f>
        <v>1</v>
      </c>
      <c r="CB36" s="745">
        <f ca="1">IF(Aerazione!J94&gt;0,MAX(MIN(1-MIN(Aerazione!E106/IF(Aerazione!J95&gt;0,Aerazione!J95,Aerazione!J94),IF(minergiep,0.25,0.2)),1),0),1)</f>
        <v>1</v>
      </c>
      <c r="CC36" s="1563">
        <f ca="1">IF(Aerazione!J135&gt;0,MAX(MIN(1-MIN(Aerazione!E147/IF(Aerazione!J136&gt;0,Aerazione!J136,Aerazione!J135),IF(minergiep,0.25,0.2)),1),0),1)</f>
        <v>1</v>
      </c>
      <c r="CD36" s="213" t="str">
        <f>IF(OR(Lüftung1=4,Lüftung1=5,Lüftung1=6,Lüftung1=7),$BW$35,$BW36)</f>
        <v>Terreno-aria (regola del pollice)</v>
      </c>
      <c r="CE36" s="213" t="str">
        <f>IF(OR(Lüftung2=4,Lüftung2=5,Lüftung2=6,Lüftung2=7),$BW$35,$BW36)</f>
        <v>Terreno-aria (regola del pollice)</v>
      </c>
      <c r="CF36" s="213" t="str">
        <f>IF(OR(Lüftung3=4,Lüftung3=5,Lüftung3=6,Lüftung3=7),$BW$35,$BW36)</f>
        <v>Terreno-aria (regola del pollice)</v>
      </c>
      <c r="CG36" s="213" t="str">
        <f>IF(OR(Lüftung4=4,Lüftung4=5,Lüftung4=6,Lüftung4=7),$BW$35,$BW36)</f>
        <v>Terreno-aria (regola del pollice)</v>
      </c>
    </row>
    <row r="37" spans="1:85">
      <c r="A37" s="78">
        <v>31</v>
      </c>
      <c r="B37" s="1623" t="str">
        <f t="shared" si="14"/>
        <v/>
      </c>
      <c r="C37" s="70" t="str">
        <f t="shared" si="14"/>
        <v/>
      </c>
      <c r="D37" s="70" t="str">
        <f t="shared" si="14"/>
        <v/>
      </c>
      <c r="E37" s="70" t="str">
        <f t="shared" si="14"/>
        <v/>
      </c>
      <c r="F37" s="70" t="str">
        <f t="shared" si="14"/>
        <v/>
      </c>
      <c r="G37" s="125" t="str">
        <f t="shared" si="14"/>
        <v/>
      </c>
      <c r="I37" s="1599" t="s">
        <v>1376</v>
      </c>
      <c r="J37" s="1600">
        <f>IF(AND(Klima&gt;1,Kategorie3&gt;0),INDEX($J$9:$J$21,Kategorie3,1),)</f>
        <v>0</v>
      </c>
      <c r="K37" s="59">
        <v>3</v>
      </c>
      <c r="L37" s="1220" t="s">
        <v>515</v>
      </c>
      <c r="M37" s="1221"/>
      <c r="N37" s="1222"/>
      <c r="O37" s="1221" t="s">
        <v>1751</v>
      </c>
      <c r="P37" s="75" t="s">
        <v>1688</v>
      </c>
      <c r="Q37" s="142">
        <v>1</v>
      </c>
      <c r="S37" s="88" t="str">
        <f>IF(minergiep,IF(OR(WRGtyp3=2,WRGtyp3=3,_EBF3=0),,1),"")</f>
        <v/>
      </c>
      <c r="T37" s="213" t="str">
        <f t="shared" si="1"/>
        <v>Aerazione con PdC aspirazione / immissione senza RC</v>
      </c>
      <c r="U37" s="213" t="s">
        <v>222</v>
      </c>
      <c r="V37" s="1228" t="s">
        <v>530</v>
      </c>
      <c r="W37" s="1025">
        <v>100</v>
      </c>
      <c r="X37" s="1026">
        <v>0</v>
      </c>
      <c r="Y37" s="840">
        <v>1</v>
      </c>
      <c r="Z37" s="77"/>
      <c r="AA37" s="77">
        <v>38</v>
      </c>
      <c r="AB37" s="77" t="b">
        <v>0</v>
      </c>
      <c r="AC37" s="77" t="b">
        <v>1</v>
      </c>
      <c r="AD37" s="77" t="b">
        <v>0</v>
      </c>
      <c r="AE37" s="75"/>
      <c r="AF37" s="995" t="s">
        <v>311</v>
      </c>
      <c r="AG37" s="1910" t="b">
        <f>Kategorie1&lt;=3</f>
        <v>1</v>
      </c>
      <c r="AH37" s="1911"/>
      <c r="AI37" s="1910" t="b">
        <f>Kategorie2&lt;=3</f>
        <v>1</v>
      </c>
      <c r="AJ37" s="1911"/>
      <c r="AK37" s="1910" t="b">
        <f>Kategorie3&lt;=3</f>
        <v>1</v>
      </c>
      <c r="AL37" s="1911"/>
      <c r="AM37" s="1910" t="b">
        <f>Kategorie4&lt;=3</f>
        <v>1</v>
      </c>
      <c r="AN37" s="1911"/>
      <c r="AU37" s="148"/>
      <c r="BB37" s="75">
        <v>2</v>
      </c>
      <c r="BC37" s="588" t="s">
        <v>348</v>
      </c>
      <c r="BD37" s="75" t="str">
        <f>BC37</f>
        <v>Abit. plurif.</v>
      </c>
      <c r="BE37" s="75" t="str">
        <f>BD37</f>
        <v>Abit. plurif.</v>
      </c>
      <c r="BF37" s="85"/>
      <c r="BL37" s="77" t="s">
        <v>1685</v>
      </c>
      <c r="BM37" s="77" t="s">
        <v>1378</v>
      </c>
      <c r="BN37" s="1082">
        <f>Aerazione!L98</f>
        <v>2</v>
      </c>
      <c r="BO37" s="213" t="b">
        <f>IF(BN37=2,TRUE,FALSE)</f>
        <v>1</v>
      </c>
      <c r="BQ37" s="75" t="s">
        <v>1180</v>
      </c>
      <c r="BR37" s="1071">
        <v>0.33</v>
      </c>
      <c r="BS37" s="89" t="s">
        <v>274</v>
      </c>
      <c r="BT37" s="1082">
        <v>1</v>
      </c>
      <c r="BU37" s="1075">
        <f>IF(BQ30,INDEX($BR$35:$BR$38,BT37,1),0)</f>
        <v>0</v>
      </c>
      <c r="BW37" s="75" t="s">
        <v>1784</v>
      </c>
      <c r="BX37" s="74"/>
      <c r="BY37" s="85"/>
      <c r="BZ37" s="745">
        <f>MAX(MIN(1-Aerazione!$E$24/100,1),IF(minergiep,0.75,0.8))</f>
        <v>1</v>
      </c>
      <c r="CA37" s="745">
        <f>MAX(MIN(1-Aerazione!$E$65/100,1),IF(minergiep,0.75,0.8))</f>
        <v>1</v>
      </c>
      <c r="CB37" s="745">
        <f>MAX(MIN(1-Aerazione!$E$106/100,1),IF(minergiep,0.75,0.8))</f>
        <v>1</v>
      </c>
      <c r="CC37" s="1563">
        <f>MAX(MIN(1-Aerazione!$E$147/100,1),IF(minergiep,0.75,0.8))</f>
        <v>1</v>
      </c>
      <c r="CD37" s="213" t="str">
        <f>IF(OR(Lüftung1=4,Lüftung1=5,Lüftung1=6,Lüftung1=7),$BW$35,$BW37)</f>
        <v>Terreno-aria, calcolo separato</v>
      </c>
      <c r="CE37" s="213" t="str">
        <f>IF(OR(Lüftung2=4,Lüftung2=5,Lüftung2=6,Lüftung2=7),$BW$35,$BW37)</f>
        <v>Terreno-aria, calcolo separato</v>
      </c>
      <c r="CF37" s="213" t="str">
        <f>IF(OR(Lüftung3=4,Lüftung3=5,Lüftung3=6,Lüftung3=7),$BW$35,$BW37)</f>
        <v>Terreno-aria, calcolo separato</v>
      </c>
      <c r="CG37" s="213" t="str">
        <f>IF(OR(Lüftung4=4,Lüftung4=5,Lüftung4=6,Lüftung4=7),$BW$35,$BW37)</f>
        <v>Terreno-aria, calcolo separato</v>
      </c>
    </row>
    <row r="38" spans="1:85">
      <c r="A38" s="78">
        <v>32</v>
      </c>
      <c r="B38" s="1623" t="str">
        <f t="shared" si="14"/>
        <v/>
      </c>
      <c r="C38" s="70" t="str">
        <f t="shared" si="14"/>
        <v/>
      </c>
      <c r="D38" s="70" t="str">
        <f t="shared" si="14"/>
        <v/>
      </c>
      <c r="E38" s="70" t="str">
        <f t="shared" si="14"/>
        <v/>
      </c>
      <c r="F38" s="70" t="str">
        <f t="shared" si="14"/>
        <v/>
      </c>
      <c r="G38" s="125" t="str">
        <f t="shared" si="14"/>
        <v/>
      </c>
      <c r="I38" s="1601" t="s">
        <v>1377</v>
      </c>
      <c r="J38" s="1602">
        <f>IF(AND(Klima&gt;1,Kategorie4&gt;0),INDEX($J$9:$J$21,Kategorie4,1),)</f>
        <v>0</v>
      </c>
      <c r="K38" s="59">
        <v>4</v>
      </c>
      <c r="L38" s="1220" t="s">
        <v>1185</v>
      </c>
      <c r="M38" s="1221"/>
      <c r="N38" s="1222"/>
      <c r="O38" s="1221" t="s">
        <v>965</v>
      </c>
      <c r="P38" s="75" t="s">
        <v>1689</v>
      </c>
      <c r="Q38" s="142">
        <v>1</v>
      </c>
      <c r="S38" s="173" t="str">
        <f>IF(minergiep,IF(OR(WRGtyp4=2,WRGtyp4=3,_EBF4=0),,1),"")</f>
        <v/>
      </c>
      <c r="T38" s="213" t="str">
        <f t="shared" si="1"/>
        <v>Aerazione con PdC sull'aspirazione per AC (nessuna immissione)</v>
      </c>
      <c r="U38" s="213" t="s">
        <v>223</v>
      </c>
      <c r="V38" s="1228" t="s">
        <v>347</v>
      </c>
      <c r="W38" s="1025">
        <v>100</v>
      </c>
      <c r="X38" s="1026">
        <v>0</v>
      </c>
      <c r="Y38" s="840">
        <v>1</v>
      </c>
      <c r="Z38" s="77">
        <v>1</v>
      </c>
      <c r="AA38" s="77">
        <v>39</v>
      </c>
      <c r="AB38" s="77" t="b">
        <v>0</v>
      </c>
      <c r="AC38" s="77" t="b">
        <v>1</v>
      </c>
      <c r="AD38" s="77" t="b">
        <v>0</v>
      </c>
      <c r="AE38" s="127"/>
      <c r="AF38" s="997" t="s">
        <v>1207</v>
      </c>
      <c r="AG38" s="1922" t="b">
        <f>AND(AG36,AG35)</f>
        <v>0</v>
      </c>
      <c r="AH38" s="1923"/>
      <c r="AI38" s="1922" t="b">
        <f>AND(AI36,AI35,Zonen&gt;1)</f>
        <v>0</v>
      </c>
      <c r="AJ38" s="1923"/>
      <c r="AK38" s="1922" t="b">
        <f>AND(AK36,AK35,Zonen&gt;2)</f>
        <v>0</v>
      </c>
      <c r="AL38" s="1923"/>
      <c r="AM38" s="1922" t="b">
        <f>AND(AM36,AM35,Zonen&gt;3)</f>
        <v>0</v>
      </c>
      <c r="AN38" s="1923"/>
      <c r="AU38" s="612"/>
      <c r="BB38" s="75">
        <v>3</v>
      </c>
      <c r="BC38" s="588" t="s">
        <v>349</v>
      </c>
      <c r="BD38" s="75" t="str">
        <f>BC38</f>
        <v>Abit. monof.</v>
      </c>
      <c r="BE38" s="75" t="str">
        <f>BD38</f>
        <v>Abit. monof.</v>
      </c>
      <c r="BF38" s="85"/>
      <c r="BL38" s="81"/>
      <c r="BM38" s="81" t="s">
        <v>1379</v>
      </c>
      <c r="BN38" s="1084">
        <f>Aerazione!L139</f>
        <v>2</v>
      </c>
      <c r="BO38" s="251" t="b">
        <f>IF(BN38=2,TRUE,FALSE)</f>
        <v>1</v>
      </c>
      <c r="BQ38" s="127" t="s">
        <v>1163</v>
      </c>
      <c r="BR38" s="1072">
        <v>0.2</v>
      </c>
      <c r="BS38" s="93" t="s">
        <v>275</v>
      </c>
      <c r="BT38" s="1084">
        <v>1</v>
      </c>
      <c r="BU38" s="1076">
        <f>IF(BQ31,INDEX($BR$35:$BR$38,BT38,1),0)</f>
        <v>0</v>
      </c>
      <c r="BW38" s="75" t="s">
        <v>1785</v>
      </c>
      <c r="BX38" s="74"/>
      <c r="BY38" s="85"/>
      <c r="BZ38" s="745">
        <f>MAX(MIN(1-Aerazione!$E$24/100,1),IF(minergiep,0.75,0.8))</f>
        <v>1</v>
      </c>
      <c r="CA38" s="745">
        <f>MAX(MIN(1-Aerazione!$E$65/100,1),IF(minergiep,0.75,0.8))</f>
        <v>1</v>
      </c>
      <c r="CB38" s="745">
        <f>MAX(MIN(1-Aerazione!$E$106/100,1),IF(minergiep,0.75,0.8))</f>
        <v>1</v>
      </c>
      <c r="CC38" s="1563">
        <f>MAX(MIN(1-Aerazione!$E$147/100,1),IF(minergiep,0.75,0.8))</f>
        <v>1</v>
      </c>
      <c r="CD38" s="213" t="str">
        <f>IF(OR(Lüftung1=4,Lüftung1=5,Lüftung1=6,Lüftung1=7),$BW$35,$BW38)</f>
        <v>Terreno-salamoia</v>
      </c>
      <c r="CE38" s="213" t="str">
        <f>IF(OR(Lüftung2=4,Lüftung2=5,Lüftung2=6,Lüftung2=7),$BW$35,$BW38)</f>
        <v>Terreno-salamoia</v>
      </c>
      <c r="CF38" s="213" t="str">
        <f>IF(OR(Lüftung3=4,Lüftung3=5,Lüftung3=6,Lüftung3=7),$BW$35,$BW38)</f>
        <v>Terreno-salamoia</v>
      </c>
      <c r="CG38" s="213" t="str">
        <f>IF(OR(Lüftung4=4,Lüftung4=5,Lüftung4=6,Lüftung4=7),$BW$35,$BW38)</f>
        <v>Terreno-salamoia</v>
      </c>
    </row>
    <row r="39" spans="1:85">
      <c r="A39" s="78">
        <v>33</v>
      </c>
      <c r="B39" s="1623" t="str">
        <f t="shared" si="14"/>
        <v/>
      </c>
      <c r="C39" s="70" t="str">
        <f t="shared" si="14"/>
        <v/>
      </c>
      <c r="D39" s="70" t="str">
        <f t="shared" si="14"/>
        <v/>
      </c>
      <c r="E39" s="70" t="str">
        <f t="shared" si="14"/>
        <v/>
      </c>
      <c r="F39" s="70" t="str">
        <f t="shared" si="14"/>
        <v/>
      </c>
      <c r="G39" s="125" t="str">
        <f t="shared" si="14"/>
        <v/>
      </c>
      <c r="I39" s="1603"/>
      <c r="J39" s="1604"/>
      <c r="K39" s="59">
        <v>5</v>
      </c>
      <c r="L39" s="1220" t="s">
        <v>1186</v>
      </c>
      <c r="M39" s="1221"/>
      <c r="N39" s="1222"/>
      <c r="O39" s="1221" t="s">
        <v>966</v>
      </c>
      <c r="P39" s="60" t="s">
        <v>1691</v>
      </c>
      <c r="Q39" s="1548">
        <f>IF(AND(Zonen=4,Neubau4=2,Neubau3=2,Neubau2=2,Neubau1=2),2,IF(AND(Zonen=3,Neubau3=2,Neubau2=2,Neubau1=2),2,IF(AND(Zonen=2,Neubau2=2,Neubau1=2),2,IF(AND(Zonen=1,Neubau1=2),2,R39))))</f>
        <v>1</v>
      </c>
      <c r="R39" s="1549">
        <f>IF(AND(Zonen=4,Neubau4=3,Neubau3=3,Neubau2=3,Neubau1=3),3,IF(AND(Zonen=3,Neubau3=3,Neubau2=3,Neubau1=3),3,IF(AND(Zonen=2,Neubau2=3,Neubau1=3),3,IF(AND(Zonen=1,Neubau1=3),3,1))))</f>
        <v>1</v>
      </c>
      <c r="S39" s="1541">
        <f>IF(SUM(S35:S38)&gt;9,2,IF(SUM(S35:S38)&gt;0,1,))</f>
        <v>0</v>
      </c>
      <c r="T39" s="213" t="str">
        <f t="shared" si="1"/>
        <v>PdC compatta con immissione e aspirazione / AC più RC</v>
      </c>
      <c r="U39" s="213" t="s">
        <v>224</v>
      </c>
      <c r="V39" s="213" t="s">
        <v>224</v>
      </c>
      <c r="W39" s="744"/>
      <c r="X39" s="745">
        <v>2</v>
      </c>
      <c r="Y39" s="840"/>
      <c r="Z39" s="77"/>
      <c r="AA39" s="77">
        <v>40</v>
      </c>
      <c r="AB39" s="77" t="b">
        <v>0</v>
      </c>
      <c r="AC39" s="77" t="b">
        <v>0</v>
      </c>
      <c r="AD39" s="77" t="b">
        <v>1</v>
      </c>
      <c r="AE39" s="619"/>
      <c r="AF39" s="1525" t="s">
        <v>1208</v>
      </c>
      <c r="AG39" s="1917" t="str">
        <f>IF(OR(minergiea,minergiep),AN23,"")</f>
        <v/>
      </c>
      <c r="AH39" s="1918"/>
      <c r="AI39" s="1917" t="str">
        <f>IF(OR(minergiea,minergiep),AN23,"")</f>
        <v/>
      </c>
      <c r="AJ39" s="1918"/>
      <c r="AK39" s="1917" t="str">
        <f>IF(OR(minergiea,minergiep),AN23,"")</f>
        <v/>
      </c>
      <c r="AL39" s="1918"/>
      <c r="AM39" s="1917" t="str">
        <f>IF(OR(minergiea,minergiep),AN23,"")</f>
        <v/>
      </c>
      <c r="AN39" s="1918"/>
      <c r="AU39" s="612"/>
      <c r="BB39" s="75">
        <v>4</v>
      </c>
      <c r="BC39" s="588" t="s">
        <v>350</v>
      </c>
      <c r="BD39" s="75" t="str">
        <f t="shared" ref="BD39:BD44" si="15">BC39</f>
        <v>Amministr.</v>
      </c>
      <c r="BE39" s="75" t="s">
        <v>1396</v>
      </c>
      <c r="BF39" s="85"/>
      <c r="BW39" s="127" t="s">
        <v>1789</v>
      </c>
      <c r="BX39" s="92"/>
      <c r="BY39" s="184"/>
      <c r="BZ39" s="745">
        <f>MAX(MIN(1-Aerazione!$E$24/100,1),IF(minergiep,0.75,0.8))</f>
        <v>1</v>
      </c>
      <c r="CA39" s="745">
        <f>MAX(MIN(1-Aerazione!$E$65/100,1),IF(minergiep,0.75,0.8))</f>
        <v>1</v>
      </c>
      <c r="CB39" s="745">
        <f>MAX(MIN(1-Aerazione!$E$106/100,1),IF(minergiep,0.75,0.8))</f>
        <v>1</v>
      </c>
      <c r="CC39" s="1563">
        <f>MAX(MIN(1-Aerazione!$E$147/100,1),IF(minergiep,0.75,0.8))</f>
        <v>1</v>
      </c>
      <c r="CD39" s="251" t="str">
        <f>IF(OR(Lüftung1=4,Lüftung1=5,Lüftung1=6,Lüftung1=7),$BW$35,$BW39)</f>
        <v>Sonda geotermica</v>
      </c>
      <c r="CE39" s="251" t="str">
        <f>IF(OR(Lüftung2=4,Lüftung2=5,Lüftung2=6,Lüftung2=7),$BW$35,$BW39)</f>
        <v>Sonda geotermica</v>
      </c>
      <c r="CF39" s="251" t="str">
        <f>IF(OR(Lüftung3=4,Lüftung3=5,Lüftung3=6,Lüftung3=7),$BW$35,$BW39)</f>
        <v>Sonda geotermica</v>
      </c>
      <c r="CG39" s="251" t="str">
        <f>IF(OR(Lüftung4=4,Lüftung4=5,Lüftung4=6,Lüftung4=7),$BW$35,$BW39)</f>
        <v>Sonda geotermica</v>
      </c>
    </row>
    <row r="40" spans="1:85" ht="15.6">
      <c r="A40" s="78">
        <v>34</v>
      </c>
      <c r="B40" s="1623" t="str">
        <f t="shared" si="14"/>
        <v/>
      </c>
      <c r="C40" s="70" t="str">
        <f t="shared" si="14"/>
        <v/>
      </c>
      <c r="D40" s="70" t="str">
        <f t="shared" si="14"/>
        <v/>
      </c>
      <c r="E40" s="70" t="str">
        <f t="shared" si="14"/>
        <v/>
      </c>
      <c r="F40" s="70" t="str">
        <f t="shared" si="14"/>
        <v/>
      </c>
      <c r="G40" s="125" t="str">
        <f t="shared" si="14"/>
        <v/>
      </c>
      <c r="I40" s="1605" t="s">
        <v>721</v>
      </c>
      <c r="J40" s="1598"/>
      <c r="K40" s="59">
        <v>6</v>
      </c>
      <c r="L40" s="1220" t="s">
        <v>1187</v>
      </c>
      <c r="M40" s="1221"/>
      <c r="N40" s="1222"/>
      <c r="O40" s="1221" t="s">
        <v>967</v>
      </c>
      <c r="P40" s="68"/>
      <c r="Q40" s="183" t="s">
        <v>1396</v>
      </c>
      <c r="R40" s="176"/>
      <c r="S40" s="59"/>
      <c r="T40" s="213" t="str">
        <f t="shared" si="1"/>
        <v>PdC compatta / AC senza RC (solo riscaldamento)</v>
      </c>
      <c r="U40" s="213" t="s">
        <v>225</v>
      </c>
      <c r="V40" s="213" t="s">
        <v>225</v>
      </c>
      <c r="W40" s="744"/>
      <c r="X40" s="745">
        <v>1</v>
      </c>
      <c r="Y40" s="840">
        <v>1</v>
      </c>
      <c r="Z40" s="77">
        <v>1</v>
      </c>
      <c r="AA40" s="77">
        <v>41</v>
      </c>
      <c r="AB40" s="77" t="b">
        <v>0</v>
      </c>
      <c r="AC40" s="77" t="b">
        <v>0</v>
      </c>
      <c r="AD40" s="77" t="b">
        <v>0</v>
      </c>
      <c r="AE40" s="75"/>
      <c r="AF40" s="85"/>
      <c r="AG40" s="1910" t="str">
        <f>IF(Standardwerte!AG38,"No","")</f>
        <v/>
      </c>
      <c r="AH40" s="1911"/>
      <c r="AI40" s="1910" t="str">
        <f>IF(Standardwerte!AI38,"No","")</f>
        <v/>
      </c>
      <c r="AJ40" s="1911"/>
      <c r="AK40" s="1910" t="str">
        <f>IF(Standardwerte!AK38,"No","")</f>
        <v/>
      </c>
      <c r="AL40" s="1911"/>
      <c r="AM40" s="1910" t="str">
        <f>IF(Standardwerte!AM38,"No","")</f>
        <v/>
      </c>
      <c r="AN40" s="1911"/>
      <c r="AU40" s="612"/>
      <c r="BB40" s="75">
        <v>5</v>
      </c>
      <c r="BC40" s="588" t="s">
        <v>552</v>
      </c>
      <c r="BD40" s="75" t="str">
        <f t="shared" si="15"/>
        <v>Scuole</v>
      </c>
      <c r="BE40" s="75" t="s">
        <v>1396</v>
      </c>
      <c r="BF40" s="85"/>
      <c r="BL40" s="60"/>
      <c r="BM40" s="95"/>
      <c r="BN40" s="95"/>
      <c r="BO40" s="1032" t="s">
        <v>839</v>
      </c>
      <c r="BP40" s="1030" t="s">
        <v>845</v>
      </c>
      <c r="BQ40" s="1032" t="s">
        <v>839</v>
      </c>
      <c r="BR40" s="1032" t="s">
        <v>278</v>
      </c>
      <c r="BS40" s="1030" t="s">
        <v>280</v>
      </c>
      <c r="BT40" s="1030" t="s">
        <v>286</v>
      </c>
      <c r="BU40" s="1069" t="s">
        <v>288</v>
      </c>
      <c r="BZ40" s="1068">
        <f>IF(AND(minergiep=FALSE,Aerazione!$P$7=TRUE),1,INDEX(BZ35:BZ39,BZ34,1))</f>
        <v>1</v>
      </c>
      <c r="CA40" s="1068">
        <f>IF(AND(minergiep=FALSE,Aerazione!$P$48=TRUE),1,INDEX(CA35:CA39,CA34,1))</f>
        <v>1</v>
      </c>
      <c r="CB40" s="1068">
        <f>IF(AND(minergiep=FALSE,Aerazione!$P$89=TRUE),1,INDEX(CB35:CB39,CB34,1))</f>
        <v>1</v>
      </c>
      <c r="CC40" s="1068">
        <f>IF(AND(minergiep=FALSE,Aerazione!$P$130=TRUE),1,INDEX(CC35:CC39,CC34,1))</f>
        <v>1</v>
      </c>
    </row>
    <row r="41" spans="1:85" ht="15.6">
      <c r="A41" s="78">
        <v>35</v>
      </c>
      <c r="B41" s="1623" t="str">
        <f t="shared" si="14"/>
        <v/>
      </c>
      <c r="C41" s="70" t="str">
        <f t="shared" si="14"/>
        <v/>
      </c>
      <c r="D41" s="70" t="str">
        <f t="shared" si="14"/>
        <v/>
      </c>
      <c r="E41" s="70" t="str">
        <f t="shared" si="14"/>
        <v/>
      </c>
      <c r="F41" s="70" t="str">
        <f t="shared" si="14"/>
        <v/>
      </c>
      <c r="G41" s="125" t="str">
        <f t="shared" si="14"/>
        <v/>
      </c>
      <c r="I41" s="1599" t="s">
        <v>623</v>
      </c>
      <c r="J41" s="1600">
        <f>IF(AND(Klima&gt;1,Kategorie1&gt;0),INDEX($K$9:$K$21,Kategorie1,1),)</f>
        <v>0</v>
      </c>
      <c r="K41" s="59">
        <v>7</v>
      </c>
      <c r="L41" s="1220" t="s">
        <v>1188</v>
      </c>
      <c r="M41" s="1221"/>
      <c r="N41" s="1222"/>
      <c r="O41" s="1221" t="s">
        <v>968</v>
      </c>
      <c r="P41" s="88"/>
      <c r="Q41" s="76" t="s">
        <v>1685</v>
      </c>
      <c r="R41" s="76" t="s">
        <v>1685</v>
      </c>
      <c r="S41" s="59"/>
      <c r="T41" s="213" t="str">
        <f t="shared" si="1"/>
        <v>PdC compatta / AC senza RC (solo AC)</v>
      </c>
      <c r="U41" s="213" t="s">
        <v>226</v>
      </c>
      <c r="V41" s="213" t="s">
        <v>226</v>
      </c>
      <c r="W41" s="744"/>
      <c r="X41" s="745">
        <v>1</v>
      </c>
      <c r="Y41" s="840">
        <v>1</v>
      </c>
      <c r="Z41" s="77">
        <v>1</v>
      </c>
      <c r="AA41" s="77">
        <v>42</v>
      </c>
      <c r="AB41" s="77" t="b">
        <v>0</v>
      </c>
      <c r="AC41" s="77" t="b">
        <v>0</v>
      </c>
      <c r="AD41" s="77" t="b">
        <v>0</v>
      </c>
      <c r="AE41" s="75"/>
      <c r="AF41" s="85"/>
      <c r="AG41" s="1910" t="str">
        <f>IF(Standardwerte!AG38,IF(Standardwerte!AG37,"Si","No"),"")</f>
        <v/>
      </c>
      <c r="AH41" s="1911"/>
      <c r="AI41" s="1910" t="str">
        <f>IF(Standardwerte!AI38,IF(Standardwerte!AI37,"Si","No"),"")</f>
        <v/>
      </c>
      <c r="AJ41" s="1911"/>
      <c r="AK41" s="1910" t="str">
        <f>IF(Standardwerte!AK38,IF(Standardwerte!AK37,"Si","No"),"")</f>
        <v/>
      </c>
      <c r="AL41" s="1911"/>
      <c r="AM41" s="1910" t="str">
        <f>IF(Standardwerte!AM38,IF(Standardwerte!AM37,"Si","No"),"")</f>
        <v/>
      </c>
      <c r="AN41" s="1911"/>
      <c r="AU41" s="612"/>
      <c r="BB41" s="75">
        <v>6</v>
      </c>
      <c r="BC41" s="588" t="s">
        <v>1771</v>
      </c>
      <c r="BD41" s="75" t="str">
        <f t="shared" si="15"/>
        <v>Negozi</v>
      </c>
      <c r="BE41" s="75" t="s">
        <v>1396</v>
      </c>
      <c r="BF41" s="85"/>
      <c r="BL41" s="1033"/>
      <c r="BM41" s="98"/>
      <c r="BN41" s="98"/>
      <c r="BO41" s="1034" t="s">
        <v>840</v>
      </c>
      <c r="BP41" s="1040" t="s">
        <v>846</v>
      </c>
      <c r="BQ41" s="1034" t="s">
        <v>276</v>
      </c>
      <c r="BR41" s="1034" t="s">
        <v>277</v>
      </c>
      <c r="BS41" s="1040" t="s">
        <v>285</v>
      </c>
      <c r="BT41" s="1040" t="s">
        <v>287</v>
      </c>
      <c r="BU41" s="1070" t="s">
        <v>289</v>
      </c>
    </row>
    <row r="42" spans="1:85">
      <c r="A42" s="78">
        <v>36</v>
      </c>
      <c r="B42" s="1623" t="str">
        <f t="shared" si="14"/>
        <v/>
      </c>
      <c r="C42" s="70" t="str">
        <f t="shared" si="14"/>
        <v/>
      </c>
      <c r="D42" s="70" t="str">
        <f t="shared" si="14"/>
        <v/>
      </c>
      <c r="E42" s="70" t="str">
        <f t="shared" si="14"/>
        <v/>
      </c>
      <c r="F42" s="70" t="str">
        <f t="shared" si="14"/>
        <v/>
      </c>
      <c r="G42" s="125" t="str">
        <f t="shared" si="14"/>
        <v/>
      </c>
      <c r="I42" s="1599" t="s">
        <v>1375</v>
      </c>
      <c r="J42" s="1600">
        <f>IF(AND(Klima&gt;1,Kategorie2&gt;0),INDEX($K$9:$K$21,Kategorie2,1),)</f>
        <v>0</v>
      </c>
      <c r="K42" s="59">
        <v>8</v>
      </c>
      <c r="L42" s="73" t="str">
        <f>""</f>
        <v/>
      </c>
      <c r="M42" s="74"/>
      <c r="N42" s="85"/>
      <c r="O42" s="74" t="str">
        <f>IF(minergiep,"","")</f>
        <v/>
      </c>
      <c r="P42" s="173" t="s">
        <v>1396</v>
      </c>
      <c r="Q42" s="174" t="s">
        <v>1684</v>
      </c>
      <c r="R42" s="174" t="s">
        <v>1684</v>
      </c>
      <c r="S42" s="59"/>
      <c r="T42" s="213" t="str">
        <f t="shared" si="1"/>
        <v>Energia solare termica, solo riscaldamento</v>
      </c>
      <c r="U42" s="213" t="s">
        <v>816</v>
      </c>
      <c r="V42" s="1487" t="s">
        <v>810</v>
      </c>
      <c r="W42" s="746">
        <v>2.2999999999999998</v>
      </c>
      <c r="X42" s="745">
        <v>2</v>
      </c>
      <c r="Y42" s="840"/>
      <c r="Z42" s="88">
        <v>1</v>
      </c>
      <c r="AA42" s="77">
        <v>31</v>
      </c>
      <c r="AB42" s="77" t="b">
        <v>0</v>
      </c>
      <c r="AC42" s="77" t="b">
        <v>0</v>
      </c>
      <c r="AD42" s="77" t="b">
        <v>0</v>
      </c>
      <c r="AE42" s="75"/>
      <c r="AF42" s="85"/>
      <c r="AG42" s="1912"/>
      <c r="AH42" s="1913"/>
      <c r="AI42" s="1912"/>
      <c r="AJ42" s="1913"/>
      <c r="AK42" s="1912"/>
      <c r="AL42" s="1913"/>
      <c r="AM42" s="1912"/>
      <c r="AN42" s="1913"/>
      <c r="BB42" s="75">
        <v>7</v>
      </c>
      <c r="BC42" s="588" t="s">
        <v>1772</v>
      </c>
      <c r="BD42" s="75" t="str">
        <f t="shared" si="15"/>
        <v>Ristoranti</v>
      </c>
      <c r="BE42" s="75" t="s">
        <v>1396</v>
      </c>
      <c r="BF42" s="85"/>
      <c r="BL42" s="75"/>
      <c r="BM42" s="74" t="s">
        <v>1396</v>
      </c>
      <c r="BN42" s="74"/>
      <c r="BO42" s="213" t="b">
        <v>1</v>
      </c>
      <c r="BP42" s="72"/>
      <c r="BQ42" s="72"/>
      <c r="BR42" s="72"/>
      <c r="BS42" s="745"/>
      <c r="BT42" s="72"/>
      <c r="BU42" s="176"/>
    </row>
    <row r="43" spans="1:85">
      <c r="A43" s="78">
        <v>37</v>
      </c>
      <c r="B43" s="1623" t="str">
        <f t="shared" si="14"/>
        <v/>
      </c>
      <c r="C43" s="70" t="str">
        <f t="shared" si="14"/>
        <v/>
      </c>
      <c r="D43" s="70" t="str">
        <f t="shared" si="14"/>
        <v/>
      </c>
      <c r="E43" s="70" t="str">
        <f t="shared" si="14"/>
        <v/>
      </c>
      <c r="F43" s="70" t="str">
        <f t="shared" si="14"/>
        <v/>
      </c>
      <c r="G43" s="125" t="str">
        <f t="shared" si="14"/>
        <v/>
      </c>
      <c r="I43" s="1599" t="s">
        <v>1376</v>
      </c>
      <c r="J43" s="1600">
        <f>IF(AND(Klima&gt;1,Kategorie3&gt;0),INDEX($K$9:$K$21,Kategorie3,1),)</f>
        <v>0</v>
      </c>
      <c r="K43" s="59">
        <v>9</v>
      </c>
      <c r="L43" s="73" t="str">
        <f>""</f>
        <v/>
      </c>
      <c r="M43" s="74"/>
      <c r="N43" s="85"/>
      <c r="O43" s="74" t="str">
        <f>IF(minergiep,"","")</f>
        <v/>
      </c>
      <c r="P43" s="89" t="s">
        <v>623</v>
      </c>
      <c r="Q43" s="290">
        <f>R43</f>
        <v>0</v>
      </c>
      <c r="R43" s="1595">
        <f>Input!C35</f>
        <v>0</v>
      </c>
      <c r="S43" s="68" t="str">
        <f>IF(Neubau1=2,"nuova costr.",IF(Neubau1=3,"vecchia costr.",""))</f>
        <v/>
      </c>
      <c r="T43" s="213" t="str">
        <f t="shared" si="1"/>
        <v>Energia solare termica, solo acqua calda</v>
      </c>
      <c r="U43" s="213" t="s">
        <v>817</v>
      </c>
      <c r="V43" s="1487" t="s">
        <v>811</v>
      </c>
      <c r="W43" s="746">
        <v>2.7</v>
      </c>
      <c r="X43" s="745">
        <v>2</v>
      </c>
      <c r="Y43" s="840"/>
      <c r="Z43" s="88">
        <v>1</v>
      </c>
      <c r="AA43" s="77">
        <v>32</v>
      </c>
      <c r="AB43" s="77" t="b">
        <v>0</v>
      </c>
      <c r="AC43" s="77" t="b">
        <v>0</v>
      </c>
      <c r="AD43" s="77" t="b">
        <v>0</v>
      </c>
      <c r="AE43" s="75"/>
      <c r="AF43" s="85"/>
      <c r="AG43" s="1912"/>
      <c r="AH43" s="1913"/>
      <c r="AI43" s="1912"/>
      <c r="AJ43" s="1913"/>
      <c r="AK43" s="1912"/>
      <c r="AL43" s="1913"/>
      <c r="AM43" s="1912"/>
      <c r="AN43" s="1913"/>
      <c r="BB43" s="75">
        <v>8</v>
      </c>
      <c r="BC43" s="1231" t="s">
        <v>351</v>
      </c>
      <c r="BD43" s="75" t="str">
        <f t="shared" si="15"/>
        <v>Loc. pubblici</v>
      </c>
      <c r="BE43" s="75" t="s">
        <v>1396</v>
      </c>
      <c r="BF43" s="85"/>
      <c r="BL43" s="962" t="s">
        <v>774</v>
      </c>
      <c r="BM43" s="964" t="s">
        <v>1769</v>
      </c>
      <c r="BN43" s="968"/>
      <c r="BO43" s="213" t="b">
        <v>1</v>
      </c>
      <c r="BP43" s="77">
        <v>0.7</v>
      </c>
      <c r="BQ43" s="77">
        <v>30</v>
      </c>
      <c r="BR43" s="77">
        <v>10</v>
      </c>
      <c r="BS43" s="745">
        <v>1</v>
      </c>
      <c r="BT43" s="77">
        <v>0.6</v>
      </c>
      <c r="BU43" s="76">
        <v>0.7</v>
      </c>
      <c r="BW43" s="60" t="s">
        <v>1365</v>
      </c>
      <c r="BX43" s="595"/>
      <c r="BY43" s="595"/>
      <c r="BZ43" s="595"/>
      <c r="CA43" s="595"/>
      <c r="CB43" s="595"/>
      <c r="CC43" s="949"/>
    </row>
    <row r="44" spans="1:85">
      <c r="A44" s="78">
        <v>38</v>
      </c>
      <c r="B44" s="1623" t="str">
        <f t="shared" si="14"/>
        <v/>
      </c>
      <c r="C44" s="70" t="str">
        <f t="shared" si="14"/>
        <v/>
      </c>
      <c r="D44" s="70" t="str">
        <f t="shared" si="14"/>
        <v/>
      </c>
      <c r="E44" s="70" t="str">
        <f t="shared" si="14"/>
        <v/>
      </c>
      <c r="F44" s="70" t="str">
        <f t="shared" si="14"/>
        <v/>
      </c>
      <c r="G44" s="125" t="str">
        <f t="shared" si="14"/>
        <v/>
      </c>
      <c r="I44" s="1601" t="s">
        <v>1377</v>
      </c>
      <c r="J44" s="1602">
        <f>IF(AND(Klima&gt;1,Kategorie4&gt;0),INDEX($K$9:$K$21,Kategorie4,1),)</f>
        <v>0</v>
      </c>
      <c r="K44" s="59">
        <v>10</v>
      </c>
      <c r="L44" s="73" t="str">
        <f>""</f>
        <v/>
      </c>
      <c r="M44" s="74"/>
      <c r="N44" s="85"/>
      <c r="O44" s="74" t="str">
        <f>IF(minergiep,"","")</f>
        <v/>
      </c>
      <c r="P44" s="89" t="s">
        <v>1375</v>
      </c>
      <c r="Q44" s="290">
        <f>R44</f>
        <v>0</v>
      </c>
      <c r="R44" s="1595">
        <f>Input!C46</f>
        <v>0</v>
      </c>
      <c r="S44" s="75" t="str">
        <f>IF(Neubau2=2,"nuova costr.",IF(Neubau2=3,"vecchia costr.",""))</f>
        <v/>
      </c>
      <c r="T44" s="213" t="str">
        <f t="shared" si="1"/>
        <v>Energia solare termica, riscaldamento e acqua calda</v>
      </c>
      <c r="U44" s="213" t="s">
        <v>677</v>
      </c>
      <c r="V44" s="1487" t="s">
        <v>812</v>
      </c>
      <c r="W44" s="746">
        <v>2.5</v>
      </c>
      <c r="X44" s="745">
        <v>2</v>
      </c>
      <c r="Y44" s="840">
        <v>1</v>
      </c>
      <c r="Z44" s="88">
        <v>1</v>
      </c>
      <c r="AA44" s="77">
        <v>33</v>
      </c>
      <c r="AB44" s="77" t="b">
        <v>0</v>
      </c>
      <c r="AC44" s="77" t="b">
        <v>0</v>
      </c>
      <c r="AD44" s="77" t="b">
        <v>0</v>
      </c>
      <c r="AE44" s="75"/>
      <c r="AF44" s="85"/>
      <c r="AG44" s="1912"/>
      <c r="AH44" s="1913"/>
      <c r="AI44" s="1912"/>
      <c r="AJ44" s="1913"/>
      <c r="AK44" s="1912"/>
      <c r="AL44" s="1913"/>
      <c r="AM44" s="1912"/>
      <c r="AN44" s="1913"/>
      <c r="BB44" s="75">
        <v>9</v>
      </c>
      <c r="BC44" s="588" t="s">
        <v>1145</v>
      </c>
      <c r="BD44" s="75" t="str">
        <f t="shared" si="15"/>
        <v>Ospedali</v>
      </c>
      <c r="BE44" s="75" t="s">
        <v>1396</v>
      </c>
      <c r="BF44" s="85"/>
      <c r="BL44" s="962" t="s">
        <v>775</v>
      </c>
      <c r="BM44" s="964" t="s">
        <v>1770</v>
      </c>
      <c r="BN44" s="968"/>
      <c r="BO44" s="213" t="b">
        <v>1</v>
      </c>
      <c r="BP44" s="77">
        <v>0.7</v>
      </c>
      <c r="BQ44" s="77">
        <v>30</v>
      </c>
      <c r="BR44" s="77">
        <v>10</v>
      </c>
      <c r="BS44" s="745">
        <v>1</v>
      </c>
      <c r="BT44" s="77">
        <v>0.6</v>
      </c>
      <c r="BU44" s="76">
        <v>0.7</v>
      </c>
      <c r="BW44" s="1735" t="s">
        <v>1832</v>
      </c>
      <c r="BX44" s="67"/>
      <c r="BY44" s="67"/>
      <c r="BZ44" s="67"/>
      <c r="CA44" s="67"/>
      <c r="CB44" s="67"/>
      <c r="CC44" s="183"/>
    </row>
    <row r="45" spans="1:85">
      <c r="A45" s="78">
        <v>39</v>
      </c>
      <c r="B45" s="1623" t="str">
        <f t="shared" si="14"/>
        <v/>
      </c>
      <c r="C45" s="70" t="str">
        <f t="shared" si="14"/>
        <v/>
      </c>
      <c r="D45" s="70" t="str">
        <f t="shared" si="14"/>
        <v/>
      </c>
      <c r="E45" s="70" t="str">
        <f t="shared" si="14"/>
        <v/>
      </c>
      <c r="F45" s="70" t="str">
        <f t="shared" si="14"/>
        <v/>
      </c>
      <c r="G45" s="125" t="str">
        <f t="shared" si="14"/>
        <v/>
      </c>
      <c r="I45" s="1604"/>
      <c r="J45" s="1604"/>
      <c r="K45" s="59">
        <v>11</v>
      </c>
      <c r="L45" s="73" t="str">
        <f>""</f>
        <v/>
      </c>
      <c r="M45" s="74"/>
      <c r="N45" s="85"/>
      <c r="O45" s="74" t="str">
        <f>IF(minergiep,"","")</f>
        <v/>
      </c>
      <c r="P45" s="89" t="s">
        <v>1376</v>
      </c>
      <c r="Q45" s="290">
        <f>R45</f>
        <v>0</v>
      </c>
      <c r="R45" s="1595">
        <f>Input!C57</f>
        <v>0</v>
      </c>
      <c r="S45" s="75" t="str">
        <f>IF(Neubau3=2,"nuova costr.",IF(Neubau3=3,"vecchia costr.",""))</f>
        <v/>
      </c>
      <c r="T45" s="213" t="str">
        <f t="shared" si="1"/>
        <v>Conversione fotovoltaica</v>
      </c>
      <c r="U45" s="213" t="s">
        <v>678</v>
      </c>
      <c r="V45" s="1487" t="s">
        <v>813</v>
      </c>
      <c r="W45" s="746">
        <v>2.2999999999999998</v>
      </c>
      <c r="X45" s="745">
        <v>2</v>
      </c>
      <c r="Y45" s="840">
        <v>1</v>
      </c>
      <c r="Z45" s="88">
        <v>1</v>
      </c>
      <c r="AA45" s="77">
        <v>34</v>
      </c>
      <c r="AB45" s="77" t="b">
        <v>0</v>
      </c>
      <c r="AC45" s="77" t="b">
        <v>0</v>
      </c>
      <c r="AD45" s="77" t="b">
        <v>0</v>
      </c>
      <c r="AE45" s="127"/>
      <c r="AF45" s="184"/>
      <c r="AG45" s="1915"/>
      <c r="AH45" s="1916"/>
      <c r="AI45" s="1915"/>
      <c r="AJ45" s="1916"/>
      <c r="AK45" s="1915"/>
      <c r="AL45" s="1916"/>
      <c r="AM45" s="1915"/>
      <c r="AN45" s="1916"/>
      <c r="BB45" s="75">
        <v>10</v>
      </c>
      <c r="BC45" s="588" t="s">
        <v>662</v>
      </c>
      <c r="BD45" s="588" t="s">
        <v>662</v>
      </c>
      <c r="BE45" s="75" t="s">
        <v>1396</v>
      </c>
      <c r="BF45" s="85"/>
      <c r="BL45" s="962" t="s">
        <v>1383</v>
      </c>
      <c r="BM45" s="964" t="s">
        <v>548</v>
      </c>
      <c r="BN45" s="968"/>
      <c r="BO45" s="213" t="b">
        <v>1</v>
      </c>
      <c r="BP45" s="77">
        <v>0.7</v>
      </c>
      <c r="BQ45" s="77">
        <v>25</v>
      </c>
      <c r="BR45" s="77">
        <v>10</v>
      </c>
      <c r="BS45" s="745">
        <v>0.32</v>
      </c>
      <c r="BT45" s="77">
        <v>0.6</v>
      </c>
      <c r="BU45" s="76">
        <v>0.7</v>
      </c>
      <c r="BW45" s="75" t="s">
        <v>1786</v>
      </c>
      <c r="BX45" s="74"/>
      <c r="BY45" s="74"/>
      <c r="BZ45" s="74"/>
      <c r="CA45" s="74"/>
      <c r="CB45" s="74"/>
      <c r="CC45" s="85"/>
    </row>
    <row r="46" spans="1:85">
      <c r="A46" s="78">
        <v>40</v>
      </c>
      <c r="B46" s="1623" t="str">
        <f t="shared" si="14"/>
        <v/>
      </c>
      <c r="C46" s="70" t="str">
        <f t="shared" si="14"/>
        <v/>
      </c>
      <c r="D46" s="70" t="str">
        <f t="shared" si="14"/>
        <v/>
      </c>
      <c r="E46" s="70" t="str">
        <f t="shared" si="14"/>
        <v/>
      </c>
      <c r="F46" s="70" t="str">
        <f t="shared" si="14"/>
        <v/>
      </c>
      <c r="G46" s="125" t="str">
        <f t="shared" si="14"/>
        <v/>
      </c>
      <c r="I46" s="1597" t="s">
        <v>722</v>
      </c>
      <c r="J46" s="1598"/>
      <c r="K46" s="59">
        <v>12</v>
      </c>
      <c r="L46" s="91" t="str">
        <f>""</f>
        <v/>
      </c>
      <c r="M46" s="92"/>
      <c r="N46" s="184"/>
      <c r="O46" s="92" t="str">
        <f>IF(minergiep,"","")</f>
        <v/>
      </c>
      <c r="P46" s="93" t="s">
        <v>1377</v>
      </c>
      <c r="Q46" s="241">
        <f>R46</f>
        <v>0</v>
      </c>
      <c r="R46" s="1596">
        <f>Input!C68</f>
        <v>0</v>
      </c>
      <c r="S46" s="127" t="str">
        <f>IF(Neubau4=2,"nuova costr.",IF(Neubau4=3,"vecchia costr.",""))</f>
        <v/>
      </c>
      <c r="T46" s="213" t="str">
        <f t="shared" si="1"/>
        <v>Altri</v>
      </c>
      <c r="U46" s="213" t="s">
        <v>680</v>
      </c>
      <c r="V46" s="1487" t="s">
        <v>814</v>
      </c>
      <c r="W46" s="746">
        <v>2.7</v>
      </c>
      <c r="X46" s="745">
        <v>2</v>
      </c>
      <c r="Y46" s="840"/>
      <c r="Z46" s="88">
        <v>1</v>
      </c>
      <c r="AA46" s="77">
        <v>35</v>
      </c>
      <c r="AB46" s="77" t="b">
        <v>0</v>
      </c>
      <c r="AC46" s="77" t="b">
        <v>0</v>
      </c>
      <c r="AD46" s="77" t="b">
        <v>0</v>
      </c>
      <c r="BB46" s="75">
        <v>11</v>
      </c>
      <c r="BC46" s="588" t="s">
        <v>521</v>
      </c>
      <c r="BD46" s="588" t="s">
        <v>521</v>
      </c>
      <c r="BE46" s="75" t="s">
        <v>1396</v>
      </c>
      <c r="BF46" s="85"/>
      <c r="BL46" s="962" t="s">
        <v>1384</v>
      </c>
      <c r="BM46" s="964" t="s">
        <v>552</v>
      </c>
      <c r="BN46" s="968"/>
      <c r="BO46" s="213" t="b">
        <v>1</v>
      </c>
      <c r="BP46" s="77">
        <v>0.7</v>
      </c>
      <c r="BQ46" s="77">
        <v>25</v>
      </c>
      <c r="BR46" s="77">
        <v>10</v>
      </c>
      <c r="BS46" s="745">
        <v>0.14000000000000001</v>
      </c>
      <c r="BT46" s="77">
        <v>0.6</v>
      </c>
      <c r="BU46" s="76">
        <v>0.7</v>
      </c>
      <c r="BW46" s="75" t="s">
        <v>1713</v>
      </c>
      <c r="BX46" s="74"/>
      <c r="BY46" s="74"/>
      <c r="BZ46" s="74"/>
      <c r="CA46" s="74"/>
      <c r="CB46" s="74"/>
      <c r="CC46" s="85"/>
    </row>
    <row r="47" spans="1:85">
      <c r="A47" s="78">
        <v>41</v>
      </c>
      <c r="B47" s="1626" t="str">
        <f t="shared" ref="B47:G47" si="16">IF(Kanton=29,B94,"")</f>
        <v/>
      </c>
      <c r="C47" s="80" t="str">
        <f t="shared" si="16"/>
        <v/>
      </c>
      <c r="D47" s="80" t="str">
        <f t="shared" si="16"/>
        <v/>
      </c>
      <c r="E47" s="80" t="str">
        <f t="shared" si="16"/>
        <v/>
      </c>
      <c r="F47" s="80" t="str">
        <f t="shared" si="16"/>
        <v/>
      </c>
      <c r="G47" s="1612" t="str">
        <f t="shared" si="16"/>
        <v/>
      </c>
      <c r="I47" s="1599" t="s">
        <v>623</v>
      </c>
      <c r="J47" s="1606">
        <f>IF(Klima&gt;1,(J35+AEBF1*Standardwerte!J41)*(1+(8.5-Thetaea)*0.08),)</f>
        <v>0</v>
      </c>
      <c r="K47" s="94"/>
      <c r="L47" s="94"/>
      <c r="M47" s="94"/>
      <c r="N47" s="94"/>
      <c r="O47" s="94"/>
      <c r="P47" s="94"/>
      <c r="Q47" s="94"/>
      <c r="R47" s="59"/>
      <c r="S47" s="59"/>
      <c r="T47" s="213" t="str">
        <f t="shared" si="1"/>
        <v>Biomassa , impianto idraulico integrato</v>
      </c>
      <c r="U47" s="213" t="s">
        <v>679</v>
      </c>
      <c r="V47" s="1487" t="s">
        <v>815</v>
      </c>
      <c r="W47" s="746">
        <v>2.5</v>
      </c>
      <c r="X47" s="745">
        <v>2</v>
      </c>
      <c r="Y47" s="840">
        <v>1</v>
      </c>
      <c r="Z47" s="88"/>
      <c r="AA47" s="77">
        <v>43</v>
      </c>
      <c r="AB47" s="77" t="b">
        <v>0</v>
      </c>
      <c r="AC47" s="77" t="b">
        <v>0</v>
      </c>
      <c r="AD47" s="77" t="b">
        <v>0</v>
      </c>
      <c r="AE47" s="1001"/>
      <c r="AF47" s="1127" t="s">
        <v>1209</v>
      </c>
      <c r="AG47" s="1001"/>
      <c r="AH47" s="87"/>
      <c r="AI47" s="1001"/>
      <c r="AJ47" s="87"/>
      <c r="AK47" s="1001"/>
      <c r="AL47" s="87"/>
      <c r="AM47" s="1001"/>
      <c r="AN47" s="87"/>
      <c r="BB47" s="75">
        <v>12</v>
      </c>
      <c r="BC47" s="588" t="s">
        <v>524</v>
      </c>
      <c r="BD47" s="75" t="str">
        <f>BC47</f>
        <v>Imp. sportivi</v>
      </c>
      <c r="BE47" s="75" t="s">
        <v>1396</v>
      </c>
      <c r="BF47" s="85"/>
      <c r="BL47" s="962" t="s">
        <v>1385</v>
      </c>
      <c r="BM47" s="964" t="s">
        <v>1771</v>
      </c>
      <c r="BN47" s="968"/>
      <c r="BO47" s="213" t="b">
        <v>1</v>
      </c>
      <c r="BP47" s="77">
        <v>0.7</v>
      </c>
      <c r="BQ47" s="77">
        <v>25</v>
      </c>
      <c r="BR47" s="77">
        <v>10</v>
      </c>
      <c r="BS47" s="1424">
        <v>1</v>
      </c>
      <c r="BT47" s="77">
        <v>0.6</v>
      </c>
      <c r="BU47" s="76">
        <v>0.7</v>
      </c>
      <c r="BW47" s="75" t="s">
        <v>1712</v>
      </c>
      <c r="BX47" s="74"/>
      <c r="BY47" s="74"/>
      <c r="BZ47" s="74"/>
      <c r="CA47" s="74"/>
      <c r="CB47" s="74"/>
      <c r="CC47" s="85"/>
    </row>
    <row r="48" spans="1:85">
      <c r="I48" s="1599" t="s">
        <v>1375</v>
      </c>
      <c r="J48" s="1606">
        <f>IF(Klima&gt;1,(J36+AEBF2*Standardwerte!J42)*(1+(8.5-Thetaea)*0.08),)</f>
        <v>0</v>
      </c>
      <c r="K48" s="94"/>
      <c r="L48" s="60" t="s">
        <v>730</v>
      </c>
      <c r="M48" s="95"/>
      <c r="N48" s="95"/>
      <c r="O48" s="95"/>
      <c r="P48" s="95"/>
      <c r="Q48" s="96"/>
      <c r="R48" s="59"/>
      <c r="S48" s="59"/>
      <c r="T48" s="213" t="str">
        <f t="shared" si="1"/>
        <v>Erzeugung B</v>
      </c>
      <c r="U48" s="1228" t="s">
        <v>1824</v>
      </c>
      <c r="V48" s="1228" t="s">
        <v>1824</v>
      </c>
      <c r="W48" s="744">
        <v>75</v>
      </c>
      <c r="X48" s="745">
        <v>0.7</v>
      </c>
      <c r="Y48" s="840">
        <v>1</v>
      </c>
      <c r="Z48" s="88">
        <v>1</v>
      </c>
      <c r="AA48" s="77">
        <v>44</v>
      </c>
      <c r="AB48" s="77" t="b">
        <v>1</v>
      </c>
      <c r="AC48" s="77" t="b">
        <v>0</v>
      </c>
      <c r="AD48" s="77" t="b">
        <v>0</v>
      </c>
      <c r="AE48" s="68"/>
      <c r="AF48" s="67"/>
      <c r="AG48" s="68"/>
      <c r="AH48" s="183"/>
      <c r="AI48" s="68"/>
      <c r="AJ48" s="183"/>
      <c r="AK48" s="68"/>
      <c r="AL48" s="183"/>
      <c r="AM48" s="68"/>
      <c r="AN48" s="183"/>
      <c r="BB48" s="127">
        <v>13</v>
      </c>
      <c r="BC48" s="1232" t="s">
        <v>352</v>
      </c>
      <c r="BD48" s="127" t="s">
        <v>1396</v>
      </c>
      <c r="BE48" s="127" t="s">
        <v>1396</v>
      </c>
      <c r="BF48" s="184"/>
      <c r="BL48" s="962" t="s">
        <v>1386</v>
      </c>
      <c r="BM48" s="964" t="s">
        <v>1772</v>
      </c>
      <c r="BN48" s="968"/>
      <c r="BO48" s="213" t="b">
        <v>1</v>
      </c>
      <c r="BP48" s="84">
        <v>1.2</v>
      </c>
      <c r="BQ48" s="77">
        <v>40</v>
      </c>
      <c r="BR48" s="77">
        <v>10</v>
      </c>
      <c r="BS48" s="1424">
        <v>1</v>
      </c>
      <c r="BT48" s="77">
        <v>0.6</v>
      </c>
      <c r="BU48" s="76">
        <v>0.7</v>
      </c>
      <c r="BW48" s="75" t="s">
        <v>1787</v>
      </c>
      <c r="BX48" s="74"/>
      <c r="BY48" s="74"/>
      <c r="BZ48" s="74"/>
      <c r="CA48" s="74"/>
      <c r="CB48" s="74"/>
      <c r="CC48" s="85"/>
    </row>
    <row r="49" spans="1:81" ht="15.6">
      <c r="B49" s="901" t="s">
        <v>1587</v>
      </c>
      <c r="I49" s="1599" t="s">
        <v>1376</v>
      </c>
      <c r="J49" s="1606">
        <f>IF(Klima&gt;1,(J37+AEBF3*Standardwerte!J43)*(1+(8.5-Thetaea)*0.08),)</f>
        <v>0</v>
      </c>
      <c r="K49" s="94"/>
      <c r="L49" s="97" t="s">
        <v>1164</v>
      </c>
      <c r="M49" s="98"/>
      <c r="N49" s="98"/>
      <c r="O49" s="98"/>
      <c r="P49" s="98"/>
      <c r="Q49" s="99"/>
      <c r="R49" s="59"/>
      <c r="S49" s="59"/>
      <c r="T49" s="213" t="str">
        <f t="shared" si="1"/>
        <v>Erzeugung C</v>
      </c>
      <c r="U49" s="213" t="s">
        <v>168</v>
      </c>
      <c r="V49" s="213" t="s">
        <v>168</v>
      </c>
      <c r="W49" s="929">
        <v>100</v>
      </c>
      <c r="X49" s="745">
        <v>2</v>
      </c>
      <c r="Y49" s="840">
        <v>1</v>
      </c>
      <c r="Z49" s="88">
        <v>1</v>
      </c>
      <c r="AA49" s="77">
        <v>45</v>
      </c>
      <c r="AB49" s="77" t="b">
        <v>0</v>
      </c>
      <c r="AC49" s="77" t="b">
        <v>0</v>
      </c>
      <c r="AD49" s="77" t="b">
        <v>0</v>
      </c>
      <c r="AE49" s="75"/>
      <c r="AF49" s="995" t="s">
        <v>27</v>
      </c>
      <c r="AG49" s="1910" t="b">
        <f>AND(IF(Kategorie1=13,FALSE,AND(OR(Standardlüftung1=2,NOT(Standardwerte!AG37)),Standardwerte!AG38)),NOT(AG50))</f>
        <v>0</v>
      </c>
      <c r="AH49" s="1911"/>
      <c r="AI49" s="1910" t="b">
        <f>AND(IF(Kategorie2=13,FALSE,AND(OR(Standardlüftung2=2,NOT(Standardwerte!AI37)),Standardwerte!AI38)),NOT(AI50))</f>
        <v>0</v>
      </c>
      <c r="AJ49" s="1911"/>
      <c r="AK49" s="1910" t="b">
        <f>AND(IF(Kategorie3=13,FALSE,AND(OR(Standardlüftung3=2,NOT(Standardwerte!AK37)),Standardwerte!AK38)),NOT(AK50))</f>
        <v>0</v>
      </c>
      <c r="AL49" s="1911"/>
      <c r="AM49" s="1910" t="b">
        <f>AND(IF(Kategorie4=13,FALSE,AND(OR(Standardlüftung4=2,NOT(Standardwerte!AM37)),Standardwerte!AM38)),NOT(AM50))</f>
        <v>0</v>
      </c>
      <c r="AN49" s="1911"/>
      <c r="AO49" s="1910" t="b">
        <f>OR(AG49:AM49)</f>
        <v>0</v>
      </c>
      <c r="AP49" s="1914"/>
      <c r="BL49" s="962" t="s">
        <v>1387</v>
      </c>
      <c r="BM49" s="964" t="s">
        <v>1773</v>
      </c>
      <c r="BN49" s="968"/>
      <c r="BO49" s="213" t="b">
        <v>1</v>
      </c>
      <c r="BP49" s="90">
        <v>1</v>
      </c>
      <c r="BQ49" s="77">
        <v>40</v>
      </c>
      <c r="BR49" s="77">
        <v>10</v>
      </c>
      <c r="BS49" s="1424">
        <v>1</v>
      </c>
      <c r="BT49" s="77">
        <v>0.6</v>
      </c>
      <c r="BU49" s="76">
        <v>0.7</v>
      </c>
      <c r="BW49" s="75" t="s">
        <v>1788</v>
      </c>
      <c r="BX49" s="74"/>
      <c r="BY49" s="74"/>
      <c r="BZ49" s="74"/>
      <c r="CA49" s="74"/>
      <c r="CB49" s="74"/>
      <c r="CC49" s="85"/>
    </row>
    <row r="50" spans="1:81">
      <c r="C50" s="290"/>
      <c r="I50" s="1601" t="s">
        <v>1377</v>
      </c>
      <c r="J50" s="1607">
        <f>IF(Klima&gt;1,(J38+AEBF4*Standardwerte!J44)*(1+(8.5-Thetaea)*0.08),)</f>
        <v>0</v>
      </c>
      <c r="K50" s="94"/>
      <c r="L50" s="101" t="s">
        <v>1165</v>
      </c>
      <c r="M50" s="58"/>
      <c r="N50" s="58"/>
      <c r="O50" s="102" t="s">
        <v>777</v>
      </c>
      <c r="P50" s="103">
        <f>P51</f>
        <v>0.1</v>
      </c>
      <c r="Q50" s="104" t="s">
        <v>778</v>
      </c>
      <c r="R50" s="59"/>
      <c r="S50" s="59"/>
      <c r="T50" s="213" t="str">
        <f>INDEX($V$6:$V$51,$AA50,1)</f>
        <v>Erzeugung D</v>
      </c>
      <c r="U50" s="213" t="s">
        <v>169</v>
      </c>
      <c r="V50" s="213" t="s">
        <v>169</v>
      </c>
      <c r="W50" s="929">
        <v>100</v>
      </c>
      <c r="X50" s="745">
        <v>2</v>
      </c>
      <c r="Y50" s="840"/>
      <c r="Z50" s="88">
        <v>1</v>
      </c>
      <c r="AA50" s="77">
        <v>46</v>
      </c>
      <c r="AB50" s="77" t="b">
        <v>0</v>
      </c>
      <c r="AC50" s="77" t="b">
        <v>0</v>
      </c>
      <c r="AD50" s="77" t="b">
        <v>0</v>
      </c>
      <c r="AE50" s="127"/>
      <c r="AF50" s="997" t="s">
        <v>28</v>
      </c>
      <c r="AG50" s="1922" t="b">
        <f>OR(AND(J118&gt;1,J118&lt;5),IF(Kategorie1=13,FALSE,NOT(Standardwerte!AG35)))</f>
        <v>0</v>
      </c>
      <c r="AH50" s="1923"/>
      <c r="AI50" s="1922" t="b">
        <f>OR(AND(K118&gt;1,K118&lt;5),IF(Kategorie2=13,FALSE,NOT(Standardwerte!AI35)))</f>
        <v>0</v>
      </c>
      <c r="AJ50" s="1923"/>
      <c r="AK50" s="1922" t="b">
        <f>OR(AND(L118&gt;1,L118&lt;5),IF(Kategorie3=13,FALSE,NOT(Standardwerte!AK35)))</f>
        <v>0</v>
      </c>
      <c r="AL50" s="1923"/>
      <c r="AM50" s="1922" t="b">
        <f>OR(AND(M118&gt;1,M118&lt;5),IF(Kategorie4=13,FALSE,NOT(Standardwerte!AM35)))</f>
        <v>0</v>
      </c>
      <c r="AN50" s="1923"/>
      <c r="AO50" s="1910" t="b">
        <f>OR(AG50:AM50)</f>
        <v>0</v>
      </c>
      <c r="AP50" s="1921"/>
      <c r="BL50" s="962" t="s">
        <v>1388</v>
      </c>
      <c r="BM50" s="964" t="s">
        <v>1145</v>
      </c>
      <c r="BN50" s="968"/>
      <c r="BO50" s="213" t="b">
        <v>1</v>
      </c>
      <c r="BP50" s="90">
        <v>1</v>
      </c>
      <c r="BQ50" s="77">
        <v>45</v>
      </c>
      <c r="BR50" s="77">
        <v>10</v>
      </c>
      <c r="BS50" s="1424">
        <v>1</v>
      </c>
      <c r="BT50" s="77">
        <v>0.6</v>
      </c>
      <c r="BU50" s="76">
        <v>0.7</v>
      </c>
      <c r="BW50" s="1220" t="s">
        <v>1833</v>
      </c>
      <c r="BX50" s="74"/>
      <c r="BY50" s="74"/>
      <c r="BZ50" s="74"/>
      <c r="CA50" s="74"/>
      <c r="CB50" s="74"/>
      <c r="CC50" s="85"/>
    </row>
    <row r="51" spans="1:81">
      <c r="B51" s="86" t="s">
        <v>1588</v>
      </c>
      <c r="C51" s="1584">
        <f>Input!C110</f>
        <v>0</v>
      </c>
      <c r="D51" s="109">
        <f>IF(Klima&gt;0,INDEX(B54:B189,Klima,1),)</f>
        <v>0</v>
      </c>
      <c r="E51" s="110">
        <f>IF(Klima&gt;0,INDEX(F54:F189,Klima,1),)</f>
        <v>0</v>
      </c>
      <c r="F51" s="111" t="s">
        <v>1589</v>
      </c>
      <c r="G51" s="112">
        <f>IF(Klima&gt;0,INDEX(G54:G189,Klima,1),)</f>
        <v>0</v>
      </c>
      <c r="I51" s="1608" t="s">
        <v>717</v>
      </c>
      <c r="J51" s="1609">
        <f>IF(EBF&gt;0,(J47*_EBF1+J48*_EBF2+J49*_EBF3+J50*_EBF4)/EBF,0)</f>
        <v>0</v>
      </c>
      <c r="L51" s="56" t="s">
        <v>1166</v>
      </c>
      <c r="M51" s="47"/>
      <c r="N51" s="47"/>
      <c r="O51" s="48" t="s">
        <v>455</v>
      </c>
      <c r="P51" s="105">
        <f>IF(OR(minergiea,minergiep),0.1,0.15)</f>
        <v>0.1</v>
      </c>
      <c r="Q51" s="106" t="s">
        <v>778</v>
      </c>
      <c r="R51" s="59"/>
      <c r="S51" s="59"/>
      <c r="T51" s="251" t="str">
        <f>INDEX($V$6:$V$51,$AA51,1)</f>
        <v>Riporto</v>
      </c>
      <c r="U51" s="251" t="s">
        <v>170</v>
      </c>
      <c r="V51" s="251" t="s">
        <v>170</v>
      </c>
      <c r="W51" s="1673">
        <v>100</v>
      </c>
      <c r="X51" s="747">
        <v>2</v>
      </c>
      <c r="Y51" s="842">
        <v>1</v>
      </c>
      <c r="Z51" s="173"/>
      <c r="AA51" s="81">
        <v>36</v>
      </c>
      <c r="AB51" s="81" t="b">
        <v>0</v>
      </c>
      <c r="AC51" s="81" t="b">
        <v>0</v>
      </c>
      <c r="AD51" s="81" t="b">
        <v>0</v>
      </c>
      <c r="BL51" s="962" t="s">
        <v>1389</v>
      </c>
      <c r="BM51" s="964" t="s">
        <v>662</v>
      </c>
      <c r="BN51" s="968"/>
      <c r="BO51" s="213" t="b">
        <v>1</v>
      </c>
      <c r="BP51" s="1629">
        <v>0.7</v>
      </c>
      <c r="BQ51" s="77">
        <v>15</v>
      </c>
      <c r="BR51" s="77">
        <v>10</v>
      </c>
      <c r="BS51" s="1424">
        <v>1</v>
      </c>
      <c r="BT51" s="77">
        <v>0.6</v>
      </c>
      <c r="BU51" s="76">
        <v>0.7</v>
      </c>
      <c r="BW51" s="75"/>
      <c r="BX51" s="74"/>
      <c r="BY51" s="74"/>
      <c r="BZ51" s="74"/>
      <c r="CA51" s="74"/>
      <c r="CB51" s="74"/>
      <c r="CC51" s="85"/>
    </row>
    <row r="52" spans="1:81">
      <c r="A52" s="78" t="s">
        <v>1396</v>
      </c>
      <c r="B52" s="113" t="s">
        <v>1590</v>
      </c>
      <c r="C52" s="114" t="s">
        <v>1591</v>
      </c>
      <c r="D52" s="114" t="s">
        <v>1592</v>
      </c>
      <c r="E52" s="115" t="s">
        <v>1593</v>
      </c>
      <c r="F52" s="114" t="s">
        <v>1594</v>
      </c>
      <c r="G52" s="116" t="s">
        <v>1471</v>
      </c>
      <c r="I52" s="1604"/>
      <c r="J52" s="1604"/>
      <c r="R52" s="59"/>
      <c r="S52" s="59"/>
      <c r="T52" s="59"/>
      <c r="AD52" s="74"/>
      <c r="BL52" s="962" t="s">
        <v>1390</v>
      </c>
      <c r="BM52" s="964" t="s">
        <v>521</v>
      </c>
      <c r="BN52" s="968"/>
      <c r="BO52" s="213" t="b">
        <v>1</v>
      </c>
      <c r="BP52" s="1629">
        <v>0.3</v>
      </c>
      <c r="BQ52" s="77">
        <v>15</v>
      </c>
      <c r="BR52" s="77">
        <v>10</v>
      </c>
      <c r="BS52" s="1424">
        <v>1</v>
      </c>
      <c r="BT52" s="77">
        <v>0.6</v>
      </c>
      <c r="BU52" s="76">
        <v>0.7</v>
      </c>
      <c r="BW52" s="75"/>
      <c r="BX52" s="74"/>
      <c r="BY52" s="74"/>
      <c r="BZ52" s="74"/>
      <c r="CA52" s="74"/>
      <c r="CB52" s="74"/>
      <c r="CC52" s="85"/>
    </row>
    <row r="53" spans="1:81">
      <c r="A53" s="78"/>
      <c r="B53" s="118"/>
      <c r="C53" s="114"/>
      <c r="D53" s="114" t="s">
        <v>1595</v>
      </c>
      <c r="E53" s="115" t="s">
        <v>1473</v>
      </c>
      <c r="F53" s="114" t="s">
        <v>1589</v>
      </c>
      <c r="G53" s="119" t="s">
        <v>1596</v>
      </c>
      <c r="I53" s="1597" t="s">
        <v>1460</v>
      </c>
      <c r="J53" s="1598"/>
      <c r="R53" s="59"/>
      <c r="S53" s="59"/>
      <c r="T53" s="59"/>
      <c r="AD53" s="74"/>
      <c r="BL53" s="962" t="s">
        <v>1391</v>
      </c>
      <c r="BM53" s="964" t="s">
        <v>522</v>
      </c>
      <c r="BN53" s="968"/>
      <c r="BO53" s="213" t="b">
        <v>1</v>
      </c>
      <c r="BP53" s="84">
        <v>0.7</v>
      </c>
      <c r="BQ53" s="77">
        <v>20</v>
      </c>
      <c r="BR53" s="77">
        <v>10</v>
      </c>
      <c r="BS53" s="1424">
        <v>1</v>
      </c>
      <c r="BT53" s="77">
        <v>0.6</v>
      </c>
      <c r="BU53" s="76">
        <v>0.7</v>
      </c>
      <c r="BW53" s="75"/>
      <c r="BX53" s="74"/>
      <c r="BY53" s="74"/>
      <c r="BZ53" s="74"/>
      <c r="CA53" s="74"/>
      <c r="CB53" s="74"/>
      <c r="CC53" s="85"/>
    </row>
    <row r="54" spans="1:81">
      <c r="A54" s="78">
        <v>1</v>
      </c>
      <c r="B54" s="120" t="s">
        <v>1396</v>
      </c>
      <c r="C54" s="83" t="s">
        <v>1396</v>
      </c>
      <c r="D54" s="83" t="s">
        <v>1396</v>
      </c>
      <c r="E54" s="83" t="s">
        <v>1396</v>
      </c>
      <c r="F54" s="121"/>
      <c r="G54" s="122"/>
      <c r="I54" s="1599" t="s">
        <v>623</v>
      </c>
      <c r="J54" s="1600">
        <f>IF(Klima&gt;0,INDEX($E$7:$E$61,Klima,1)*IF(Neubau1=2,1,IF(Neubau1=3,2,0)),)</f>
        <v>0</v>
      </c>
      <c r="L54" s="86" t="s">
        <v>1167</v>
      </c>
      <c r="M54" s="882"/>
      <c r="N54" s="882"/>
      <c r="O54" s="882"/>
      <c r="P54" s="882"/>
      <c r="Q54" s="87"/>
      <c r="R54" s="881"/>
      <c r="S54" s="599"/>
      <c r="T54" s="621" t="s">
        <v>1012</v>
      </c>
      <c r="U54" s="1924" t="s">
        <v>640</v>
      </c>
      <c r="V54" s="1925"/>
      <c r="W54" s="1526" t="s">
        <v>1173</v>
      </c>
      <c r="X54" s="1526" t="s">
        <v>173</v>
      </c>
      <c r="Y54" s="1526" t="s">
        <v>176</v>
      </c>
      <c r="Z54" s="1526" t="s">
        <v>177</v>
      </c>
      <c r="AA54" s="1678" t="s">
        <v>178</v>
      </c>
      <c r="AB54" s="1679" t="s">
        <v>179</v>
      </c>
      <c r="AC54" s="1526" t="s">
        <v>175</v>
      </c>
      <c r="AD54" s="1526" t="s">
        <v>180</v>
      </c>
      <c r="AE54" s="1680" t="s">
        <v>181</v>
      </c>
      <c r="AF54" s="1526" t="s">
        <v>927</v>
      </c>
      <c r="AG54" s="1690" t="s">
        <v>410</v>
      </c>
      <c r="AH54" s="1691"/>
      <c r="BL54" s="965" t="s">
        <v>1392</v>
      </c>
      <c r="BM54" s="966" t="s">
        <v>523</v>
      </c>
      <c r="BN54" s="971"/>
      <c r="BO54" s="251" t="b">
        <v>0</v>
      </c>
      <c r="BP54" s="100">
        <v>0.7</v>
      </c>
      <c r="BQ54" s="81"/>
      <c r="BR54" s="81"/>
      <c r="BS54" s="745"/>
      <c r="BT54" s="81"/>
      <c r="BU54" s="174"/>
      <c r="BW54" s="75"/>
      <c r="BX54" s="74"/>
      <c r="BY54" s="74"/>
      <c r="BZ54" s="74"/>
      <c r="CA54" s="74"/>
      <c r="CB54" s="74"/>
      <c r="CC54" s="85"/>
    </row>
    <row r="55" spans="1:81">
      <c r="A55" s="78">
        <v>2</v>
      </c>
      <c r="B55" s="123" t="s">
        <v>1597</v>
      </c>
      <c r="C55" s="124" t="s">
        <v>1661</v>
      </c>
      <c r="D55" s="124">
        <v>8</v>
      </c>
      <c r="E55" s="124">
        <v>0</v>
      </c>
      <c r="F55" s="124">
        <v>1320</v>
      </c>
      <c r="G55" s="125">
        <v>6.1</v>
      </c>
      <c r="I55" s="1599" t="s">
        <v>1375</v>
      </c>
      <c r="J55" s="1600">
        <f>IF(Klima&gt;0,INDEX($E$7:$E$61,Klima,1)*IF(Neubau2=2,1,IF(Neubau2=3,2,0)),)</f>
        <v>0</v>
      </c>
      <c r="K55" s="59">
        <v>1</v>
      </c>
      <c r="L55" s="609" t="s">
        <v>1168</v>
      </c>
      <c r="M55" s="610"/>
      <c r="N55" s="1223" t="s">
        <v>1755</v>
      </c>
      <c r="O55" s="67"/>
      <c r="P55" s="67"/>
      <c r="Q55" s="183"/>
      <c r="R55" s="74"/>
      <c r="S55" s="879" t="s">
        <v>1008</v>
      </c>
      <c r="T55" s="142">
        <v>1</v>
      </c>
      <c r="U55" s="175" t="s">
        <v>641</v>
      </c>
      <c r="V55" s="1527">
        <f>INDEX($AA$6:$AA$51,$W55,1)</f>
        <v>1</v>
      </c>
      <c r="W55" s="142">
        <v>1</v>
      </c>
      <c r="X55" s="142" t="b">
        <f>INDEX($AB$6:$AB$51,$V55,1)</f>
        <v>0</v>
      </c>
      <c r="Y55" s="72">
        <f>IF(AND(DeckungsgradHeizung&gt;99,X55),Produzione!K18/100,0)</f>
        <v>0</v>
      </c>
      <c r="Z55" s="72">
        <f>IF(AND(DeckungsgradWW&gt;99,X55),Produzione!L18/100,0)</f>
        <v>0</v>
      </c>
      <c r="AA55" s="1681">
        <f>IF(Verifica!$J$32&gt;0,(Verifica!$J$14*Y55+qw*Z55)/Verifica!$J$32,0)</f>
        <v>0</v>
      </c>
      <c r="AB55" s="1682" t="b">
        <f>INDEX($AC$6:$AC$51,$V55,1)</f>
        <v>0</v>
      </c>
      <c r="AC55" s="1675">
        <f>IF(AND(DeckungsgradHeizung&gt;99,AB55),Produzione!K18/100,0)</f>
        <v>0</v>
      </c>
      <c r="AD55" s="1681">
        <f>IF(AND(DeckungsgradWW&gt;99,AB55),Produzione!L18/100,0)</f>
        <v>0</v>
      </c>
      <c r="AE55" s="1675">
        <f>IF(Verifica!$J$32&gt;0,(Verifica!$J$14*AC55+qw*AD55)/Verifica!$J$32,0)</f>
        <v>0</v>
      </c>
      <c r="AF55" s="1082" t="b">
        <f>INDEX($AD$6:$AD$51,$V55,1)</f>
        <v>0</v>
      </c>
      <c r="AG55" s="1692">
        <f>IF(AF55,IF(Produzione!I16&lt;&gt;"",-Produzione!I16,0),0)</f>
        <v>0</v>
      </c>
      <c r="AH55" s="183"/>
      <c r="BK55" s="164" t="s">
        <v>841</v>
      </c>
      <c r="BL55" s="1035"/>
      <c r="BM55" s="1037" t="str">
        <f>IF(Kategorie1&gt;0,INDEX(BM42:BM54,Kategorie1,1),)</f>
        <v xml:space="preserve"> </v>
      </c>
      <c r="BN55" s="1036"/>
      <c r="BO55" s="1038" t="b">
        <f>IF(Kategorie1&gt;0,INDEX(BO42:BO54,Kategorie1,1),TRUE)</f>
        <v>1</v>
      </c>
      <c r="BP55" s="1038">
        <f>IF(Kategorie1&gt;0,INDEX($BP$42:$BP$54,Kategorie1,1),)</f>
        <v>0</v>
      </c>
      <c r="BQ55" s="1038">
        <f>IF(Kategorie1&gt;0,INDEX($BQ$42:$BQ$54,Kategorie1,1),)</f>
        <v>0</v>
      </c>
      <c r="BR55" s="1038">
        <f>IF(Kategorie1&gt;0,INDEX($BR$42:$BR$54,Kategorie1,1),)</f>
        <v>0</v>
      </c>
      <c r="BS55" s="1068">
        <f>IF(Kategorie1&gt;0,INDEX($BS$42:$BS$54,Kategorie1,1),)</f>
        <v>0</v>
      </c>
      <c r="BT55" s="1038">
        <f>IF(Kategorie1&gt;0,INDEX($BT$42:$BT$54,Kategorie1,1),)</f>
        <v>0</v>
      </c>
      <c r="BU55" s="1038">
        <f>IF(Kategorie1&gt;0,INDEX($BU$42:$BU$54,Kategorie1,1),)</f>
        <v>0</v>
      </c>
      <c r="BW55" s="127"/>
      <c r="BX55" s="92"/>
      <c r="BY55" s="92"/>
      <c r="BZ55" s="92"/>
      <c r="CA55" s="92"/>
      <c r="CB55" s="92"/>
      <c r="CC55" s="184"/>
    </row>
    <row r="56" spans="1:81">
      <c r="A56" s="78">
        <v>3</v>
      </c>
      <c r="B56" s="123" t="s">
        <v>1598</v>
      </c>
      <c r="C56" s="124" t="s">
        <v>1334</v>
      </c>
      <c r="D56" s="124">
        <v>8</v>
      </c>
      <c r="E56" s="124">
        <v>0</v>
      </c>
      <c r="F56" s="124">
        <v>381</v>
      </c>
      <c r="G56" s="125">
        <v>10.1</v>
      </c>
      <c r="I56" s="1599" t="s">
        <v>1376</v>
      </c>
      <c r="J56" s="1600">
        <f>IF(Klima&gt;0,INDEX($E$7:$E$61,Klima,1)*IF(Neubau3=2,1,IF(Neubau3=3,2,0)),)</f>
        <v>0</v>
      </c>
      <c r="K56" s="59">
        <v>2</v>
      </c>
      <c r="L56" s="611" t="s">
        <v>1169</v>
      </c>
      <c r="M56" s="612"/>
      <c r="N56" s="612" t="s">
        <v>1754</v>
      </c>
      <c r="O56" s="74"/>
      <c r="P56" s="74"/>
      <c r="Q56" s="85"/>
      <c r="R56" s="74"/>
      <c r="S56" s="879" t="s">
        <v>1009</v>
      </c>
      <c r="T56" s="142">
        <v>1</v>
      </c>
      <c r="U56" s="175" t="s">
        <v>642</v>
      </c>
      <c r="V56" s="1528">
        <f>INDEX($AA$6:$AA$51,$W56,1)</f>
        <v>1</v>
      </c>
      <c r="W56" s="142">
        <v>1</v>
      </c>
      <c r="X56" s="142" t="b">
        <f>INDEX($AB$6:$AB$51,$V56,1)</f>
        <v>0</v>
      </c>
      <c r="Y56" s="77">
        <f>IF(AND(DeckungsgradHeizung&gt;99,X56),Produzione!K32/100,0)</f>
        <v>0</v>
      </c>
      <c r="Z56" s="77">
        <f>IF(AND(DeckungsgradWW&gt;99,X56),Produzione!L32/100,0)</f>
        <v>0</v>
      </c>
      <c r="AA56" s="1683">
        <f>IF(Verifica!$J$32&gt;0,(Verifica!$J$14*Y56+qw*Z56)/Verifica!$J$32,0)</f>
        <v>0</v>
      </c>
      <c r="AB56" s="1682" t="b">
        <f>INDEX($AC$6:$AC$51,$V56,1)</f>
        <v>0</v>
      </c>
      <c r="AC56" s="1676">
        <f>IF(AND(DeckungsgradHeizung&gt;99,AB56),Produzione!K32/100,0)</f>
        <v>0</v>
      </c>
      <c r="AD56" s="1683">
        <f>IF(AND(DeckungsgradWW&gt;99,AB56),Produzione!L32/100,0)</f>
        <v>0</v>
      </c>
      <c r="AE56" s="1676">
        <f>IF(Verifica!$J$32&gt;0,(Verifica!$J$14*AC56+qw*AD56)/Verifica!$J$32,0)</f>
        <v>0</v>
      </c>
      <c r="AF56" s="1082" t="b">
        <f>INDEX($AD$6:$AD$51,$V56,1)</f>
        <v>0</v>
      </c>
      <c r="AG56" s="1693">
        <f>IF(AF56,IF(Produzione!I30&lt;&gt;"",-Produzione!I30,0),0)</f>
        <v>0</v>
      </c>
      <c r="AH56" s="85"/>
      <c r="BK56" s="164" t="s">
        <v>842</v>
      </c>
      <c r="BL56" s="1035"/>
      <c r="BM56" s="1037" t="str">
        <f>IF(Kategorie2&gt;0,INDEX(BM42:BM54,Kategorie2,1),)</f>
        <v xml:space="preserve"> </v>
      </c>
      <c r="BN56" s="1036"/>
      <c r="BO56" s="1038" t="b">
        <f>IF(Kategorie2&gt;0,INDEX(BO42:BO54,Kategorie2,1),TRUE)</f>
        <v>1</v>
      </c>
      <c r="BP56" s="1038">
        <f>IF(Kategorie2&gt;0,INDEX($BP$42:$BP$54,Kategorie2,1),)</f>
        <v>0</v>
      </c>
      <c r="BQ56" s="1038">
        <f>IF(Kategorie2&gt;0,INDEX($BQ$42:$BQ$54,Kategorie2,1),)</f>
        <v>0</v>
      </c>
      <c r="BR56" s="1038">
        <f>IF(Kategorie2&gt;0,INDEX($BR$42:$BR$54,Kategorie2,1),)</f>
        <v>0</v>
      </c>
      <c r="BS56" s="1068">
        <f>IF(Kategorie2&gt;0,INDEX($BS$42:$BS$54,Kategorie2,1),)</f>
        <v>0</v>
      </c>
      <c r="BT56" s="1038">
        <f>IF(Kategorie2&gt;0,INDEX($BT$42:$BT$54,Kategorie2,1),)</f>
        <v>0</v>
      </c>
      <c r="BU56" s="1038">
        <f>IF(Kategorie2&gt;0,INDEX($BU$42:$BU$54,Kategorie2,1),)</f>
        <v>0</v>
      </c>
    </row>
    <row r="57" spans="1:81">
      <c r="A57" s="78">
        <v>4</v>
      </c>
      <c r="B57" s="123" t="s">
        <v>1337</v>
      </c>
      <c r="C57" s="124" t="s">
        <v>1338</v>
      </c>
      <c r="D57" s="124">
        <v>7</v>
      </c>
      <c r="E57" s="124">
        <v>0</v>
      </c>
      <c r="F57" s="124">
        <v>449</v>
      </c>
      <c r="G57" s="125">
        <v>9.9</v>
      </c>
      <c r="I57" s="1601" t="s">
        <v>1377</v>
      </c>
      <c r="J57" s="1602">
        <f>IF(Klima&gt;0,INDEX($E$7:$E$61,Klima,1)*IF(Neubau4=2,1,IF(Neubau4=3,2,0)),)</f>
        <v>0</v>
      </c>
      <c r="K57" s="59">
        <v>3</v>
      </c>
      <c r="L57" s="611" t="s">
        <v>291</v>
      </c>
      <c r="M57" s="612"/>
      <c r="N57" s="612" t="s">
        <v>1001</v>
      </c>
      <c r="O57" s="74"/>
      <c r="P57" s="74"/>
      <c r="Q57" s="85"/>
      <c r="R57" s="74"/>
      <c r="S57" s="879" t="s">
        <v>1010</v>
      </c>
      <c r="T57" s="142">
        <v>1</v>
      </c>
      <c r="U57" s="175" t="s">
        <v>643</v>
      </c>
      <c r="V57" s="1528">
        <f>INDEX($AA$6:$AA$51,$W57,1)</f>
        <v>1</v>
      </c>
      <c r="W57" s="142">
        <v>1</v>
      </c>
      <c r="X57" s="142" t="b">
        <f>INDEX($AB$6:$AB$51,$V57,1)</f>
        <v>0</v>
      </c>
      <c r="Y57" s="77">
        <f>IF(AND(DeckungsgradHeizung&gt;99,X57),Produzione!K46/100,0)</f>
        <v>0</v>
      </c>
      <c r="Z57" s="77">
        <f>IF(AND(DeckungsgradWW&gt;99,X57),Produzione!L46/100,0)</f>
        <v>0</v>
      </c>
      <c r="AA57" s="1683">
        <f>IF(Verifica!$J$32&gt;0,(Verifica!$J$14*Y57+qw*Z57)/Verifica!$J$32,0)</f>
        <v>0</v>
      </c>
      <c r="AB57" s="1682" t="b">
        <f>INDEX($AC$6:$AC$51,$V57,1)</f>
        <v>0</v>
      </c>
      <c r="AC57" s="1676">
        <f>IF(AND(DeckungsgradHeizung&gt;99,AB57),Produzione!K46/100,0)</f>
        <v>0</v>
      </c>
      <c r="AD57" s="1683">
        <f>IF(AND(DeckungsgradWW&gt;99,AB57),Produzione!L46/100,0)</f>
        <v>0</v>
      </c>
      <c r="AE57" s="1676">
        <f>IF(Verifica!$J$32&gt;0,(Verifica!$J$14*AC57+qw*AD57)/Verifica!$J$32,0)</f>
        <v>0</v>
      </c>
      <c r="AF57" s="1082" t="b">
        <f>INDEX($AD$6:$AD$51,$V57,1)</f>
        <v>0</v>
      </c>
      <c r="AG57" s="1693">
        <f>IF(AF57,IF(Produzione!I44&lt;&gt;"",-Produzione!I44,0),0)</f>
        <v>0</v>
      </c>
      <c r="AH57" s="85"/>
      <c r="BK57" s="164" t="s">
        <v>843</v>
      </c>
      <c r="BL57" s="1035"/>
      <c r="BM57" s="1037" t="str">
        <f>IF(Kategorie3&gt;0,INDEX(BM42:BM54,Kategorie3,1),)</f>
        <v xml:space="preserve"> </v>
      </c>
      <c r="BN57" s="1036"/>
      <c r="BO57" s="1038" t="b">
        <f>IF(Kategorie3&gt;0,INDEX(BO42:BO54,Kategorie3,1),TRUE)</f>
        <v>1</v>
      </c>
      <c r="BP57" s="1038">
        <f>IF(Kategorie3&gt;0,INDEX($BP$42:$BP$54,Kategorie3,1),)</f>
        <v>0</v>
      </c>
      <c r="BQ57" s="1038">
        <f>IF(Kategorie3&gt;0,INDEX($BQ$42:$BQ$54,Kategorie3,1),)</f>
        <v>0</v>
      </c>
      <c r="BR57" s="1038">
        <f>IF(Kategorie3&gt;0,INDEX($BR$42:$BR$54,Kategorie3,1),)</f>
        <v>0</v>
      </c>
      <c r="BS57" s="1068">
        <f>IF(Kategorie3&gt;0,INDEX($BS$42:$BS$54,Kategorie3,1),)</f>
        <v>0</v>
      </c>
      <c r="BT57" s="1038">
        <f>IF(Kategorie3&gt;0,INDEX($BT$42:$BT$54,Kategorie3,1),)</f>
        <v>0</v>
      </c>
      <c r="BU57" s="1038">
        <f>IF(Kategorie3&gt;0,INDEX($BU$42:$BU$54,Kategorie3,1),)</f>
        <v>0</v>
      </c>
    </row>
    <row r="58" spans="1:81">
      <c r="A58" s="78">
        <v>5</v>
      </c>
      <c r="B58" s="123" t="s">
        <v>1599</v>
      </c>
      <c r="C58" s="124" t="s">
        <v>779</v>
      </c>
      <c r="D58" s="124">
        <v>1</v>
      </c>
      <c r="E58" s="124">
        <v>0</v>
      </c>
      <c r="F58" s="124">
        <v>316</v>
      </c>
      <c r="G58" s="125">
        <v>10.5</v>
      </c>
      <c r="I58" s="1604"/>
      <c r="J58" s="1604"/>
      <c r="K58" s="59">
        <v>4</v>
      </c>
      <c r="L58" s="171" t="s">
        <v>1170</v>
      </c>
      <c r="M58" s="243"/>
      <c r="N58" s="1224" t="s">
        <v>1753</v>
      </c>
      <c r="O58" s="74"/>
      <c r="P58" s="74"/>
      <c r="Q58" s="85"/>
      <c r="R58" s="92"/>
      <c r="S58" s="880" t="s">
        <v>1011</v>
      </c>
      <c r="T58" s="143">
        <v>1</v>
      </c>
      <c r="U58" s="1543" t="s">
        <v>644</v>
      </c>
      <c r="V58" s="1529">
        <f>INDEX($AA$6:$AA$51,$W58,1)</f>
        <v>1</v>
      </c>
      <c r="W58" s="143">
        <v>1</v>
      </c>
      <c r="X58" s="1674" t="b">
        <f>INDEX($AB$6:$AB$51,$V58,1)</f>
        <v>0</v>
      </c>
      <c r="Y58" s="81">
        <f>IF(AND(DeckungsgradHeizung&gt;99,X58),Produzione!K60/100,0)</f>
        <v>0</v>
      </c>
      <c r="Z58" s="81">
        <f>IF(AND(DeckungsgradWW&gt;99,X58),Produzione!L60/100,0)</f>
        <v>0</v>
      </c>
      <c r="AA58" s="1684">
        <f>IF(Verifica!$J$32&gt;0,(Verifica!$J$14*Y58+qw*Z58)/Verifica!$J$32,0)</f>
        <v>0</v>
      </c>
      <c r="AB58" s="1685" t="b">
        <f>INDEX($AC$6:$AC$51,$V58,1)</f>
        <v>0</v>
      </c>
      <c r="AC58" s="1677">
        <f>IF(AND(DeckungsgradHeizung&gt;99,AB58),Produzione!K60/100,0)</f>
        <v>0</v>
      </c>
      <c r="AD58" s="1684">
        <f>IF(AND(DeckungsgradWW&gt;99,AB58),Produzione!L60/100,0)</f>
        <v>0</v>
      </c>
      <c r="AE58" s="1677">
        <f>IF(Verifica!$J$32&gt;0,(Verifica!$J$14*AC58+qw*AD58)/Verifica!$J$32,0)</f>
        <v>0</v>
      </c>
      <c r="AF58" s="1084" t="b">
        <f>INDEX($AD$6:$AD$51,$V58,1)</f>
        <v>0</v>
      </c>
      <c r="AG58" s="1694">
        <f>IF(AF58,IF(Produzione!I58&lt;&gt;"",-Produzione!I58,0),0)</f>
        <v>0</v>
      </c>
      <c r="AH58" s="184"/>
      <c r="BK58" s="164" t="s">
        <v>844</v>
      </c>
      <c r="BL58" s="1035"/>
      <c r="BM58" s="1037" t="str">
        <f>IF(Kategorie4&gt;0,INDEX(BM42:BM54,Kategorie4,1),)</f>
        <v xml:space="preserve"> </v>
      </c>
      <c r="BN58" s="1036"/>
      <c r="BO58" s="1038" t="b">
        <f>IF(Kategorie4&gt;0,INDEX(BO42:BO54,Kategorie4,1),TRUE)</f>
        <v>1</v>
      </c>
      <c r="BP58" s="1038">
        <f>IF(Kategorie4&gt;0,INDEX($BP$42:$BP$54,Kategorie3,1),)</f>
        <v>0</v>
      </c>
      <c r="BQ58" s="1038">
        <f>IF(Kategorie4&gt;0,INDEX($BQ$42:$BQ$54,Kategorie4,1),)</f>
        <v>0</v>
      </c>
      <c r="BR58" s="1038">
        <f>IF(Kategorie4&gt;0,INDEX($BR$42:$BR$54,Kategorie4,1),)</f>
        <v>0</v>
      </c>
      <c r="BS58" s="1068">
        <f>IF(Kategorie4&gt;0,INDEX($BS$42:$BS$54,Kategorie4,1),)</f>
        <v>0</v>
      </c>
      <c r="BT58" s="1038">
        <f>IF(Kategorie4&gt;0,INDEX($BT$42:$BT$54,Kategorie4,1),)</f>
        <v>0</v>
      </c>
      <c r="BU58" s="1038">
        <f>IF(Kategorie4&gt;0,INDEX($BU$42:$BU$54,Kategorie4,1),)</f>
        <v>0</v>
      </c>
    </row>
    <row r="59" spans="1:81">
      <c r="A59" s="78">
        <v>6</v>
      </c>
      <c r="B59" s="123" t="s">
        <v>1600</v>
      </c>
      <c r="C59" s="124" t="s">
        <v>1661</v>
      </c>
      <c r="D59" s="124">
        <v>4</v>
      </c>
      <c r="E59" s="124">
        <v>0</v>
      </c>
      <c r="F59" s="124">
        <v>565</v>
      </c>
      <c r="G59" s="125">
        <v>9.1</v>
      </c>
      <c r="I59" s="1597" t="s">
        <v>1461</v>
      </c>
      <c r="J59" s="1598"/>
      <c r="K59" s="59">
        <v>5</v>
      </c>
      <c r="L59" s="172" t="s">
        <v>1000</v>
      </c>
      <c r="M59" s="243"/>
      <c r="N59" s="243" t="s">
        <v>1002</v>
      </c>
      <c r="O59" s="74"/>
      <c r="P59" s="74"/>
      <c r="Q59" s="85"/>
      <c r="S59" s="290" t="s">
        <v>1396</v>
      </c>
      <c r="T59" s="290" t="s">
        <v>1396</v>
      </c>
      <c r="U59" s="290" t="s">
        <v>1396</v>
      </c>
      <c r="X59" s="59" t="b">
        <f>OR(X55:X58)</f>
        <v>0</v>
      </c>
      <c r="Z59" s="1686" t="s">
        <v>182</v>
      </c>
      <c r="AA59" s="1687">
        <f>SUM(AA55:AA58)</f>
        <v>0</v>
      </c>
      <c r="AD59" s="1686" t="s">
        <v>182</v>
      </c>
      <c r="AE59" s="1687">
        <f>SUM(AE55:AE58)</f>
        <v>0</v>
      </c>
      <c r="AF59" s="1686" t="s">
        <v>928</v>
      </c>
      <c r="AG59" s="1695">
        <f>SUM(AG55:AG58)</f>
        <v>0</v>
      </c>
      <c r="AH59" s="1036"/>
      <c r="BK59" s="164" t="s">
        <v>847</v>
      </c>
      <c r="BL59" s="229"/>
      <c r="BM59" s="228"/>
      <c r="BN59" s="1041"/>
      <c r="BO59" s="212"/>
      <c r="BP59" s="242" t="str">
        <f>IF(AND(Zonen=2,BP55=BP56),BP55&amp;" m/h",IF(AND(Zonen=3,BP55=BP56,BP55=BP57),BP55&amp;" m/h",IF(AND(Zonen=4,BP55=BP56,BP55=BP57,BP55=BP58),BP55&amp;" m/h","Min-P-Stand")))</f>
        <v>Min-P-Stand</v>
      </c>
      <c r="BQ59" s="1077">
        <f>IF(EBF&gt;0,(BQ55*_EBF1+BQ56*_EBF2+BQ57*_EBF3+BQ58*_EBF4)/EBF,0)</f>
        <v>0</v>
      </c>
      <c r="BR59" s="242">
        <f>IF(EBF&gt;0,(BR55*_EBF1+BR56*_EBF2+BR57*_EBF3+BR58*_EBF4)/EBF,0)</f>
        <v>0</v>
      </c>
      <c r="BS59" s="1077">
        <f>IF(EBF&gt;0,(BS55*_EBF1+BS56*_EBF2+BS57*_EBF3+BS58*_EBF4)/EBF,0)</f>
        <v>0</v>
      </c>
      <c r="BT59" s="1078">
        <f>IF(EBF&gt;0,(BT55*_EBF1+BT56*_EBF2+BT57*_EBF3+BT58*_EBF4)/EBF,0)</f>
        <v>0</v>
      </c>
      <c r="BU59" s="1078">
        <f>IF(EBF&gt;0,(BU55*_EBF1+BU56*_EBF2+BU57*_EBF3+BU58*_EBF4)/EBF,0)</f>
        <v>0</v>
      </c>
    </row>
    <row r="60" spans="1:81">
      <c r="A60" s="78">
        <v>7</v>
      </c>
      <c r="B60" s="123" t="s">
        <v>1601</v>
      </c>
      <c r="C60" s="124" t="s">
        <v>1662</v>
      </c>
      <c r="D60" s="124">
        <v>4</v>
      </c>
      <c r="E60" s="124">
        <v>0</v>
      </c>
      <c r="F60" s="124">
        <v>387</v>
      </c>
      <c r="G60" s="125">
        <v>9.6999999999999993</v>
      </c>
      <c r="I60" s="1599" t="s">
        <v>623</v>
      </c>
      <c r="J60" s="1606">
        <f>IF(minergiea,J47*0.9/3.6,IF(minergiep,MAX(P97,J47*Primaeranf1/3.6),J47*Primaeranf1/3.6))</f>
        <v>0</v>
      </c>
      <c r="L60" s="883" t="s">
        <v>1003</v>
      </c>
      <c r="M60" s="68" t="str">
        <f>INDEX($L$55:$N$59,WRGtyp1,3)</f>
        <v>nessun RC</v>
      </c>
      <c r="N60" s="67"/>
      <c r="O60" s="67"/>
      <c r="P60" s="67"/>
      <c r="Q60" s="183"/>
      <c r="Z60" s="1686" t="s">
        <v>183</v>
      </c>
      <c r="AA60" s="1688">
        <f>0.95-AE59</f>
        <v>0.95</v>
      </c>
      <c r="AD60" s="1686" t="s">
        <v>183</v>
      </c>
      <c r="AE60" s="1038">
        <v>0.5</v>
      </c>
    </row>
    <row r="61" spans="1:81">
      <c r="A61" s="78">
        <v>8</v>
      </c>
      <c r="B61" s="123" t="s">
        <v>1602</v>
      </c>
      <c r="C61" s="124" t="s">
        <v>518</v>
      </c>
      <c r="D61" s="124">
        <v>9</v>
      </c>
      <c r="E61" s="124">
        <v>0</v>
      </c>
      <c r="F61" s="124">
        <v>555</v>
      </c>
      <c r="G61" s="125">
        <v>9.6</v>
      </c>
      <c r="I61" s="1599" t="s">
        <v>1375</v>
      </c>
      <c r="J61" s="1606">
        <f>IF(minergiea,J48*0.9/3.6,IF(minergiep,MAX(P98,J48*Primaeranf2/3.6),J48*Primaeranf2/3.6))</f>
        <v>0</v>
      </c>
      <c r="L61" s="883" t="s">
        <v>1004</v>
      </c>
      <c r="M61" s="171" t="str">
        <f>INDEX($L$55:$N$59,WRGtyp2,3)</f>
        <v>nessun RC</v>
      </c>
      <c r="N61" s="74"/>
      <c r="O61" s="74"/>
      <c r="P61" s="74"/>
      <c r="Q61" s="85"/>
      <c r="T61" s="59"/>
      <c r="U61" s="619" t="s">
        <v>645</v>
      </c>
      <c r="V61" s="620"/>
      <c r="W61" s="753"/>
      <c r="AD61" s="1686" t="s">
        <v>184</v>
      </c>
      <c r="AE61" s="1689" t="b">
        <f>IF(AND(AE59&gt;=AE60,AA59&gt;=AA60,X59=TRUE),TRUE,FALSE)</f>
        <v>0</v>
      </c>
    </row>
    <row r="62" spans="1:81">
      <c r="A62" s="78">
        <v>9</v>
      </c>
      <c r="B62" s="123" t="s">
        <v>519</v>
      </c>
      <c r="C62" s="124" t="s">
        <v>518</v>
      </c>
      <c r="D62" s="124">
        <v>9</v>
      </c>
      <c r="E62" s="124">
        <v>4</v>
      </c>
      <c r="F62" s="124">
        <v>1590</v>
      </c>
      <c r="G62" s="125">
        <v>3.6</v>
      </c>
      <c r="I62" s="1599" t="s">
        <v>1376</v>
      </c>
      <c r="J62" s="1606">
        <f>IF(minergiea,J49*0.9/3.6,IF(minergiep,MAX(P99,J49*Primaeranf3/3.6),J49*Primaeranf3/3.6))</f>
        <v>0</v>
      </c>
      <c r="L62" s="883" t="s">
        <v>1006</v>
      </c>
      <c r="M62" s="171" t="str">
        <f>INDEX($L$55:$N$59,WRGtyp3,3)</f>
        <v>nessun RC</v>
      </c>
      <c r="N62" s="74"/>
      <c r="O62" s="74"/>
      <c r="P62" s="74"/>
      <c r="Q62" s="85"/>
      <c r="T62" s="74"/>
      <c r="U62" s="594" t="s">
        <v>150</v>
      </c>
      <c r="V62" s="748" t="s">
        <v>646</v>
      </c>
      <c r="W62" s="749"/>
      <c r="BL62" s="1097" t="s">
        <v>560</v>
      </c>
      <c r="BM62" s="1403"/>
      <c r="BN62" s="1403"/>
      <c r="BO62" s="1404"/>
    </row>
    <row r="63" spans="1:81">
      <c r="A63" s="78">
        <v>10</v>
      </c>
      <c r="B63" s="123" t="s">
        <v>520</v>
      </c>
      <c r="C63" s="124" t="s">
        <v>518</v>
      </c>
      <c r="D63" s="124">
        <v>9</v>
      </c>
      <c r="E63" s="124">
        <v>0</v>
      </c>
      <c r="F63" s="124">
        <v>1190</v>
      </c>
      <c r="G63" s="125">
        <v>6.7</v>
      </c>
      <c r="I63" s="1601" t="s">
        <v>1377</v>
      </c>
      <c r="J63" s="1606">
        <f>IF(minergiea,J50*0.9/3.6,IF(minergiep,MAX(P100,J50*Primaeranf4/3.6),J50*Primaeranf4/3.6))</f>
        <v>0</v>
      </c>
      <c r="L63" s="884" t="s">
        <v>1007</v>
      </c>
      <c r="M63" s="172" t="str">
        <f>INDEX($L$55:$N$59,WRGtyp4,3)</f>
        <v>nessun RC</v>
      </c>
      <c r="N63" s="92"/>
      <c r="O63" s="92"/>
      <c r="P63" s="92"/>
      <c r="Q63" s="184"/>
      <c r="T63" s="74">
        <v>1</v>
      </c>
      <c r="U63" s="171" t="str">
        <f>INDEX($U$6:$U$51,_typ1,1)</f>
        <v xml:space="preserve">  </v>
      </c>
      <c r="V63" s="916" t="str">
        <f>INDEX($V$6:$V$51,_typ1,1)</f>
        <v xml:space="preserve">  </v>
      </c>
      <c r="W63" s="76"/>
      <c r="BL63" s="212" t="b">
        <f>IF(minergiep,FALSE,TRUE)</f>
        <v>1</v>
      </c>
    </row>
    <row r="64" spans="1:81">
      <c r="A64" s="78">
        <v>11</v>
      </c>
      <c r="B64" s="123" t="s">
        <v>1339</v>
      </c>
      <c r="C64" s="124" t="s">
        <v>1364</v>
      </c>
      <c r="D64" s="124">
        <v>7</v>
      </c>
      <c r="E64" s="124">
        <v>2</v>
      </c>
      <c r="F64" s="124">
        <v>1035</v>
      </c>
      <c r="G64" s="125">
        <v>6.4</v>
      </c>
      <c r="I64" s="1608" t="s">
        <v>717</v>
      </c>
      <c r="J64" s="1609">
        <f>IF(AND(EBF&gt;0,(Primaer1*Dati!E15+Primaer2*Dati!F15+Primaer3*Dati!G15+Primaer4*Dati!H15)&gt;0),(Primaer1*J60*Dati!E15+Primaer2*J61*Dati!F15+Primaer3*J62*Dati!G15+Primaer4*J63*Dati!H15)/(Primaer1*Dati!E15+Primaer2*Dati!F15+Primaer3*Dati!G15+Primaer4*Dati!H15),0)</f>
        <v>0</v>
      </c>
      <c r="T64" s="74">
        <v>2</v>
      </c>
      <c r="U64" s="171" t="str">
        <f>INDEX($U$6:$U$51,_typ2,1)</f>
        <v xml:space="preserve">  </v>
      </c>
      <c r="V64" s="916" t="str">
        <f>INDEX($V$6:$V$51,_typ2,1)</f>
        <v xml:space="preserve">  </v>
      </c>
      <c r="W64" s="76"/>
    </row>
    <row r="65" spans="1:71">
      <c r="A65" s="78">
        <v>12</v>
      </c>
      <c r="B65" s="123" t="s">
        <v>1603</v>
      </c>
      <c r="C65" s="124" t="s">
        <v>1333</v>
      </c>
      <c r="D65" s="124">
        <v>5</v>
      </c>
      <c r="E65" s="124">
        <v>0</v>
      </c>
      <c r="F65" s="124">
        <v>420</v>
      </c>
      <c r="G65" s="125">
        <v>10.7</v>
      </c>
      <c r="I65" s="1604"/>
      <c r="J65" s="1604"/>
      <c r="T65" s="74">
        <v>3</v>
      </c>
      <c r="U65" s="171" t="str">
        <f>INDEX($U$6:$U$51,_typ3,1)</f>
        <v xml:space="preserve">  </v>
      </c>
      <c r="V65" s="916" t="str">
        <f>INDEX($V$6:$V$51,_typ3,1)</f>
        <v xml:space="preserve">  </v>
      </c>
      <c r="W65" s="76"/>
    </row>
    <row r="66" spans="1:71">
      <c r="A66" s="78">
        <v>13</v>
      </c>
      <c r="B66" s="123" t="s">
        <v>1604</v>
      </c>
      <c r="C66" s="124" t="s">
        <v>1336</v>
      </c>
      <c r="D66" s="124">
        <v>6</v>
      </c>
      <c r="E66" s="124">
        <v>0</v>
      </c>
      <c r="F66" s="124">
        <v>515</v>
      </c>
      <c r="G66" s="125">
        <v>8.8000000000000007</v>
      </c>
      <c r="I66" s="1597" t="s">
        <v>1462</v>
      </c>
      <c r="J66" s="1598"/>
      <c r="L66" s="60" t="s">
        <v>1013</v>
      </c>
      <c r="M66" s="107"/>
      <c r="N66" s="107"/>
      <c r="O66" s="108"/>
      <c r="P66" s="619"/>
      <c r="Q66" s="620"/>
      <c r="R66" s="620"/>
      <c r="S66" s="621" t="s">
        <v>1012</v>
      </c>
      <c r="T66" s="74">
        <v>4</v>
      </c>
      <c r="U66" s="917" t="str">
        <f>INDEX($U$6:$U$51,_typ4,1)</f>
        <v xml:space="preserve">  </v>
      </c>
      <c r="V66" s="918" t="str">
        <f>INDEX($V$6:$V$51,_typ4,1)</f>
        <v xml:space="preserve">  </v>
      </c>
      <c r="W66" s="174"/>
    </row>
    <row r="67" spans="1:71">
      <c r="A67" s="78">
        <v>14</v>
      </c>
      <c r="B67" s="123" t="s">
        <v>1605</v>
      </c>
      <c r="C67" s="124" t="s">
        <v>325</v>
      </c>
      <c r="D67" s="124">
        <v>12</v>
      </c>
      <c r="E67" s="124">
        <v>8</v>
      </c>
      <c r="F67" s="124">
        <v>2472</v>
      </c>
      <c r="G67" s="125">
        <v>-0.5</v>
      </c>
      <c r="I67" s="1599" t="s">
        <v>623</v>
      </c>
      <c r="J67" s="1600">
        <f>IF(minergiep,0,IF(Hoehe&gt;800,IF(F_s1=0,0,IF(F_s1&lt;=0.6,6,0)),0))</f>
        <v>0</v>
      </c>
      <c r="L67" s="68">
        <v>1</v>
      </c>
      <c r="M67" s="622" t="s">
        <v>475</v>
      </c>
      <c r="N67" s="1225" t="s">
        <v>1757</v>
      </c>
      <c r="O67" s="623"/>
      <c r="P67" s="171" t="s">
        <v>1016</v>
      </c>
      <c r="Q67" s="243"/>
      <c r="R67" s="243"/>
      <c r="S67" s="668">
        <v>1</v>
      </c>
      <c r="AL67" s="752"/>
      <c r="AM67" s="752"/>
      <c r="AN67" s="752"/>
      <c r="AO67" s="752"/>
    </row>
    <row r="68" spans="1:71">
      <c r="A68" s="78">
        <v>15</v>
      </c>
      <c r="B68" s="123" t="s">
        <v>1606</v>
      </c>
      <c r="C68" s="124" t="s">
        <v>1663</v>
      </c>
      <c r="D68" s="124">
        <v>3</v>
      </c>
      <c r="E68" s="124">
        <v>0</v>
      </c>
      <c r="F68" s="124">
        <v>440</v>
      </c>
      <c r="G68" s="125">
        <v>9.1999999999999993</v>
      </c>
      <c r="I68" s="1599" t="s">
        <v>1375</v>
      </c>
      <c r="J68" s="1600">
        <f>IF(minergiep,0,IF(Hoehe&gt;800,IF(F_s2=0,0,IF(F_s2&lt;=0.6,6,0)),0))</f>
        <v>0</v>
      </c>
      <c r="L68" s="588">
        <v>2</v>
      </c>
      <c r="M68" s="611" t="s">
        <v>292</v>
      </c>
      <c r="N68" s="612" t="s">
        <v>5</v>
      </c>
      <c r="O68" s="613"/>
      <c r="P68" s="171" t="s">
        <v>1017</v>
      </c>
      <c r="Q68" s="243"/>
      <c r="R68" s="243"/>
      <c r="S68" s="668">
        <v>1</v>
      </c>
    </row>
    <row r="69" spans="1:71" ht="15.6">
      <c r="A69" s="78">
        <v>16</v>
      </c>
      <c r="B69" s="123" t="s">
        <v>517</v>
      </c>
      <c r="C69" s="124" t="s">
        <v>1661</v>
      </c>
      <c r="D69" s="124">
        <v>8</v>
      </c>
      <c r="E69" s="124">
        <v>0</v>
      </c>
      <c r="F69" s="124">
        <v>580</v>
      </c>
      <c r="G69" s="125">
        <v>8.6999999999999993</v>
      </c>
      <c r="I69" s="1599" t="s">
        <v>1376</v>
      </c>
      <c r="J69" s="1600">
        <f>IF(minergiep,0,IF(Hoehe&gt;800,IF(F_s3=0,0,IF(F_s3&lt;=0.6,6,0)),0))</f>
        <v>0</v>
      </c>
      <c r="L69" s="588">
        <v>1</v>
      </c>
      <c r="M69" s="1226" t="s">
        <v>1014</v>
      </c>
      <c r="N69" s="1227" t="s">
        <v>1015</v>
      </c>
      <c r="O69" s="608"/>
      <c r="P69" s="171" t="s">
        <v>879</v>
      </c>
      <c r="Q69" s="243"/>
      <c r="R69" s="243"/>
      <c r="S69" s="668">
        <v>1</v>
      </c>
      <c r="BL69" s="901" t="s">
        <v>312</v>
      </c>
    </row>
    <row r="70" spans="1:71">
      <c r="A70" s="78">
        <v>17</v>
      </c>
      <c r="B70" s="123" t="s">
        <v>1627</v>
      </c>
      <c r="C70" s="124" t="s">
        <v>1660</v>
      </c>
      <c r="D70" s="124">
        <v>2</v>
      </c>
      <c r="E70" s="124">
        <v>0</v>
      </c>
      <c r="F70" s="124">
        <v>1019</v>
      </c>
      <c r="G70" s="125">
        <v>6.5</v>
      </c>
      <c r="I70" s="1601" t="s">
        <v>1377</v>
      </c>
      <c r="J70" s="1602">
        <f>IF(minergiep,0,IF(Hoehe&gt;800,IF(F_s4=0,0,IF(F_s4&lt;=0.6,6,0)),0))</f>
        <v>0</v>
      </c>
      <c r="L70" s="75"/>
      <c r="M70" s="171"/>
      <c r="N70" s="243"/>
      <c r="O70" s="608"/>
      <c r="P70" s="172" t="s">
        <v>880</v>
      </c>
      <c r="Q70" s="606"/>
      <c r="R70" s="606"/>
      <c r="S70" s="669">
        <v>1</v>
      </c>
    </row>
    <row r="71" spans="1:71" ht="13.8" thickBot="1">
      <c r="A71" s="78">
        <v>18</v>
      </c>
      <c r="B71" s="123" t="s">
        <v>1628</v>
      </c>
      <c r="C71" s="124" t="s">
        <v>1334</v>
      </c>
      <c r="D71" s="124">
        <v>2</v>
      </c>
      <c r="E71" s="124">
        <v>0</v>
      </c>
      <c r="F71" s="124">
        <v>1202</v>
      </c>
      <c r="G71" s="125">
        <v>6</v>
      </c>
      <c r="I71" s="1608" t="s">
        <v>717</v>
      </c>
      <c r="J71" s="1609">
        <f>IF(EBF&gt;0,(J67*_EBF1+J68*_EBF2+J69*_EBF3+J70*_EBF4)/EBF,0)</f>
        <v>0</v>
      </c>
      <c r="L71" s="596"/>
      <c r="M71" s="614"/>
      <c r="N71" s="615"/>
      <c r="O71" s="616"/>
      <c r="R71" s="59"/>
      <c r="S71" s="59"/>
      <c r="BL71" s="86" t="s">
        <v>313</v>
      </c>
      <c r="BM71" s="109"/>
      <c r="BN71" s="900" t="s">
        <v>314</v>
      </c>
      <c r="BO71" s="900" t="s">
        <v>315</v>
      </c>
      <c r="BP71" s="900" t="s">
        <v>316</v>
      </c>
      <c r="BQ71" s="1562" t="s">
        <v>317</v>
      </c>
      <c r="BR71" s="1562" t="s">
        <v>318</v>
      </c>
      <c r="BS71" s="1562" t="s">
        <v>319</v>
      </c>
    </row>
    <row r="72" spans="1:71">
      <c r="A72" s="78">
        <v>19</v>
      </c>
      <c r="B72" s="123" t="s">
        <v>1282</v>
      </c>
      <c r="C72" s="124" t="s">
        <v>1281</v>
      </c>
      <c r="D72" s="124">
        <v>12</v>
      </c>
      <c r="E72" s="124">
        <v>0</v>
      </c>
      <c r="F72" s="124">
        <v>366</v>
      </c>
      <c r="G72" s="125">
        <v>12.3</v>
      </c>
      <c r="I72" s="1604"/>
      <c r="J72" s="1604"/>
      <c r="L72" s="617" t="s">
        <v>1003</v>
      </c>
      <c r="M72" s="171" t="str">
        <f>INDEX($M$67:$O$71,ACDC1,2)</f>
        <v>altern.(AC)</v>
      </c>
      <c r="N72" s="243"/>
      <c r="O72" s="608"/>
      <c r="R72" s="59"/>
      <c r="S72" s="59"/>
      <c r="BL72" s="229" t="s">
        <v>320</v>
      </c>
      <c r="BM72" s="228"/>
      <c r="BN72" s="242">
        <f>F_s1</f>
        <v>0</v>
      </c>
      <c r="BO72" s="242">
        <f>F_s2</f>
        <v>0</v>
      </c>
      <c r="BP72" s="242">
        <f>F_s3</f>
        <v>0</v>
      </c>
      <c r="BQ72" s="1427">
        <f>F_s4</f>
        <v>0</v>
      </c>
      <c r="BR72" s="1078">
        <f>IF(EBF&gt;0,(BN72*_EBF1+BO72*_EBF2+BP72*_EBF3+BQ72*_EBF4)/EBF,0)</f>
        <v>0</v>
      </c>
      <c r="BS72" s="121"/>
    </row>
    <row r="73" spans="1:71">
      <c r="A73" s="78">
        <v>20</v>
      </c>
      <c r="B73" s="123" t="s">
        <v>453</v>
      </c>
      <c r="C73" s="124" t="s">
        <v>1281</v>
      </c>
      <c r="D73" s="124">
        <v>12</v>
      </c>
      <c r="E73" s="124">
        <v>0</v>
      </c>
      <c r="F73" s="124">
        <v>273</v>
      </c>
      <c r="G73" s="125">
        <v>12.4</v>
      </c>
      <c r="I73" s="1597" t="s">
        <v>803</v>
      </c>
      <c r="J73" s="1598"/>
      <c r="L73" s="617" t="s">
        <v>1004</v>
      </c>
      <c r="M73" s="171" t="str">
        <f>INDEX($M$67:$O$71,ACDC2,2)</f>
        <v>altern.(AC)</v>
      </c>
      <c r="N73" s="243"/>
      <c r="O73" s="608"/>
      <c r="R73" s="59"/>
      <c r="S73" s="59"/>
      <c r="BL73" s="229" t="s">
        <v>929</v>
      </c>
      <c r="BM73" s="228"/>
      <c r="BN73" s="1078">
        <f>BN72/3.6</f>
        <v>0</v>
      </c>
      <c r="BO73" s="1078">
        <f>BO72/3.6</f>
        <v>0</v>
      </c>
      <c r="BP73" s="1078">
        <f>BP72/3.6</f>
        <v>0</v>
      </c>
      <c r="BQ73" s="1078">
        <f>BQ72/3.6</f>
        <v>0</v>
      </c>
      <c r="BR73" s="1696">
        <f>BR72/3.6</f>
        <v>0</v>
      </c>
      <c r="BS73" s="213"/>
    </row>
    <row r="74" spans="1:71">
      <c r="A74" s="78">
        <v>21</v>
      </c>
      <c r="B74" s="123" t="s">
        <v>1629</v>
      </c>
      <c r="C74" s="124" t="s">
        <v>1332</v>
      </c>
      <c r="D74" s="124">
        <v>7</v>
      </c>
      <c r="E74" s="124">
        <v>0</v>
      </c>
      <c r="F74" s="124">
        <v>456</v>
      </c>
      <c r="G74" s="125">
        <v>9.6999999999999993</v>
      </c>
      <c r="I74" s="1599" t="s">
        <v>623</v>
      </c>
      <c r="J74" s="1600">
        <f>IF(minergiep,BQ55-J107,IF(Neubau1&gt;1,INDEX($P$9:$Q$21,Kategorie1,Neubau1-1)+J67+J54-J107,0))</f>
        <v>0</v>
      </c>
      <c r="L74" s="617" t="s">
        <v>1006</v>
      </c>
      <c r="M74" s="171" t="str">
        <f>INDEX($M$67:$O$71,ACDC3,2)</f>
        <v>altern.(AC)</v>
      </c>
      <c r="N74" s="243"/>
      <c r="O74" s="608"/>
      <c r="R74" s="59"/>
      <c r="S74" s="59"/>
      <c r="BL74" s="68" t="s">
        <v>930</v>
      </c>
      <c r="BM74" s="183"/>
      <c r="BN74" s="1697">
        <f>AG55</f>
        <v>0</v>
      </c>
      <c r="BO74" s="1697">
        <f>AG56</f>
        <v>0</v>
      </c>
      <c r="BP74" s="1697">
        <f>AG57</f>
        <v>0</v>
      </c>
      <c r="BQ74" s="1697">
        <f>AG58</f>
        <v>0</v>
      </c>
      <c r="BR74" s="1078">
        <f>SUM(BN74:BQ74)</f>
        <v>0</v>
      </c>
      <c r="BS74" s="213"/>
    </row>
    <row r="75" spans="1:71">
      <c r="A75" s="78">
        <v>22</v>
      </c>
      <c r="B75" s="123" t="s">
        <v>1630</v>
      </c>
      <c r="C75" s="124" t="s">
        <v>1281</v>
      </c>
      <c r="D75" s="124">
        <v>12</v>
      </c>
      <c r="E75" s="124">
        <v>0</v>
      </c>
      <c r="F75" s="124">
        <v>197</v>
      </c>
      <c r="G75" s="125">
        <v>11.7</v>
      </c>
      <c r="I75" s="1599" t="s">
        <v>1375</v>
      </c>
      <c r="J75" s="1600">
        <f>IF(minergiep,BQ56-K107,IF(Neubau2&gt;1,INDEX($P$9:$Q$21,Kategorie2,Neubau2-1)+J68+J55-K107,0))</f>
        <v>0</v>
      </c>
      <c r="L75" s="618" t="s">
        <v>1007</v>
      </c>
      <c r="M75" s="172" t="str">
        <f>INDEX($M$67:$O$71,ACDC4,2)</f>
        <v>altern.(AC)</v>
      </c>
      <c r="N75" s="606"/>
      <c r="O75" s="607"/>
      <c r="R75" s="59"/>
      <c r="S75" s="59"/>
      <c r="BL75" s="229" t="s">
        <v>931</v>
      </c>
      <c r="BM75" s="228"/>
      <c r="BN75" s="228"/>
      <c r="BO75" s="228"/>
      <c r="BP75" s="228"/>
      <c r="BQ75" s="1041"/>
      <c r="BR75" s="1698">
        <f>MAX(Verifica!E36-MINERGIE_Wert,0)</f>
        <v>0</v>
      </c>
      <c r="BS75" s="213"/>
    </row>
    <row r="76" spans="1:71">
      <c r="A76" s="78">
        <v>23</v>
      </c>
      <c r="B76" s="123" t="s">
        <v>326</v>
      </c>
      <c r="C76" s="124" t="s">
        <v>325</v>
      </c>
      <c r="D76" s="124">
        <v>10</v>
      </c>
      <c r="E76" s="124">
        <v>0</v>
      </c>
      <c r="F76" s="124">
        <v>1508</v>
      </c>
      <c r="G76" s="125">
        <v>5.9</v>
      </c>
      <c r="I76" s="1599" t="s">
        <v>1376</v>
      </c>
      <c r="J76" s="1600">
        <f>IF(minergiep,BQ57-L107,IF(Neubau3&gt;1,INDEX($P$9:$Q$21,Kategorie3,Neubau3-1)+J69+J56-L107,0))</f>
        <v>0</v>
      </c>
      <c r="BL76" s="127" t="s">
        <v>932</v>
      </c>
      <c r="BM76" s="92"/>
      <c r="BN76" s="92"/>
      <c r="BO76" s="92"/>
      <c r="BP76" s="92"/>
      <c r="BQ76" s="184"/>
      <c r="BR76" s="1698">
        <f>IF(BR73-Grau_Grenz&gt;0,-MIN(BR73-Grau_Grenz,BR75),0)</f>
        <v>0</v>
      </c>
      <c r="BS76" s="251"/>
    </row>
    <row r="77" spans="1:71">
      <c r="A77" s="78">
        <v>24</v>
      </c>
      <c r="B77" s="123" t="s">
        <v>1335</v>
      </c>
      <c r="C77" s="124" t="s">
        <v>1660</v>
      </c>
      <c r="D77" s="124">
        <v>5</v>
      </c>
      <c r="E77" s="124">
        <v>0</v>
      </c>
      <c r="F77" s="124">
        <v>485</v>
      </c>
      <c r="G77" s="125">
        <v>10.3</v>
      </c>
      <c r="I77" s="1601" t="s">
        <v>1377</v>
      </c>
      <c r="J77" s="1600">
        <f>IF(minergiep,BQ58-M107,IF(Neubau4&gt;1,INDEX($P$9:$Q$21,Kategorie4,Neubau4-1)+J70+J57-M107,0))</f>
        <v>0</v>
      </c>
      <c r="BL77" s="229" t="s">
        <v>933</v>
      </c>
      <c r="BM77" s="228"/>
      <c r="BN77" s="228"/>
      <c r="BO77" s="228"/>
      <c r="BP77" s="228"/>
      <c r="BQ77" s="1041"/>
      <c r="BR77" s="1696">
        <f>BR73+BR76</f>
        <v>0</v>
      </c>
      <c r="BS77" s="1038">
        <v>50</v>
      </c>
    </row>
    <row r="78" spans="1:71">
      <c r="A78" s="78">
        <v>25</v>
      </c>
      <c r="B78" s="123" t="s">
        <v>1631</v>
      </c>
      <c r="C78" s="124" t="s">
        <v>1334</v>
      </c>
      <c r="D78" s="124">
        <v>5</v>
      </c>
      <c r="E78" s="124">
        <v>0</v>
      </c>
      <c r="F78" s="124">
        <v>490</v>
      </c>
      <c r="G78" s="125">
        <v>9.4</v>
      </c>
      <c r="I78" s="1608" t="s">
        <v>717</v>
      </c>
      <c r="J78" s="1609">
        <f>IF(EBF&gt;0,(J74*_EBF1+J75*_EBF2+J76*_EBF3+J77*_EBF4)/EBF,0)</f>
        <v>0</v>
      </c>
      <c r="T78" s="126"/>
      <c r="U78" s="126"/>
      <c r="V78" s="126"/>
    </row>
    <row r="79" spans="1:71">
      <c r="A79" s="78">
        <v>26</v>
      </c>
      <c r="B79" s="123" t="s">
        <v>1632</v>
      </c>
      <c r="C79" s="124" t="s">
        <v>1281</v>
      </c>
      <c r="D79" s="124">
        <v>12</v>
      </c>
      <c r="E79" s="124">
        <v>0</v>
      </c>
      <c r="F79" s="124">
        <v>1007</v>
      </c>
      <c r="G79" s="125">
        <v>7.8</v>
      </c>
      <c r="T79" s="126"/>
      <c r="U79" s="126"/>
      <c r="V79" s="126"/>
    </row>
    <row r="80" spans="1:71">
      <c r="A80" s="78">
        <v>27</v>
      </c>
      <c r="B80" s="123" t="s">
        <v>1633</v>
      </c>
      <c r="C80" s="124" t="s">
        <v>1334</v>
      </c>
      <c r="D80" s="124">
        <v>5</v>
      </c>
      <c r="E80" s="124">
        <v>0</v>
      </c>
      <c r="F80" s="124">
        <v>461</v>
      </c>
      <c r="G80" s="125">
        <v>10.9</v>
      </c>
      <c r="T80" s="126"/>
      <c r="U80" s="126"/>
      <c r="V80" s="126"/>
    </row>
    <row r="81" spans="1:24" ht="15.6">
      <c r="A81" s="78">
        <v>28</v>
      </c>
      <c r="B81" s="123" t="s">
        <v>454</v>
      </c>
      <c r="C81" s="124" t="s">
        <v>518</v>
      </c>
      <c r="D81" s="124">
        <v>12</v>
      </c>
      <c r="E81" s="124">
        <v>0</v>
      </c>
      <c r="F81" s="124">
        <v>1078</v>
      </c>
      <c r="G81" s="125">
        <v>7</v>
      </c>
      <c r="I81" s="901" t="s">
        <v>936</v>
      </c>
      <c r="N81" s="1490" t="s">
        <v>498</v>
      </c>
      <c r="O81" s="126"/>
      <c r="P81" s="901"/>
      <c r="Q81" s="85"/>
      <c r="S81" s="901" t="s">
        <v>1474</v>
      </c>
      <c r="T81" s="126"/>
      <c r="U81" s="126"/>
      <c r="V81" s="126"/>
    </row>
    <row r="82" spans="1:24">
      <c r="A82" s="78">
        <v>29</v>
      </c>
      <c r="B82" s="123" t="s">
        <v>1634</v>
      </c>
      <c r="C82" s="124" t="s">
        <v>779</v>
      </c>
      <c r="D82" s="124">
        <v>1</v>
      </c>
      <c r="E82" s="124">
        <v>0</v>
      </c>
      <c r="F82" s="124">
        <v>610</v>
      </c>
      <c r="G82" s="125">
        <v>9.1</v>
      </c>
      <c r="I82" s="74" t="s">
        <v>937</v>
      </c>
      <c r="J82" s="74"/>
      <c r="K82" s="74"/>
      <c r="N82" s="1491" t="s">
        <v>1777</v>
      </c>
      <c r="O82" s="1492"/>
      <c r="P82" s="1493" t="s">
        <v>243</v>
      </c>
      <c r="Q82" s="1494" t="s">
        <v>1778</v>
      </c>
      <c r="T82" s="126"/>
      <c r="U82" s="126"/>
      <c r="V82" s="126"/>
    </row>
    <row r="83" spans="1:24">
      <c r="A83" s="78">
        <v>30</v>
      </c>
      <c r="B83" s="123" t="s">
        <v>1635</v>
      </c>
      <c r="C83" s="124" t="s">
        <v>518</v>
      </c>
      <c r="D83" s="124">
        <v>11</v>
      </c>
      <c r="E83" s="124">
        <v>8</v>
      </c>
      <c r="F83" s="124">
        <v>1705</v>
      </c>
      <c r="G83" s="125">
        <v>1.8</v>
      </c>
      <c r="I83" s="1322"/>
      <c r="J83" s="1323" t="s">
        <v>938</v>
      </c>
      <c r="K83" s="1324"/>
      <c r="L83" s="60" t="s">
        <v>939</v>
      </c>
      <c r="M83" s="96"/>
      <c r="N83" s="60" t="s">
        <v>499</v>
      </c>
      <c r="O83" s="1919" t="s">
        <v>244</v>
      </c>
      <c r="P83" s="1920"/>
      <c r="Q83" s="1032" t="s">
        <v>499</v>
      </c>
      <c r="R83" s="1032" t="s">
        <v>839</v>
      </c>
      <c r="S83" s="60" t="s">
        <v>1475</v>
      </c>
      <c r="T83" s="96"/>
      <c r="U83" s="60" t="s">
        <v>791</v>
      </c>
      <c r="V83" s="60" t="s">
        <v>792</v>
      </c>
      <c r="W83" s="60" t="s">
        <v>793</v>
      </c>
      <c r="X83" s="1032" t="s">
        <v>794</v>
      </c>
    </row>
    <row r="84" spans="1:24">
      <c r="A84" s="78">
        <v>31</v>
      </c>
      <c r="B84" s="123" t="s">
        <v>1636</v>
      </c>
      <c r="C84" s="124" t="s">
        <v>518</v>
      </c>
      <c r="D84" s="124">
        <v>12</v>
      </c>
      <c r="E84" s="124">
        <v>2</v>
      </c>
      <c r="F84" s="124">
        <v>1639</v>
      </c>
      <c r="G84" s="125">
        <v>3.9</v>
      </c>
      <c r="I84" s="79"/>
      <c r="J84" s="1325" t="s">
        <v>1396</v>
      </c>
      <c r="K84" s="1326" t="s">
        <v>1396</v>
      </c>
      <c r="L84" s="127"/>
      <c r="M84" s="184"/>
      <c r="N84" s="127"/>
      <c r="O84" s="1495"/>
      <c r="P84" s="184"/>
      <c r="Q84" s="251"/>
      <c r="R84" s="213"/>
      <c r="S84" s="229"/>
      <c r="T84" s="1427"/>
      <c r="U84" s="229"/>
      <c r="V84" s="229"/>
      <c r="W84" s="229"/>
      <c r="X84" s="212"/>
    </row>
    <row r="85" spans="1:24">
      <c r="A85" s="78">
        <v>32</v>
      </c>
      <c r="B85" s="123" t="s">
        <v>1637</v>
      </c>
      <c r="C85" s="124" t="s">
        <v>1665</v>
      </c>
      <c r="D85" s="124">
        <v>3</v>
      </c>
      <c r="E85" s="124">
        <v>0</v>
      </c>
      <c r="F85" s="124">
        <v>779</v>
      </c>
      <c r="G85" s="125">
        <v>8.1999999999999993</v>
      </c>
      <c r="I85" s="1327" t="str">
        <f t="shared" ref="I85:I96" si="17">I10</f>
        <v>Abit. plurif.</v>
      </c>
      <c r="J85" s="1328" t="s">
        <v>1685</v>
      </c>
      <c r="K85" s="1329" t="s">
        <v>1685</v>
      </c>
      <c r="L85" s="74" t="b">
        <v>1</v>
      </c>
      <c r="M85" s="85" t="b">
        <v>1</v>
      </c>
      <c r="N85" s="1496">
        <v>0.9</v>
      </c>
      <c r="O85" s="1497">
        <v>0.6</v>
      </c>
      <c r="P85" s="1498">
        <v>15</v>
      </c>
      <c r="Q85" s="1499">
        <v>0</v>
      </c>
      <c r="R85" s="1499">
        <f>0.8</f>
        <v>0.8</v>
      </c>
      <c r="S85" s="171" t="s">
        <v>787</v>
      </c>
      <c r="T85" s="1428"/>
      <c r="U85" s="609" t="str">
        <f>S85</f>
        <v>erfüllt</v>
      </c>
      <c r="V85" s="609" t="str">
        <f>S85</f>
        <v>erfüllt</v>
      </c>
      <c r="W85" s="609" t="str">
        <f>S85</f>
        <v>erfüllt</v>
      </c>
      <c r="X85" s="1486" t="str">
        <f>S85</f>
        <v>erfüllt</v>
      </c>
    </row>
    <row r="86" spans="1:24">
      <c r="A86" s="78">
        <v>33</v>
      </c>
      <c r="B86" s="123" t="s">
        <v>1638</v>
      </c>
      <c r="C86" s="124" t="s">
        <v>1664</v>
      </c>
      <c r="D86" s="124">
        <v>3</v>
      </c>
      <c r="E86" s="124">
        <v>0</v>
      </c>
      <c r="F86" s="124">
        <v>437</v>
      </c>
      <c r="G86" s="125">
        <v>9.4</v>
      </c>
      <c r="I86" s="69" t="str">
        <f t="shared" si="17"/>
        <v>Abit. monof.</v>
      </c>
      <c r="J86" s="1330" t="s">
        <v>1685</v>
      </c>
      <c r="K86" s="1331" t="s">
        <v>1685</v>
      </c>
      <c r="L86" s="74" t="b">
        <v>1</v>
      </c>
      <c r="M86" s="85" t="b">
        <v>1</v>
      </c>
      <c r="N86" s="1496">
        <v>0.9</v>
      </c>
      <c r="O86" s="1497">
        <v>0.6</v>
      </c>
      <c r="P86" s="1500">
        <v>15</v>
      </c>
      <c r="Q86" s="1501">
        <v>0</v>
      </c>
      <c r="R86" s="1501">
        <f t="shared" ref="R86:R95" si="18">0.8</f>
        <v>0.8</v>
      </c>
      <c r="S86" s="171" t="s">
        <v>788</v>
      </c>
      <c r="T86" s="1428"/>
      <c r="U86" s="171" t="str">
        <f>S86</f>
        <v>nicht erfüllt</v>
      </c>
      <c r="V86" s="171" t="str">
        <f>S86</f>
        <v>nicht erfüllt</v>
      </c>
      <c r="W86" s="171" t="str">
        <f>S86</f>
        <v>nicht erfüllt</v>
      </c>
      <c r="X86" s="1487" t="str">
        <f>S86</f>
        <v>nicht erfüllt</v>
      </c>
    </row>
    <row r="87" spans="1:24">
      <c r="A87" s="78">
        <v>34</v>
      </c>
      <c r="B87" s="123" t="s">
        <v>1280</v>
      </c>
      <c r="C87" s="124" t="s">
        <v>518</v>
      </c>
      <c r="D87" s="124">
        <v>11</v>
      </c>
      <c r="E87" s="124">
        <v>2</v>
      </c>
      <c r="F87" s="124">
        <v>1298</v>
      </c>
      <c r="G87" s="125">
        <v>5.5</v>
      </c>
      <c r="I87" s="69" t="str">
        <f t="shared" si="17"/>
        <v xml:space="preserve"> </v>
      </c>
      <c r="J87" s="1330" t="s">
        <v>1685</v>
      </c>
      <c r="K87" s="1331" t="s">
        <v>1684</v>
      </c>
      <c r="L87" s="74" t="b">
        <v>1</v>
      </c>
      <c r="M87" s="85" t="b">
        <v>0</v>
      </c>
      <c r="N87" s="1496">
        <v>0.9</v>
      </c>
      <c r="O87" s="1497">
        <v>0.6</v>
      </c>
      <c r="P87" s="1500">
        <v>15</v>
      </c>
      <c r="Q87" s="1501">
        <v>0</v>
      </c>
      <c r="R87" s="1501">
        <f t="shared" si="18"/>
        <v>0.8</v>
      </c>
      <c r="S87" s="171" t="s">
        <v>789</v>
      </c>
      <c r="T87" s="1428"/>
      <c r="U87" s="171" t="str">
        <f>S87</f>
        <v>Kühlung nötig</v>
      </c>
      <c r="V87" s="171" t="str">
        <f>S87</f>
        <v>Kühlung nötig</v>
      </c>
      <c r="W87" s="171" t="str">
        <f>S87</f>
        <v>Kühlung nötig</v>
      </c>
      <c r="X87" s="1487" t="str">
        <f>S87</f>
        <v>Kühlung nötig</v>
      </c>
    </row>
    <row r="88" spans="1:24">
      <c r="A88" s="78">
        <v>35</v>
      </c>
      <c r="B88" s="123" t="s">
        <v>327</v>
      </c>
      <c r="C88" s="124" t="s">
        <v>325</v>
      </c>
      <c r="D88" s="124">
        <v>10</v>
      </c>
      <c r="E88" s="124">
        <v>0</v>
      </c>
      <c r="F88" s="124">
        <v>482</v>
      </c>
      <c r="G88" s="125">
        <v>10.1</v>
      </c>
      <c r="I88" s="69" t="str">
        <f t="shared" si="17"/>
        <v xml:space="preserve"> </v>
      </c>
      <c r="J88" s="1330" t="s">
        <v>1685</v>
      </c>
      <c r="K88" s="1331" t="s">
        <v>1684</v>
      </c>
      <c r="L88" s="74" t="b">
        <v>1</v>
      </c>
      <c r="M88" s="85" t="b">
        <v>0</v>
      </c>
      <c r="N88" s="1496">
        <v>0.9</v>
      </c>
      <c r="O88" s="1497">
        <v>0.6</v>
      </c>
      <c r="P88" s="1500">
        <v>15</v>
      </c>
      <c r="Q88" s="1501">
        <v>0</v>
      </c>
      <c r="R88" s="1501">
        <f t="shared" si="18"/>
        <v>0.8</v>
      </c>
      <c r="S88" s="171" t="s">
        <v>126</v>
      </c>
      <c r="T88" s="1428"/>
      <c r="U88" s="171" t="str">
        <f>IF(Kategorie1&lt;4,$S88,"")</f>
        <v>&lt;40% Glas</v>
      </c>
      <c r="V88" s="171" t="str">
        <f>IF(Kategorie2&lt;4,$S88,"")</f>
        <v>&lt;40% Glas</v>
      </c>
      <c r="W88" s="171" t="str">
        <f>IF(Kategorie3&lt;4,$S88,"")</f>
        <v>&lt;40% Glas</v>
      </c>
      <c r="X88" s="1487" t="str">
        <f>IF(Kategorie4&lt;4,$S88,"")</f>
        <v>&lt;40% Glas</v>
      </c>
    </row>
    <row r="89" spans="1:24">
      <c r="A89" s="78">
        <v>36</v>
      </c>
      <c r="B89" s="123" t="s">
        <v>1639</v>
      </c>
      <c r="C89" s="124" t="s">
        <v>1640</v>
      </c>
      <c r="D89" s="124">
        <v>10</v>
      </c>
      <c r="E89" s="124">
        <v>0</v>
      </c>
      <c r="F89" s="124">
        <v>1345</v>
      </c>
      <c r="G89" s="125">
        <v>3.7</v>
      </c>
      <c r="I89" s="69" t="str">
        <f t="shared" si="17"/>
        <v xml:space="preserve"> </v>
      </c>
      <c r="J89" s="1330" t="s">
        <v>1685</v>
      </c>
      <c r="K89" s="1331" t="s">
        <v>1684</v>
      </c>
      <c r="L89" s="74" t="b">
        <v>1</v>
      </c>
      <c r="M89" s="85" t="b">
        <v>0</v>
      </c>
      <c r="N89" s="1496">
        <v>0.9</v>
      </c>
      <c r="O89" s="1497">
        <v>0.6</v>
      </c>
      <c r="P89" s="1500">
        <v>15</v>
      </c>
      <c r="Q89" s="1501">
        <v>0</v>
      </c>
      <c r="R89" s="1501">
        <f t="shared" si="18"/>
        <v>0.8</v>
      </c>
      <c r="S89" s="171" t="s">
        <v>1396</v>
      </c>
      <c r="T89" s="1428"/>
      <c r="U89" s="171" t="str">
        <f>IF(Kategorie1&lt;4,$S89,"")</f>
        <v xml:space="preserve"> </v>
      </c>
      <c r="V89" s="171" t="str">
        <f>IF(Kategorie2&lt;4,$S89,"")</f>
        <v xml:space="preserve"> </v>
      </c>
      <c r="W89" s="171" t="str">
        <f>IF(Kategorie3&lt;4,$S89,"")</f>
        <v xml:space="preserve"> </v>
      </c>
      <c r="X89" s="1487" t="str">
        <f>IF(Kategorie4&lt;4,$S89,"")</f>
        <v xml:space="preserve"> </v>
      </c>
    </row>
    <row r="90" spans="1:24">
      <c r="A90" s="78">
        <v>37</v>
      </c>
      <c r="B90" s="123" t="s">
        <v>1641</v>
      </c>
      <c r="C90" s="124" t="s">
        <v>1642</v>
      </c>
      <c r="D90" s="124">
        <v>6</v>
      </c>
      <c r="E90" s="124">
        <v>0</v>
      </c>
      <c r="F90" s="124">
        <v>460</v>
      </c>
      <c r="G90" s="125">
        <v>10</v>
      </c>
      <c r="I90" s="69" t="str">
        <f t="shared" si="17"/>
        <v xml:space="preserve"> </v>
      </c>
      <c r="J90" s="1330" t="s">
        <v>1684</v>
      </c>
      <c r="K90" s="1331" t="s">
        <v>1684</v>
      </c>
      <c r="L90" s="74" t="b">
        <v>0</v>
      </c>
      <c r="M90" s="85" t="b">
        <v>0</v>
      </c>
      <c r="N90" s="1496">
        <v>0.9</v>
      </c>
      <c r="O90" s="1497">
        <v>0.6</v>
      </c>
      <c r="P90" s="1500">
        <v>15</v>
      </c>
      <c r="Q90" s="1501">
        <v>0</v>
      </c>
      <c r="R90" s="1501">
        <f t="shared" si="18"/>
        <v>0.8</v>
      </c>
      <c r="S90" s="172" t="s">
        <v>1396</v>
      </c>
      <c r="T90" s="1429"/>
      <c r="U90" s="172" t="str">
        <f>IF(Kategorie1&lt;4,$S90,"")</f>
        <v xml:space="preserve"> </v>
      </c>
      <c r="V90" s="172" t="str">
        <f>IF(Kategorie2&lt;4,$S90,"")</f>
        <v xml:space="preserve"> </v>
      </c>
      <c r="W90" s="172" t="str">
        <f>IF(Kategorie3&lt;4,$S90,"")</f>
        <v xml:space="preserve"> </v>
      </c>
      <c r="X90" s="1488" t="str">
        <f>IF(Kategorie4&lt;4,$S90,"")</f>
        <v xml:space="preserve"> </v>
      </c>
    </row>
    <row r="91" spans="1:24">
      <c r="A91" s="78">
        <v>38</v>
      </c>
      <c r="B91" s="123" t="s">
        <v>1643</v>
      </c>
      <c r="C91" s="124" t="s">
        <v>1661</v>
      </c>
      <c r="D91" s="124">
        <v>4</v>
      </c>
      <c r="E91" s="124">
        <v>0</v>
      </c>
      <c r="F91" s="124">
        <v>422</v>
      </c>
      <c r="G91" s="125">
        <v>9</v>
      </c>
      <c r="I91" s="69" t="str">
        <f t="shared" si="17"/>
        <v xml:space="preserve"> </v>
      </c>
      <c r="J91" s="1330" t="s">
        <v>1685</v>
      </c>
      <c r="K91" s="1331" t="s">
        <v>1684</v>
      </c>
      <c r="L91" s="74" t="b">
        <v>1</v>
      </c>
      <c r="M91" s="85" t="b">
        <v>0</v>
      </c>
      <c r="N91" s="1496">
        <v>0.9</v>
      </c>
      <c r="O91" s="1497">
        <v>0.6</v>
      </c>
      <c r="P91" s="1500">
        <v>15</v>
      </c>
      <c r="Q91" s="1501">
        <v>0</v>
      </c>
      <c r="R91" s="1501">
        <f t="shared" si="18"/>
        <v>0.8</v>
      </c>
      <c r="S91" s="743" t="s">
        <v>790</v>
      </c>
      <c r="T91" s="1430"/>
      <c r="U91" s="126"/>
      <c r="V91" s="126"/>
    </row>
    <row r="92" spans="1:24">
      <c r="A92" s="78">
        <v>39</v>
      </c>
      <c r="B92" s="123" t="s">
        <v>1279</v>
      </c>
      <c r="C92" s="124" t="s">
        <v>325</v>
      </c>
      <c r="D92" s="124">
        <v>10</v>
      </c>
      <c r="E92" s="124">
        <v>2</v>
      </c>
      <c r="F92" s="124">
        <v>1638</v>
      </c>
      <c r="G92" s="125">
        <v>4.3</v>
      </c>
      <c r="I92" s="69" t="str">
        <f t="shared" si="17"/>
        <v xml:space="preserve"> </v>
      </c>
      <c r="J92" s="1330" t="s">
        <v>1685</v>
      </c>
      <c r="K92" s="1331" t="s">
        <v>1685</v>
      </c>
      <c r="L92" s="74" t="b">
        <v>1</v>
      </c>
      <c r="M92" s="85" t="b">
        <v>1</v>
      </c>
      <c r="N92" s="1496">
        <v>0.9</v>
      </c>
      <c r="O92" s="1497">
        <v>0.6</v>
      </c>
      <c r="P92" s="1500">
        <v>15</v>
      </c>
      <c r="Q92" s="1501">
        <v>0</v>
      </c>
      <c r="R92" s="1501">
        <f t="shared" si="18"/>
        <v>0.8</v>
      </c>
      <c r="S92" s="1431" t="s">
        <v>791</v>
      </c>
      <c r="T92" s="1432">
        <v>1</v>
      </c>
      <c r="U92" s="126"/>
      <c r="V92" s="126"/>
    </row>
    <row r="93" spans="1:24">
      <c r="A93" s="78">
        <v>40</v>
      </c>
      <c r="B93" s="123" t="s">
        <v>1644</v>
      </c>
      <c r="C93" s="124" t="s">
        <v>1331</v>
      </c>
      <c r="D93" s="124">
        <v>3</v>
      </c>
      <c r="E93" s="124">
        <v>0</v>
      </c>
      <c r="F93" s="124">
        <v>425</v>
      </c>
      <c r="G93" s="125">
        <v>9.4</v>
      </c>
      <c r="I93" s="69" t="str">
        <f t="shared" si="17"/>
        <v xml:space="preserve"> </v>
      </c>
      <c r="J93" s="1330" t="s">
        <v>1685</v>
      </c>
      <c r="K93" s="1331" t="s">
        <v>1684</v>
      </c>
      <c r="L93" s="74" t="b">
        <v>1</v>
      </c>
      <c r="M93" s="85" t="b">
        <v>0</v>
      </c>
      <c r="N93" s="1496">
        <v>0.9</v>
      </c>
      <c r="O93" s="1497">
        <v>0.6</v>
      </c>
      <c r="P93" s="1500">
        <v>15</v>
      </c>
      <c r="Q93" s="1501">
        <v>0</v>
      </c>
      <c r="R93" s="1501">
        <f t="shared" si="18"/>
        <v>0.8</v>
      </c>
      <c r="S93" s="1431" t="s">
        <v>792</v>
      </c>
      <c r="T93" s="1433">
        <v>1</v>
      </c>
    </row>
    <row r="94" spans="1:24">
      <c r="A94" s="78">
        <v>41</v>
      </c>
      <c r="B94" s="1613" t="s">
        <v>1645</v>
      </c>
      <c r="C94" s="1611" t="s">
        <v>1331</v>
      </c>
      <c r="D94" s="1611">
        <v>3</v>
      </c>
      <c r="E94" s="1611">
        <v>0</v>
      </c>
      <c r="F94" s="1611">
        <v>556</v>
      </c>
      <c r="G94" s="1612">
        <v>9.4</v>
      </c>
      <c r="I94" s="69" t="str">
        <f t="shared" si="17"/>
        <v xml:space="preserve"> </v>
      </c>
      <c r="J94" s="1330" t="s">
        <v>1685</v>
      </c>
      <c r="K94" s="1331" t="s">
        <v>1684</v>
      </c>
      <c r="L94" s="74" t="b">
        <v>1</v>
      </c>
      <c r="M94" s="85" t="b">
        <v>0</v>
      </c>
      <c r="N94" s="1496">
        <v>0.9</v>
      </c>
      <c r="O94" s="1497">
        <v>0.6</v>
      </c>
      <c r="P94" s="1500">
        <v>15</v>
      </c>
      <c r="Q94" s="1501">
        <v>0</v>
      </c>
      <c r="R94" s="1501">
        <f t="shared" si="18"/>
        <v>0.8</v>
      </c>
      <c r="S94" s="1431" t="s">
        <v>793</v>
      </c>
      <c r="T94" s="1433">
        <v>1</v>
      </c>
    </row>
    <row r="95" spans="1:24">
      <c r="A95" s="78"/>
      <c r="B95" s="1614"/>
      <c r="C95" s="1615"/>
      <c r="D95" s="1615"/>
      <c r="E95" s="1615"/>
      <c r="F95" s="1615"/>
      <c r="G95" s="1616"/>
      <c r="I95" s="69" t="str">
        <f t="shared" si="17"/>
        <v xml:space="preserve"> </v>
      </c>
      <c r="J95" s="1330" t="s">
        <v>1684</v>
      </c>
      <c r="K95" s="1331" t="s">
        <v>1684</v>
      </c>
      <c r="L95" s="74" t="b">
        <v>0</v>
      </c>
      <c r="M95" s="85" t="b">
        <v>0</v>
      </c>
      <c r="N95" s="1496">
        <v>0.9</v>
      </c>
      <c r="O95" s="1497">
        <v>0.6</v>
      </c>
      <c r="P95" s="1500">
        <v>15</v>
      </c>
      <c r="Q95" s="1501">
        <v>0</v>
      </c>
      <c r="R95" s="1501">
        <f t="shared" si="18"/>
        <v>0.8</v>
      </c>
      <c r="S95" s="1431" t="s">
        <v>794</v>
      </c>
      <c r="T95" s="1433">
        <v>1</v>
      </c>
    </row>
    <row r="96" spans="1:24">
      <c r="A96" s="1617" t="s">
        <v>1646</v>
      </c>
      <c r="B96" s="1618">
        <f t="shared" ref="B96:G96" si="19">IF(Kanton&gt;1,INDEX(B97:B125,Kanton,1),0)</f>
        <v>0</v>
      </c>
      <c r="C96" s="1618">
        <f t="shared" si="19"/>
        <v>0</v>
      </c>
      <c r="D96" s="1618">
        <f t="shared" si="19"/>
        <v>0</v>
      </c>
      <c r="E96" s="1618">
        <f t="shared" si="19"/>
        <v>0</v>
      </c>
      <c r="F96" s="1618">
        <f t="shared" si="19"/>
        <v>0</v>
      </c>
      <c r="G96" s="1618">
        <f t="shared" si="19"/>
        <v>0</v>
      </c>
      <c r="I96" s="79" t="str">
        <f t="shared" si="17"/>
        <v xml:space="preserve"> </v>
      </c>
      <c r="J96" s="1332" t="s">
        <v>1684</v>
      </c>
      <c r="K96" s="1333" t="s">
        <v>1684</v>
      </c>
      <c r="L96" s="92" t="b">
        <v>0</v>
      </c>
      <c r="M96" s="184" t="b">
        <v>0</v>
      </c>
      <c r="N96" s="1496">
        <v>0.9</v>
      </c>
      <c r="O96" s="1502">
        <v>0</v>
      </c>
      <c r="P96" s="1503">
        <v>0</v>
      </c>
      <c r="Q96" s="1504">
        <v>1</v>
      </c>
      <c r="R96" s="1504">
        <v>1</v>
      </c>
      <c r="S96" s="126"/>
    </row>
    <row r="97" spans="1:19">
      <c r="A97" s="1625" t="s">
        <v>1396</v>
      </c>
      <c r="B97" s="1619"/>
      <c r="C97" s="1619"/>
      <c r="D97" s="1619"/>
      <c r="E97" s="122"/>
      <c r="F97" s="72"/>
      <c r="G97" s="72"/>
      <c r="I97" s="881"/>
      <c r="J97" s="1334" t="s">
        <v>940</v>
      </c>
      <c r="K97" s="1334" t="s">
        <v>941</v>
      </c>
      <c r="L97" s="1334" t="s">
        <v>942</v>
      </c>
      <c r="M97" s="1069" t="s">
        <v>943</v>
      </c>
      <c r="N97" s="1505" t="s">
        <v>195</v>
      </c>
      <c r="O97" s="1506">
        <f>IF(minergiep,IF(Neubau1=3,INDEX($R$84:$R$96,Kategorie1,1),INDEX($O$84:$O$96,Kategorie1,1)),IF(Neubau1=3,INDEX($Q$84:$Q$96,Kategorie1,1),INDEX($N$84:$N$96,Kategorie1,1)))</f>
        <v>0</v>
      </c>
      <c r="P97" s="1507">
        <f>IF(minergiep,INDEX($P$84:$P$96,Kategorie1,1),0)</f>
        <v>0</v>
      </c>
      <c r="Q97" s="1508">
        <f>IF(Primaeranf1&gt;0,1,0)</f>
        <v>0</v>
      </c>
      <c r="R97" s="1431" t="str">
        <f>S43</f>
        <v/>
      </c>
      <c r="S97" s="242">
        <f>INDEX($I$9:$I$21,Kategorie1,1)</f>
        <v>0</v>
      </c>
    </row>
    <row r="98" spans="1:19">
      <c r="A98" s="74" t="s">
        <v>1653</v>
      </c>
      <c r="B98" s="124">
        <v>7</v>
      </c>
      <c r="C98" s="124">
        <v>5</v>
      </c>
      <c r="D98" s="124"/>
      <c r="E98" s="124"/>
      <c r="F98" s="77"/>
      <c r="G98" s="77"/>
      <c r="I98" s="1033" t="s">
        <v>944</v>
      </c>
      <c r="J98" s="1047">
        <f>Kategorie1</f>
        <v>1</v>
      </c>
      <c r="K98" s="1047">
        <f>Kategorie2</f>
        <v>1</v>
      </c>
      <c r="L98" s="1047">
        <f>Kategorie3</f>
        <v>1</v>
      </c>
      <c r="M98" s="878">
        <f>Kategorie4</f>
        <v>1</v>
      </c>
      <c r="N98" s="1505" t="s">
        <v>197</v>
      </c>
      <c r="O98" s="1506">
        <f>IF(minergiep,IF(Neubau2=3,INDEX($R$84:$R$96,Kategorie2,1),INDEX($O$84:$O$96,Kategorie2,1)),IF(Neubau2=3,INDEX($Q$84:$Q$96,Kategorie2,1),INDEX($N$84:$N$96,Kategorie2,1)))</f>
        <v>0</v>
      </c>
      <c r="P98" s="1507">
        <f>IF(minergiep,INDEX($P$84:$P$96,Kategorie2,1),0)</f>
        <v>0</v>
      </c>
      <c r="Q98" s="1508">
        <f>IF(Primaeranf2&gt;0,1,0)</f>
        <v>0</v>
      </c>
      <c r="R98" s="1431" t="str">
        <f>S44</f>
        <v/>
      </c>
      <c r="S98" s="242">
        <f>INDEX($I$9:$I$21,Kategorie2,1)</f>
        <v>0</v>
      </c>
    </row>
    <row r="99" spans="1:19">
      <c r="A99" s="74" t="s">
        <v>1654</v>
      </c>
      <c r="B99" s="124">
        <v>32</v>
      </c>
      <c r="C99" s="124"/>
      <c r="D99" s="124"/>
      <c r="E99" s="124"/>
      <c r="F99" s="77"/>
      <c r="G99" s="77"/>
      <c r="I99" s="73" t="s">
        <v>945</v>
      </c>
      <c r="J99" s="77" t="str">
        <f>IF(Kategorie1&gt;1,INDEX($J$84:$J$96,Kategorie1,1),"")</f>
        <v/>
      </c>
      <c r="K99" s="77" t="str">
        <f>IF(Kategorie2&gt;1,INDEX($J$84:$J$96,Kategorie2,1),"")</f>
        <v/>
      </c>
      <c r="L99" s="77" t="str">
        <f>IF(Kategorie3&gt;1,INDEX($J$84:$J$96,Kategorie3,1),"")</f>
        <v/>
      </c>
      <c r="M99" s="76" t="str">
        <f>IF(Kategorie4&gt;1,INDEX($J$84:$J$96,Kategorie4,1),"")</f>
        <v/>
      </c>
      <c r="N99" s="1505" t="s">
        <v>198</v>
      </c>
      <c r="O99" s="1506">
        <f>IF(minergiep,IF(Neubau3=3,INDEX($R$84:$R$96,Kategorie3,1),INDEX($O$84:$O$96,Kategorie3,1)),IF(Neubau3=3,INDEX($Q$84:$Q$96,Kategorie3,1),INDEX($N$84:$N$96,Kategorie3,1)))</f>
        <v>0</v>
      </c>
      <c r="P99" s="1507">
        <f>IF(minergiep,INDEX($P$84:$P$96,Kategorie3,1),0)</f>
        <v>0</v>
      </c>
      <c r="Q99" s="1508">
        <f>IF(Primaeranf3&gt;0,1,0)</f>
        <v>0</v>
      </c>
      <c r="R99" s="1431" t="str">
        <f>S45</f>
        <v/>
      </c>
      <c r="S99" s="242">
        <f>INDEX($I$9:$I$21,Kategorie3,1)</f>
        <v>0</v>
      </c>
    </row>
    <row r="100" spans="1:19">
      <c r="A100" s="74" t="s">
        <v>1655</v>
      </c>
      <c r="B100" s="124">
        <v>32</v>
      </c>
      <c r="C100" s="124"/>
      <c r="D100" s="124"/>
      <c r="E100" s="124"/>
      <c r="F100" s="77"/>
      <c r="G100" s="77"/>
      <c r="I100" s="1335"/>
      <c r="J100" s="77" t="str">
        <f>IF(Kategorie1&gt;1,INDEX($K$84:$K$96,Kategorie1,1),"")</f>
        <v/>
      </c>
      <c r="K100" s="77" t="str">
        <f>IF(Kategorie2&gt;1,INDEX($K$84:$K$96,Kategorie2,1),"")</f>
        <v/>
      </c>
      <c r="L100" s="77" t="str">
        <f>IF(Kategorie3&gt;1,INDEX($K$84:$K$96,Kategorie3,1),"")</f>
        <v/>
      </c>
      <c r="M100" s="76" t="str">
        <f>IF(Kategorie4&gt;1,INDEX($K$84:$K$96,Kategorie4,1),"")</f>
        <v/>
      </c>
      <c r="N100" s="1505" t="s">
        <v>199</v>
      </c>
      <c r="O100" s="1506">
        <f>IF(minergiep,IF(Neubau4=3,INDEX($R$84:$R$96,Kategorie4,1),INDEX($O$84:$O$96,Kategorie4,1)),IF(Neubau4=3,INDEX($Q$84:$Q$96,Kategorie4,1),INDEX($N$84:$N$96,Kategorie4,1)))</f>
        <v>0</v>
      </c>
      <c r="P100" s="1507">
        <f>IF(minergiep,INDEX($P$84:$P$96,Kategorie4,1),0)</f>
        <v>0</v>
      </c>
      <c r="Q100" s="1508">
        <f>IF(Primaeranf4&gt;0,1,0)</f>
        <v>0</v>
      </c>
      <c r="R100" s="1431" t="str">
        <f>S46</f>
        <v/>
      </c>
      <c r="S100" s="242">
        <f>INDEX($I$9:$I$21,Kategorie4,1)</f>
        <v>0</v>
      </c>
    </row>
    <row r="101" spans="1:19">
      <c r="A101" s="74" t="s">
        <v>867</v>
      </c>
      <c r="B101" s="124">
        <v>6</v>
      </c>
      <c r="C101" s="124">
        <v>2</v>
      </c>
      <c r="D101" s="124"/>
      <c r="E101" s="124"/>
      <c r="F101" s="77"/>
      <c r="G101" s="77"/>
      <c r="I101" s="75" t="s">
        <v>107</v>
      </c>
      <c r="J101" s="1082">
        <v>1</v>
      </c>
      <c r="K101" s="1082">
        <v>1</v>
      </c>
      <c r="L101" s="1082">
        <v>1</v>
      </c>
      <c r="M101" s="750">
        <v>1</v>
      </c>
      <c r="N101" s="1381" t="s">
        <v>245</v>
      </c>
      <c r="O101" s="1036" t="b">
        <f>IF(SUM(O97:O100)&gt;0,TRUE,FALSE)</f>
        <v>0</v>
      </c>
    </row>
    <row r="102" spans="1:19">
      <c r="A102" s="74" t="s">
        <v>1656</v>
      </c>
      <c r="B102" s="124">
        <v>5</v>
      </c>
      <c r="C102" s="124"/>
      <c r="D102" s="124"/>
      <c r="E102" s="124"/>
      <c r="F102" s="77"/>
      <c r="G102" s="77"/>
      <c r="I102" s="75" t="s">
        <v>938</v>
      </c>
      <c r="J102" s="77" t="str">
        <f>INDEX(J99:J100,_WW1,1)</f>
        <v/>
      </c>
      <c r="K102" s="77" t="str">
        <f>INDEX(K99:K100,_WW2,1)</f>
        <v/>
      </c>
      <c r="L102" s="77" t="str">
        <f>INDEX(L99:L100,_WW3,1)</f>
        <v/>
      </c>
      <c r="M102" s="76" t="str">
        <f>INDEX(M99:M100,_WW4,1)</f>
        <v/>
      </c>
    </row>
    <row r="103" spans="1:19">
      <c r="A103" s="74" t="s">
        <v>1657</v>
      </c>
      <c r="B103" s="124">
        <v>5</v>
      </c>
      <c r="C103" s="124"/>
      <c r="D103" s="124"/>
      <c r="E103" s="124"/>
      <c r="F103" s="77"/>
      <c r="G103" s="77"/>
      <c r="I103" s="75" t="s">
        <v>939</v>
      </c>
      <c r="J103" s="77" t="str">
        <f>IF(Kategorie1&gt;1,INDEX($L$84:$M$96,Kategorie1,_WW1),"")</f>
        <v/>
      </c>
      <c r="K103" s="77" t="str">
        <f>IF(Kategorie2&gt;1,INDEX($L$84:$M$96,Kategorie2,_WW2),"")</f>
        <v/>
      </c>
      <c r="L103" s="77" t="str">
        <f>IF(Kategorie3&gt;1,INDEX($L$84:$M$96,Kategorie3,_WW3),"")</f>
        <v/>
      </c>
      <c r="M103" s="76" t="str">
        <f>IF(Kategorie4&gt;1,INDEX($L$84:$M$96,Kategorie4,_WW4),"")</f>
        <v/>
      </c>
      <c r="N103" s="272" t="b">
        <f>IF(AND(J103="",K103="",L103="",M103=""),FALSE,OR(J103,K103,L103,M103))</f>
        <v>0</v>
      </c>
      <c r="O103" s="59" t="s">
        <v>946</v>
      </c>
    </row>
    <row r="104" spans="1:19">
      <c r="A104" s="74" t="s">
        <v>868</v>
      </c>
      <c r="B104" s="124">
        <v>6</v>
      </c>
      <c r="C104" s="124">
        <v>2</v>
      </c>
      <c r="D104" s="124"/>
      <c r="E104" s="124"/>
      <c r="F104" s="77"/>
      <c r="G104" s="77"/>
      <c r="I104" s="68" t="s">
        <v>947</v>
      </c>
      <c r="J104" s="1336">
        <f>IF(_EBF1&gt;0,IF(J103,INDEX($L$9:$L$21,Kategorie1,1)/3.6*EBFo1/_EBF1,0),)</f>
        <v>0</v>
      </c>
      <c r="K104" s="1336">
        <f>IF(_EBF2&gt;0,IF(K103,INDEX($L$9:$L$21,Kategorie2,1)/3.6*EBFo2/_EBF2,0),)</f>
        <v>0</v>
      </c>
      <c r="L104" s="1336">
        <f>IF(_EBF3&gt;0,IF(L103,INDEX($L$9:$L$21,Kategorie3,1)/3.6*EBFo3/_EBF3,0),)</f>
        <v>0</v>
      </c>
      <c r="M104" s="1336">
        <f>IF(_EBF4&gt;0,IF(M103,INDEX($L$9:$L$21,Kategorie4,1)/3.6*EBFo4/_EBF4,0),)</f>
        <v>0</v>
      </c>
      <c r="N104" s="72"/>
      <c r="O104" s="59" t="s">
        <v>410</v>
      </c>
    </row>
    <row r="105" spans="1:19">
      <c r="A105" s="74" t="s">
        <v>869</v>
      </c>
      <c r="B105" s="124">
        <v>12</v>
      </c>
      <c r="C105" s="124"/>
      <c r="D105" s="124"/>
      <c r="E105" s="124"/>
      <c r="F105" s="77"/>
      <c r="G105" s="77"/>
      <c r="I105" s="75" t="s">
        <v>948</v>
      </c>
      <c r="J105" s="77">
        <f>_EBF1</f>
        <v>0</v>
      </c>
      <c r="K105" s="77">
        <f>_EBF2</f>
        <v>0</v>
      </c>
      <c r="L105" s="77">
        <f>_EBF3</f>
        <v>0</v>
      </c>
      <c r="M105" s="117">
        <f>_EBF4</f>
        <v>0</v>
      </c>
      <c r="N105" s="77">
        <f>SUM(J105:M105)</f>
        <v>0</v>
      </c>
      <c r="O105" s="59" t="s">
        <v>457</v>
      </c>
    </row>
    <row r="106" spans="1:19">
      <c r="A106" s="74" t="s">
        <v>870</v>
      </c>
      <c r="B106" s="124">
        <v>13</v>
      </c>
      <c r="C106" s="124"/>
      <c r="D106" s="124"/>
      <c r="E106" s="124"/>
      <c r="F106" s="77"/>
      <c r="G106" s="77"/>
      <c r="I106" s="127" t="s">
        <v>949</v>
      </c>
      <c r="J106" s="1337">
        <f>J105*J104</f>
        <v>0</v>
      </c>
      <c r="K106" s="1337">
        <f>K105*K104</f>
        <v>0</v>
      </c>
      <c r="L106" s="1337">
        <f>L105*L104</f>
        <v>0</v>
      </c>
      <c r="M106" s="1338">
        <f>M105*M104</f>
        <v>0</v>
      </c>
      <c r="N106" s="1337">
        <f>SUM(J106:M106)</f>
        <v>0</v>
      </c>
      <c r="O106" s="59" t="s">
        <v>950</v>
      </c>
    </row>
    <row r="107" spans="1:19">
      <c r="A107" s="74" t="s">
        <v>1658</v>
      </c>
      <c r="B107" s="124">
        <v>8</v>
      </c>
      <c r="C107" s="124">
        <v>9</v>
      </c>
      <c r="D107" s="124">
        <v>10</v>
      </c>
      <c r="E107" s="124">
        <v>28</v>
      </c>
      <c r="F107" s="124">
        <v>34</v>
      </c>
      <c r="G107" s="77">
        <v>30</v>
      </c>
      <c r="I107" s="1339" t="s">
        <v>951</v>
      </c>
      <c r="J107" s="1340">
        <f>IF(_EBF1&gt;0,INDEX($L$9:$L$21,Kategorie1,1)/3.6*EBFo1/_EBF1,0)-J104</f>
        <v>0</v>
      </c>
      <c r="K107" s="1340">
        <f>IF(_EBF2&gt;0,INDEX($L$9:$L$21,Kategorie2,1)/3.6*EBFo2/_EBF2,0)-K104</f>
        <v>0</v>
      </c>
      <c r="L107" s="1340">
        <f>IF(_EBF3&gt;0,INDEX($L$9:$L$21,Kategorie3,1)/3.6*EBFo3/_EBF3,0)-L104</f>
        <v>0</v>
      </c>
      <c r="M107" s="1340">
        <f>IF(_EBF4&gt;0,INDEX($L$9:$L$21,Kategorie4,1)/3.6*EBFo4/_EBF4,0)-M104</f>
        <v>0</v>
      </c>
      <c r="N107" s="121"/>
    </row>
    <row r="108" spans="1:19">
      <c r="A108" s="74" t="s">
        <v>1659</v>
      </c>
      <c r="B108" s="124">
        <v>5</v>
      </c>
      <c r="C108" s="124">
        <v>17</v>
      </c>
      <c r="D108" s="124"/>
      <c r="E108" s="124"/>
      <c r="F108" s="77"/>
      <c r="G108" s="77"/>
      <c r="I108" s="229" t="s">
        <v>952</v>
      </c>
      <c r="J108" s="228"/>
      <c r="K108" s="228"/>
      <c r="L108" s="228"/>
      <c r="M108" s="1041"/>
      <c r="N108" s="747">
        <f>IF(EBF&gt;0,N106/EBF,)</f>
        <v>0</v>
      </c>
      <c r="O108" s="59" t="s">
        <v>410</v>
      </c>
    </row>
    <row r="109" spans="1:19">
      <c r="A109" s="74" t="s">
        <v>272</v>
      </c>
      <c r="B109" s="124">
        <v>21</v>
      </c>
      <c r="C109" s="124"/>
      <c r="D109" s="124"/>
      <c r="E109" s="124"/>
      <c r="F109" s="77"/>
      <c r="G109" s="77"/>
    </row>
    <row r="110" spans="1:19">
      <c r="A110" s="74" t="s">
        <v>1335</v>
      </c>
      <c r="B110" s="124">
        <v>24</v>
      </c>
      <c r="C110" s="124">
        <v>17</v>
      </c>
      <c r="D110" s="124"/>
      <c r="E110" s="124"/>
      <c r="F110" s="77"/>
      <c r="G110" s="77"/>
    </row>
    <row r="111" spans="1:19">
      <c r="A111" s="74" t="s">
        <v>665</v>
      </c>
      <c r="B111" s="77">
        <v>21</v>
      </c>
      <c r="C111" s="77"/>
      <c r="D111" s="77"/>
      <c r="E111" s="744"/>
      <c r="F111" s="77"/>
      <c r="G111" s="77"/>
    </row>
    <row r="112" spans="1:19">
      <c r="A112" s="74" t="s">
        <v>666</v>
      </c>
      <c r="B112" s="77">
        <v>21</v>
      </c>
      <c r="C112" s="77">
        <v>11</v>
      </c>
      <c r="D112" s="77"/>
      <c r="E112" s="744"/>
      <c r="F112" s="77"/>
      <c r="G112" s="77"/>
      <c r="I112" s="1381" t="s">
        <v>1005</v>
      </c>
      <c r="J112" s="1382" t="s">
        <v>940</v>
      </c>
      <c r="K112" s="1382" t="s">
        <v>941</v>
      </c>
      <c r="L112" s="1382" t="s">
        <v>942</v>
      </c>
      <c r="M112" s="900" t="s">
        <v>943</v>
      </c>
    </row>
    <row r="113" spans="1:13">
      <c r="A113" s="74" t="s">
        <v>1153</v>
      </c>
      <c r="B113" s="77">
        <v>32</v>
      </c>
      <c r="C113" s="77"/>
      <c r="D113" s="77"/>
      <c r="E113" s="744"/>
      <c r="F113" s="77"/>
      <c r="G113" s="77"/>
      <c r="J113" s="121"/>
      <c r="K113" s="121"/>
      <c r="L113" s="121"/>
      <c r="M113" s="121"/>
    </row>
    <row r="114" spans="1:13">
      <c r="A114" s="74" t="s">
        <v>1152</v>
      </c>
      <c r="B114" s="77">
        <v>33</v>
      </c>
      <c r="C114" s="77"/>
      <c r="D114" s="77"/>
      <c r="E114" s="744"/>
      <c r="F114" s="77"/>
      <c r="G114" s="77"/>
      <c r="J114" s="213" t="s">
        <v>687</v>
      </c>
      <c r="K114" s="213" t="str">
        <f t="shared" ref="K114:M115" si="20">J114</f>
        <v>Raffreddamento</v>
      </c>
      <c r="L114" s="213" t="str">
        <f t="shared" si="20"/>
        <v>Raffreddamento</v>
      </c>
      <c r="M114" s="213" t="str">
        <f t="shared" si="20"/>
        <v>Raffreddamento</v>
      </c>
    </row>
    <row r="115" spans="1:13">
      <c r="A115" s="74" t="s">
        <v>746</v>
      </c>
      <c r="B115" s="77">
        <v>38</v>
      </c>
      <c r="C115" s="77"/>
      <c r="D115" s="77"/>
      <c r="E115" s="744"/>
      <c r="F115" s="77"/>
      <c r="G115" s="77"/>
      <c r="J115" s="213" t="s">
        <v>688</v>
      </c>
      <c r="K115" s="213" t="str">
        <f t="shared" si="20"/>
        <v>Umidificazione</v>
      </c>
      <c r="L115" s="213" t="str">
        <f t="shared" si="20"/>
        <v>Umidificazione</v>
      </c>
      <c r="M115" s="213" t="str">
        <f t="shared" si="20"/>
        <v>Umidificazione</v>
      </c>
    </row>
    <row r="116" spans="1:13">
      <c r="A116" s="74" t="s">
        <v>745</v>
      </c>
      <c r="B116" s="77">
        <v>21</v>
      </c>
      <c r="C116" s="77">
        <v>41</v>
      </c>
      <c r="D116" s="77"/>
      <c r="E116" s="744"/>
      <c r="F116" s="77"/>
      <c r="G116" s="77"/>
      <c r="J116" s="213" t="s">
        <v>689</v>
      </c>
      <c r="K116" s="213" t="str">
        <f t="shared" ref="K116:M117" si="21">J116</f>
        <v>Raff.+umidif.</v>
      </c>
      <c r="L116" s="213" t="str">
        <f t="shared" si="21"/>
        <v>Raff.+umidif.</v>
      </c>
      <c r="M116" s="213" t="str">
        <f t="shared" si="21"/>
        <v>Raff.+umidif.</v>
      </c>
    </row>
    <row r="117" spans="1:13">
      <c r="A117" s="74" t="s">
        <v>748</v>
      </c>
      <c r="B117" s="77">
        <v>15</v>
      </c>
      <c r="C117" s="77"/>
      <c r="D117" s="77"/>
      <c r="E117" s="744"/>
      <c r="F117" s="77"/>
      <c r="G117" s="77"/>
      <c r="J117" s="251" t="s">
        <v>690</v>
      </c>
      <c r="K117" s="213" t="str">
        <f t="shared" si="21"/>
        <v>Nessuno</v>
      </c>
      <c r="L117" s="213" t="str">
        <f t="shared" si="21"/>
        <v>Nessuno</v>
      </c>
      <c r="M117" s="213" t="str">
        <f t="shared" si="21"/>
        <v>Nessuno</v>
      </c>
    </row>
    <row r="118" spans="1:13">
      <c r="A118" s="74" t="s">
        <v>747</v>
      </c>
      <c r="B118" s="77">
        <v>19</v>
      </c>
      <c r="C118" s="77">
        <v>20</v>
      </c>
      <c r="D118" s="77">
        <v>22</v>
      </c>
      <c r="E118" s="744">
        <v>28</v>
      </c>
      <c r="F118" s="77">
        <v>31</v>
      </c>
      <c r="G118" s="77"/>
      <c r="J118" s="985">
        <v>1</v>
      </c>
      <c r="K118" s="985">
        <v>1</v>
      </c>
      <c r="L118" s="985">
        <v>1</v>
      </c>
      <c r="M118" s="985">
        <v>1</v>
      </c>
    </row>
    <row r="119" spans="1:13">
      <c r="A119" s="74" t="s">
        <v>1263</v>
      </c>
      <c r="B119" s="77">
        <v>4</v>
      </c>
      <c r="C119" s="77"/>
      <c r="D119" s="77"/>
      <c r="E119" s="744"/>
      <c r="F119" s="77"/>
      <c r="G119" s="77"/>
    </row>
    <row r="120" spans="1:13">
      <c r="A120" s="74" t="s">
        <v>749</v>
      </c>
      <c r="B120" s="77">
        <v>25</v>
      </c>
      <c r="C120" s="77">
        <v>17</v>
      </c>
      <c r="D120" s="77">
        <v>2</v>
      </c>
      <c r="E120" s="744"/>
      <c r="F120" s="77"/>
      <c r="G120" s="77"/>
      <c r="I120" s="1376" t="s">
        <v>1234</v>
      </c>
    </row>
    <row r="121" spans="1:13">
      <c r="A121" s="74" t="s">
        <v>750</v>
      </c>
      <c r="B121" s="77">
        <v>35</v>
      </c>
      <c r="C121" s="77">
        <v>39</v>
      </c>
      <c r="D121" s="77">
        <v>23</v>
      </c>
      <c r="E121" s="744">
        <v>14</v>
      </c>
      <c r="F121" s="77"/>
      <c r="G121" s="77"/>
      <c r="I121" s="213"/>
    </row>
    <row r="122" spans="1:13">
      <c r="A122" s="74" t="s">
        <v>751</v>
      </c>
      <c r="B122" s="77">
        <v>21</v>
      </c>
      <c r="C122" s="77"/>
      <c r="D122" s="77"/>
      <c r="E122" s="744"/>
      <c r="F122" s="77"/>
      <c r="G122" s="77"/>
      <c r="I122" s="213" t="s">
        <v>1685</v>
      </c>
    </row>
    <row r="123" spans="1:13">
      <c r="A123" s="74" t="s">
        <v>628</v>
      </c>
      <c r="B123" s="77">
        <v>41</v>
      </c>
      <c r="C123" s="77"/>
      <c r="D123" s="77"/>
      <c r="E123" s="744"/>
      <c r="F123" s="77"/>
      <c r="G123" s="77"/>
      <c r="I123" s="251" t="s">
        <v>1684</v>
      </c>
    </row>
    <row r="124" spans="1:13">
      <c r="A124" s="85" t="s">
        <v>809</v>
      </c>
      <c r="B124" s="77">
        <v>37</v>
      </c>
      <c r="C124" s="77">
        <v>11</v>
      </c>
      <c r="D124" s="77"/>
      <c r="E124" s="744"/>
      <c r="F124" s="77"/>
      <c r="G124" s="77"/>
    </row>
    <row r="125" spans="1:13">
      <c r="A125" s="1620" t="s">
        <v>808</v>
      </c>
      <c r="B125" s="173"/>
      <c r="C125" s="173"/>
      <c r="D125" s="173"/>
      <c r="E125" s="1624"/>
      <c r="F125" s="173"/>
      <c r="G125" s="81"/>
    </row>
    <row r="126" spans="1:13">
      <c r="A126" s="1621" t="str">
        <f t="shared" ref="A126:F126" si="22">IF(Kanton&gt;1,INDEX(A127:A155,Kanton,1),"")</f>
        <v/>
      </c>
      <c r="B126" s="1621" t="str">
        <f t="shared" si="22"/>
        <v/>
      </c>
      <c r="C126" s="1621" t="str">
        <f t="shared" si="22"/>
        <v/>
      </c>
      <c r="D126" s="1621" t="str">
        <f t="shared" si="22"/>
        <v/>
      </c>
      <c r="E126" s="1621" t="str">
        <f t="shared" si="22"/>
        <v/>
      </c>
      <c r="F126" s="1621" t="str">
        <f t="shared" si="22"/>
        <v/>
      </c>
      <c r="G126" s="1622"/>
    </row>
    <row r="127" spans="1:13">
      <c r="A127" s="1619"/>
      <c r="B127" s="1619"/>
      <c r="C127" s="1619"/>
      <c r="D127" s="122"/>
      <c r="E127" s="72"/>
      <c r="F127" s="72"/>
      <c r="G127" s="121"/>
    </row>
    <row r="128" spans="1:13">
      <c r="A128" s="123" t="str">
        <f t="shared" ref="A128:F137" si="23">IF(B98&gt;0,INDEX($B$54:$B$94,B98,1),"")</f>
        <v>Buchs Aarau</v>
      </c>
      <c r="B128" s="123" t="str">
        <f t="shared" si="23"/>
        <v>Basel-Binningen</v>
      </c>
      <c r="C128" s="123" t="str">
        <f t="shared" si="23"/>
        <v/>
      </c>
      <c r="D128" s="123" t="str">
        <f t="shared" si="23"/>
        <v/>
      </c>
      <c r="E128" s="123" t="str">
        <f t="shared" si="23"/>
        <v/>
      </c>
      <c r="F128" s="123" t="str">
        <f t="shared" si="23"/>
        <v/>
      </c>
      <c r="G128" s="213" t="str">
        <f>A126</f>
        <v/>
      </c>
    </row>
    <row r="129" spans="1:7">
      <c r="A129" s="123" t="str">
        <f t="shared" si="23"/>
        <v>St. Gallen</v>
      </c>
      <c r="B129" s="123" t="str">
        <f t="shared" si="23"/>
        <v/>
      </c>
      <c r="C129" s="123" t="str">
        <f t="shared" si="23"/>
        <v/>
      </c>
      <c r="D129" s="123" t="str">
        <f t="shared" si="23"/>
        <v/>
      </c>
      <c r="E129" s="123" t="str">
        <f t="shared" si="23"/>
        <v/>
      </c>
      <c r="F129" s="123" t="str">
        <f t="shared" si="23"/>
        <v/>
      </c>
      <c r="G129" s="213" t="str">
        <f>B126</f>
        <v/>
      </c>
    </row>
    <row r="130" spans="1:7">
      <c r="A130" s="123" t="str">
        <f t="shared" si="23"/>
        <v>St. Gallen</v>
      </c>
      <c r="B130" s="123" t="str">
        <f t="shared" si="23"/>
        <v/>
      </c>
      <c r="C130" s="123" t="str">
        <f t="shared" si="23"/>
        <v/>
      </c>
      <c r="D130" s="123" t="str">
        <f t="shared" si="23"/>
        <v/>
      </c>
      <c r="E130" s="123" t="str">
        <f t="shared" si="23"/>
        <v/>
      </c>
      <c r="F130" s="123" t="str">
        <f t="shared" si="23"/>
        <v/>
      </c>
      <c r="G130" s="213" t="str">
        <f>C126</f>
        <v/>
      </c>
    </row>
    <row r="131" spans="1:7">
      <c r="A131" s="123" t="str">
        <f t="shared" si="23"/>
        <v>Bern  Liebefeld</v>
      </c>
      <c r="B131" s="123" t="str">
        <f t="shared" si="23"/>
        <v>Adelboden</v>
      </c>
      <c r="C131" s="123" t="str">
        <f t="shared" si="23"/>
        <v/>
      </c>
      <c r="D131" s="123" t="str">
        <f t="shared" si="23"/>
        <v/>
      </c>
      <c r="E131" s="123" t="str">
        <f t="shared" si="23"/>
        <v/>
      </c>
      <c r="F131" s="123" t="str">
        <f t="shared" si="23"/>
        <v/>
      </c>
      <c r="G131" s="213" t="str">
        <f>D126</f>
        <v/>
      </c>
    </row>
    <row r="132" spans="1:7">
      <c r="A132" s="123" t="str">
        <f t="shared" si="23"/>
        <v>Basel-Binningen</v>
      </c>
      <c r="B132" s="123" t="str">
        <f t="shared" si="23"/>
        <v/>
      </c>
      <c r="C132" s="123" t="str">
        <f t="shared" si="23"/>
        <v/>
      </c>
      <c r="D132" s="123" t="str">
        <f t="shared" si="23"/>
        <v/>
      </c>
      <c r="E132" s="123" t="str">
        <f t="shared" si="23"/>
        <v/>
      </c>
      <c r="F132" s="123" t="str">
        <f t="shared" si="23"/>
        <v/>
      </c>
      <c r="G132" s="213" t="str">
        <f>E126</f>
        <v/>
      </c>
    </row>
    <row r="133" spans="1:7">
      <c r="A133" s="123" t="str">
        <f t="shared" si="23"/>
        <v>Basel-Binningen</v>
      </c>
      <c r="B133" s="123" t="str">
        <f t="shared" si="23"/>
        <v/>
      </c>
      <c r="C133" s="123" t="str">
        <f t="shared" si="23"/>
        <v/>
      </c>
      <c r="D133" s="123" t="str">
        <f t="shared" si="23"/>
        <v/>
      </c>
      <c r="E133" s="123" t="str">
        <f t="shared" si="23"/>
        <v/>
      </c>
      <c r="F133" s="123" t="str">
        <f t="shared" si="23"/>
        <v/>
      </c>
      <c r="G133" s="213" t="str">
        <f>F126</f>
        <v/>
      </c>
    </row>
    <row r="134" spans="1:7">
      <c r="A134" s="123" t="str">
        <f t="shared" si="23"/>
        <v>Bern  Liebefeld</v>
      </c>
      <c r="B134" s="123" t="str">
        <f t="shared" si="23"/>
        <v>Adelboden</v>
      </c>
      <c r="C134" s="123" t="str">
        <f t="shared" si="23"/>
        <v/>
      </c>
      <c r="D134" s="123" t="str">
        <f t="shared" si="23"/>
        <v/>
      </c>
      <c r="E134" s="123" t="str">
        <f t="shared" si="23"/>
        <v/>
      </c>
      <c r="F134" s="123" t="str">
        <f t="shared" si="23"/>
        <v/>
      </c>
      <c r="G134" s="213"/>
    </row>
    <row r="135" spans="1:7">
      <c r="A135" s="123" t="str">
        <f t="shared" si="23"/>
        <v>Genève</v>
      </c>
      <c r="B135" s="123" t="str">
        <f t="shared" si="23"/>
        <v/>
      </c>
      <c r="C135" s="123" t="str">
        <f t="shared" si="23"/>
        <v/>
      </c>
      <c r="D135" s="123" t="str">
        <f t="shared" si="23"/>
        <v/>
      </c>
      <c r="E135" s="123" t="str">
        <f t="shared" si="23"/>
        <v/>
      </c>
      <c r="F135" s="123" t="str">
        <f t="shared" si="23"/>
        <v/>
      </c>
      <c r="G135" s="213"/>
    </row>
    <row r="136" spans="1:7">
      <c r="A136" s="123" t="str">
        <f t="shared" si="23"/>
        <v>Glarus</v>
      </c>
      <c r="B136" s="123" t="str">
        <f t="shared" si="23"/>
        <v/>
      </c>
      <c r="C136" s="123" t="str">
        <f t="shared" si="23"/>
        <v/>
      </c>
      <c r="D136" s="123" t="str">
        <f t="shared" si="23"/>
        <v/>
      </c>
      <c r="E136" s="123" t="str">
        <f t="shared" si="23"/>
        <v/>
      </c>
      <c r="F136" s="123" t="str">
        <f t="shared" si="23"/>
        <v/>
      </c>
      <c r="G136" s="213"/>
    </row>
    <row r="137" spans="1:7">
      <c r="A137" s="123" t="str">
        <f t="shared" si="23"/>
        <v>Chur</v>
      </c>
      <c r="B137" s="123" t="str">
        <f t="shared" si="23"/>
        <v>Davos</v>
      </c>
      <c r="C137" s="123" t="str">
        <f t="shared" si="23"/>
        <v>Disentis</v>
      </c>
      <c r="D137" s="123" t="str">
        <f t="shared" si="23"/>
        <v>Robbia</v>
      </c>
      <c r="E137" s="123" t="str">
        <f t="shared" si="23"/>
        <v>Schuls</v>
      </c>
      <c r="F137" s="123" t="str">
        <f t="shared" si="23"/>
        <v>Samedan</v>
      </c>
      <c r="G137" s="213"/>
    </row>
    <row r="138" spans="1:7">
      <c r="A138" s="123" t="str">
        <f t="shared" ref="A138:F147" si="24">IF(B108&gt;0,INDEX($B$54:$B$94,B108,1),"")</f>
        <v>Basel-Binningen</v>
      </c>
      <c r="B138" s="123" t="str">
        <f t="shared" si="24"/>
        <v>La Chaux-de-Fonds</v>
      </c>
      <c r="C138" s="123" t="str">
        <f t="shared" si="24"/>
        <v/>
      </c>
      <c r="D138" s="123" t="str">
        <f t="shared" si="24"/>
        <v/>
      </c>
      <c r="E138" s="123" t="str">
        <f t="shared" si="24"/>
        <v/>
      </c>
      <c r="F138" s="123" t="str">
        <f t="shared" si="24"/>
        <v/>
      </c>
      <c r="G138" s="213"/>
    </row>
    <row r="139" spans="1:7">
      <c r="A139" s="123" t="str">
        <f t="shared" si="24"/>
        <v>Luzern</v>
      </c>
      <c r="B139" s="123" t="str">
        <f t="shared" si="24"/>
        <v/>
      </c>
      <c r="C139" s="123" t="str">
        <f t="shared" si="24"/>
        <v/>
      </c>
      <c r="D139" s="123" t="str">
        <f t="shared" si="24"/>
        <v/>
      </c>
      <c r="E139" s="123" t="str">
        <f t="shared" si="24"/>
        <v/>
      </c>
      <c r="F139" s="123" t="str">
        <f t="shared" si="24"/>
        <v/>
      </c>
      <c r="G139" s="213"/>
    </row>
    <row r="140" spans="1:7">
      <c r="A140" s="123" t="str">
        <f t="shared" si="24"/>
        <v>Neuchâtel</v>
      </c>
      <c r="B140" s="123" t="str">
        <f t="shared" si="24"/>
        <v>La Chaux-de-Fonds</v>
      </c>
      <c r="C140" s="123" t="str">
        <f t="shared" si="24"/>
        <v/>
      </c>
      <c r="D140" s="123" t="str">
        <f t="shared" si="24"/>
        <v/>
      </c>
      <c r="E140" s="123" t="str">
        <f t="shared" si="24"/>
        <v/>
      </c>
      <c r="F140" s="123" t="str">
        <f t="shared" si="24"/>
        <v/>
      </c>
      <c r="G140" s="213"/>
    </row>
    <row r="141" spans="1:7">
      <c r="A141" s="123" t="str">
        <f t="shared" si="24"/>
        <v>Luzern</v>
      </c>
      <c r="B141" s="123" t="str">
        <f t="shared" si="24"/>
        <v/>
      </c>
      <c r="C141" s="123" t="str">
        <f t="shared" si="24"/>
        <v/>
      </c>
      <c r="D141" s="123" t="str">
        <f t="shared" si="24"/>
        <v/>
      </c>
      <c r="E141" s="123" t="str">
        <f t="shared" si="24"/>
        <v/>
      </c>
      <c r="F141" s="123" t="str">
        <f t="shared" si="24"/>
        <v/>
      </c>
      <c r="G141" s="213"/>
    </row>
    <row r="142" spans="1:7">
      <c r="A142" s="123" t="str">
        <f t="shared" si="24"/>
        <v>Luzern</v>
      </c>
      <c r="B142" s="123" t="str">
        <f t="shared" si="24"/>
        <v>Engelberg</v>
      </c>
      <c r="C142" s="123" t="str">
        <f t="shared" si="24"/>
        <v/>
      </c>
      <c r="D142" s="123" t="str">
        <f t="shared" si="24"/>
        <v/>
      </c>
      <c r="E142" s="123" t="str">
        <f t="shared" si="24"/>
        <v/>
      </c>
      <c r="F142" s="123" t="str">
        <f t="shared" si="24"/>
        <v/>
      </c>
      <c r="G142" s="213"/>
    </row>
    <row r="143" spans="1:7">
      <c r="A143" s="123" t="str">
        <f t="shared" si="24"/>
        <v>St. Gallen</v>
      </c>
      <c r="B143" s="123" t="str">
        <f t="shared" si="24"/>
        <v/>
      </c>
      <c r="C143" s="123" t="str">
        <f t="shared" si="24"/>
        <v/>
      </c>
      <c r="D143" s="123" t="str">
        <f t="shared" si="24"/>
        <v/>
      </c>
      <c r="E143" s="123" t="str">
        <f t="shared" si="24"/>
        <v/>
      </c>
      <c r="F143" s="123" t="str">
        <f t="shared" si="24"/>
        <v/>
      </c>
      <c r="G143" s="213"/>
    </row>
    <row r="144" spans="1:7">
      <c r="A144" s="123" t="str">
        <f t="shared" si="24"/>
        <v>Schaffhausen</v>
      </c>
      <c r="B144" s="123" t="str">
        <f t="shared" si="24"/>
        <v/>
      </c>
      <c r="C144" s="123" t="str">
        <f t="shared" si="24"/>
        <v/>
      </c>
      <c r="D144" s="123" t="str">
        <f t="shared" si="24"/>
        <v/>
      </c>
      <c r="E144" s="123" t="str">
        <f t="shared" si="24"/>
        <v/>
      </c>
      <c r="F144" s="123" t="str">
        <f t="shared" si="24"/>
        <v/>
      </c>
      <c r="G144" s="213"/>
    </row>
    <row r="145" spans="1:7">
      <c r="A145" s="123" t="str">
        <f t="shared" si="24"/>
        <v>Wynau</v>
      </c>
      <c r="B145" s="123" t="str">
        <f t="shared" si="24"/>
        <v/>
      </c>
      <c r="C145" s="123" t="str">
        <f t="shared" si="24"/>
        <v/>
      </c>
      <c r="D145" s="123" t="str">
        <f t="shared" si="24"/>
        <v/>
      </c>
      <c r="E145" s="123" t="str">
        <f t="shared" si="24"/>
        <v/>
      </c>
      <c r="F145" s="123" t="str">
        <f t="shared" si="24"/>
        <v/>
      </c>
      <c r="G145" s="213"/>
    </row>
    <row r="146" spans="1:7">
      <c r="A146" s="123" t="str">
        <f t="shared" si="24"/>
        <v>Luzern</v>
      </c>
      <c r="B146" s="123" t="str">
        <f t="shared" si="24"/>
        <v>Zürich SMA</v>
      </c>
      <c r="C146" s="123" t="str">
        <f t="shared" si="24"/>
        <v/>
      </c>
      <c r="D146" s="123" t="str">
        <f t="shared" si="24"/>
        <v/>
      </c>
      <c r="E146" s="123" t="str">
        <f t="shared" si="24"/>
        <v/>
      </c>
      <c r="F146" s="123" t="str">
        <f t="shared" si="24"/>
        <v/>
      </c>
      <c r="G146" s="213"/>
    </row>
    <row r="147" spans="1:7">
      <c r="A147" s="123" t="str">
        <f t="shared" si="24"/>
        <v>Güttingen</v>
      </c>
      <c r="B147" s="123" t="str">
        <f t="shared" si="24"/>
        <v/>
      </c>
      <c r="C147" s="123" t="str">
        <f t="shared" si="24"/>
        <v/>
      </c>
      <c r="D147" s="123" t="str">
        <f t="shared" si="24"/>
        <v/>
      </c>
      <c r="E147" s="123" t="str">
        <f t="shared" si="24"/>
        <v/>
      </c>
      <c r="F147" s="123" t="str">
        <f t="shared" si="24"/>
        <v/>
      </c>
      <c r="G147" s="213"/>
    </row>
    <row r="148" spans="1:7">
      <c r="A148" s="123" t="str">
        <f t="shared" ref="A148:F154" si="25">IF(B118&gt;0,INDEX($B$54:$B$94,B118,1),"")</f>
        <v>Locarno-Monti</v>
      </c>
      <c r="B148" s="123" t="str">
        <f t="shared" si="25"/>
        <v>Lugano</v>
      </c>
      <c r="C148" s="123" t="str">
        <f t="shared" si="25"/>
        <v>Magadino</v>
      </c>
      <c r="D148" s="123" t="str">
        <f t="shared" si="25"/>
        <v>Robbia</v>
      </c>
      <c r="E148" s="123" t="str">
        <f t="shared" si="25"/>
        <v>San Bernardino</v>
      </c>
      <c r="F148" s="123" t="str">
        <f t="shared" si="25"/>
        <v/>
      </c>
      <c r="G148" s="213"/>
    </row>
    <row r="149" spans="1:7">
      <c r="A149" s="123" t="str">
        <f t="shared" si="25"/>
        <v>Altdorf</v>
      </c>
      <c r="B149" s="123" t="str">
        <f t="shared" si="25"/>
        <v/>
      </c>
      <c r="C149" s="123" t="str">
        <f t="shared" si="25"/>
        <v/>
      </c>
      <c r="D149" s="123" t="str">
        <f t="shared" si="25"/>
        <v/>
      </c>
      <c r="E149" s="123" t="str">
        <f t="shared" si="25"/>
        <v/>
      </c>
      <c r="F149" s="123" t="str">
        <f t="shared" si="25"/>
        <v/>
      </c>
      <c r="G149" s="213"/>
    </row>
    <row r="150" spans="1:7">
      <c r="A150" s="123" t="str">
        <f t="shared" si="25"/>
        <v>Payerne</v>
      </c>
      <c r="B150" s="123" t="str">
        <f t="shared" si="25"/>
        <v>La Chaux-de-Fonds</v>
      </c>
      <c r="C150" s="123" t="str">
        <f t="shared" si="25"/>
        <v>Adelboden</v>
      </c>
      <c r="D150" s="123" t="str">
        <f t="shared" si="25"/>
        <v/>
      </c>
      <c r="E150" s="123" t="str">
        <f t="shared" si="25"/>
        <v/>
      </c>
      <c r="F150" s="123" t="str">
        <f t="shared" si="25"/>
        <v/>
      </c>
      <c r="G150" s="213"/>
    </row>
    <row r="151" spans="1:7">
      <c r="A151" s="123" t="str">
        <f t="shared" si="25"/>
        <v>Sion</v>
      </c>
      <c r="B151" s="123" t="str">
        <f t="shared" si="25"/>
        <v>Zermatt</v>
      </c>
      <c r="C151" s="123" t="str">
        <f t="shared" si="25"/>
        <v>Montana</v>
      </c>
      <c r="D151" s="123" t="str">
        <f t="shared" si="25"/>
        <v>Gr. St. Bernhard</v>
      </c>
      <c r="E151" s="123" t="str">
        <f t="shared" si="25"/>
        <v/>
      </c>
      <c r="F151" s="123" t="str">
        <f t="shared" si="25"/>
        <v/>
      </c>
      <c r="G151" s="213"/>
    </row>
    <row r="152" spans="1:7">
      <c r="A152" s="123" t="str">
        <f t="shared" si="25"/>
        <v>Luzern</v>
      </c>
      <c r="B152" s="123" t="str">
        <f t="shared" si="25"/>
        <v/>
      </c>
      <c r="C152" s="123" t="str">
        <f t="shared" si="25"/>
        <v/>
      </c>
      <c r="D152" s="123" t="str">
        <f t="shared" si="25"/>
        <v/>
      </c>
      <c r="E152" s="123" t="str">
        <f t="shared" si="25"/>
        <v/>
      </c>
      <c r="F152" s="123" t="str">
        <f t="shared" si="25"/>
        <v/>
      </c>
      <c r="G152" s="213"/>
    </row>
    <row r="153" spans="1:7">
      <c r="A153" s="123" t="str">
        <f t="shared" si="25"/>
        <v>Zürich SMA</v>
      </c>
      <c r="B153" s="123" t="str">
        <f t="shared" si="25"/>
        <v/>
      </c>
      <c r="C153" s="123" t="str">
        <f t="shared" si="25"/>
        <v/>
      </c>
      <c r="D153" s="123" t="str">
        <f t="shared" si="25"/>
        <v/>
      </c>
      <c r="E153" s="123" t="str">
        <f t="shared" si="25"/>
        <v/>
      </c>
      <c r="F153" s="123" t="str">
        <f t="shared" si="25"/>
        <v/>
      </c>
      <c r="G153" s="213"/>
    </row>
    <row r="154" spans="1:7">
      <c r="A154" s="123" t="str">
        <f t="shared" si="25"/>
        <v>Vaduz</v>
      </c>
      <c r="B154" s="123" t="str">
        <f t="shared" si="25"/>
        <v>Engelberg</v>
      </c>
      <c r="C154" s="123" t="str">
        <f t="shared" si="25"/>
        <v/>
      </c>
      <c r="D154" s="123" t="str">
        <f t="shared" si="25"/>
        <v/>
      </c>
      <c r="E154" s="123" t="str">
        <f t="shared" si="25"/>
        <v/>
      </c>
      <c r="F154" s="123" t="str">
        <f t="shared" si="25"/>
        <v/>
      </c>
      <c r="G154" s="213"/>
    </row>
    <row r="155" spans="1:7">
      <c r="A155" s="251"/>
      <c r="B155" s="251"/>
      <c r="C155" s="251"/>
      <c r="D155" s="251"/>
      <c r="E155" s="251"/>
      <c r="F155" s="251"/>
      <c r="G155" s="251"/>
    </row>
  </sheetData>
  <sheetProtection algorithmName="SHA-512" hashValue="jSRzYSAFA6UySfT9VisEmUiqZnFfjXKm29eCXvmb3w6rh+fgUOyHotbXUwHkss9eFFd0Pba5yp0IOp187DqlXw==" saltValue="sE+9wMfZLStSTo2JXaQhMw==" spinCount="100000" sheet="1" objects="1" scenarios="1"/>
  <mergeCells count="69">
    <mergeCell ref="AM37:AN37"/>
    <mergeCell ref="AM38:AN38"/>
    <mergeCell ref="AM36:AN36"/>
    <mergeCell ref="AM39:AN39"/>
    <mergeCell ref="AK36:AL36"/>
    <mergeCell ref="AK37:AL37"/>
    <mergeCell ref="AM44:AN44"/>
    <mergeCell ref="AM45:AN45"/>
    <mergeCell ref="AK44:AL44"/>
    <mergeCell ref="AM41:AN41"/>
    <mergeCell ref="AK42:AL42"/>
    <mergeCell ref="AK43:AL43"/>
    <mergeCell ref="AM43:AN43"/>
    <mergeCell ref="AM42:AN42"/>
    <mergeCell ref="AM40:AN40"/>
    <mergeCell ref="AK39:AL39"/>
    <mergeCell ref="AK38:AL38"/>
    <mergeCell ref="AK40:AL40"/>
    <mergeCell ref="AK41:AL41"/>
    <mergeCell ref="AK35:AL35"/>
    <mergeCell ref="AX26:AY26"/>
    <mergeCell ref="AX27:AY27"/>
    <mergeCell ref="AX28:AY28"/>
    <mergeCell ref="AX29:AY29"/>
    <mergeCell ref="AX30:AY30"/>
    <mergeCell ref="AM35:AN35"/>
    <mergeCell ref="BL6:BM6"/>
    <mergeCell ref="AG33:AH33"/>
    <mergeCell ref="AI33:AJ33"/>
    <mergeCell ref="AK33:AL33"/>
    <mergeCell ref="AM33:AN33"/>
    <mergeCell ref="AV21:AW21"/>
    <mergeCell ref="BI28:BJ28"/>
    <mergeCell ref="AG44:AH44"/>
    <mergeCell ref="Y4:Z4"/>
    <mergeCell ref="AG38:AH38"/>
    <mergeCell ref="AG37:AH37"/>
    <mergeCell ref="AI36:AJ36"/>
    <mergeCell ref="AI37:AJ37"/>
    <mergeCell ref="AI43:AJ43"/>
    <mergeCell ref="AI38:AJ38"/>
    <mergeCell ref="AG42:AH42"/>
    <mergeCell ref="AG43:AH43"/>
    <mergeCell ref="AI42:AJ42"/>
    <mergeCell ref="AG35:AH35"/>
    <mergeCell ref="AI35:AJ35"/>
    <mergeCell ref="O83:P83"/>
    <mergeCell ref="AO50:AP50"/>
    <mergeCell ref="AG50:AH50"/>
    <mergeCell ref="AI50:AJ50"/>
    <mergeCell ref="AK50:AL50"/>
    <mergeCell ref="AM50:AN50"/>
    <mergeCell ref="U54:V54"/>
    <mergeCell ref="AI49:AJ49"/>
    <mergeCell ref="AM49:AN49"/>
    <mergeCell ref="AG36:AH36"/>
    <mergeCell ref="AI44:AJ44"/>
    <mergeCell ref="AO49:AP49"/>
    <mergeCell ref="AK45:AL45"/>
    <mergeCell ref="AK49:AL49"/>
    <mergeCell ref="AG40:AH40"/>
    <mergeCell ref="AG49:AH49"/>
    <mergeCell ref="AG45:AH45"/>
    <mergeCell ref="AI45:AJ45"/>
    <mergeCell ref="AG39:AH39"/>
    <mergeCell ref="AI39:AJ39"/>
    <mergeCell ref="AI40:AJ40"/>
    <mergeCell ref="AI41:AJ41"/>
    <mergeCell ref="AG41:AH41"/>
  </mergeCells>
  <phoneticPr fontId="5" type="noConversion"/>
  <pageMargins left="0.28000000000000003" right="0.31" top="1.0236220472440944" bottom="0.98425196850393704" header="0.51181102362204722" footer="0.51181102362204722"/>
  <pageSetup paperSize="9" scale="4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D147"/>
  <sheetViews>
    <sheetView showZeros="0" zoomScale="75" workbookViewId="0">
      <selection activeCell="F82" sqref="F82"/>
    </sheetView>
  </sheetViews>
  <sheetFormatPr baseColWidth="10" defaultRowHeight="13.2"/>
  <cols>
    <col min="1" max="1" width="34.109375" style="1086" customWidth="1"/>
  </cols>
  <sheetData>
    <row r="1" spans="1:4" ht="15.75" customHeight="1">
      <c r="A1" s="1086" t="s">
        <v>1039</v>
      </c>
      <c r="B1" t="s">
        <v>1649</v>
      </c>
      <c r="C1" s="1088">
        <f>IF(ISNA(VLOOKUP($B1,Schnittstelle380!$A$1:$B$147,2,FALSE)),,VLOOKUP($B1,Schnittstelle380!$A$1:$B$147,2,FALSE))</f>
        <v>3</v>
      </c>
      <c r="D1" t="s">
        <v>737</v>
      </c>
    </row>
    <row r="2" spans="1:4" ht="15.75" customHeight="1">
      <c r="A2" s="1086" t="s">
        <v>1023</v>
      </c>
      <c r="B2" t="s">
        <v>234</v>
      </c>
      <c r="C2" s="1088">
        <f>IF(ISNA(VLOOKUP($B2,Schnittstelle380!$A$1:$B$147,2,FALSE)),,VLOOKUP($B2,Schnittstelle380!$A$1:$B$147,2,FALSE))</f>
        <v>0</v>
      </c>
    </row>
    <row r="3" spans="1:4" ht="15.75" customHeight="1">
      <c r="A3" s="1086" t="s">
        <v>648</v>
      </c>
      <c r="B3" t="s">
        <v>235</v>
      </c>
      <c r="C3" s="1088">
        <f>IF(ISNA(VLOOKUP($B3,Schnittstelle380!$A$1:$B$147,2,FALSE)),,VLOOKUP($B3,Schnittstelle380!$A$1:$B$147,2,FALSE))</f>
        <v>0</v>
      </c>
    </row>
    <row r="4" spans="1:4" ht="15.75" customHeight="1">
      <c r="A4" s="1086" t="s">
        <v>649</v>
      </c>
      <c r="B4" t="s">
        <v>236</v>
      </c>
      <c r="C4" s="1088">
        <f>IF(ISNA(VLOOKUP($B4,Schnittstelle380!$A$1:$B$147,2,FALSE)),,VLOOKUP($B4,Schnittstelle380!$A$1:$B$147,2,FALSE))</f>
        <v>0</v>
      </c>
    </row>
    <row r="5" spans="1:4" ht="15.75" customHeight="1">
      <c r="A5" s="1086" t="s">
        <v>650</v>
      </c>
      <c r="B5" t="s">
        <v>237</v>
      </c>
      <c r="C5" s="1088">
        <f>IF(ISNA(VLOOKUP($B5,Schnittstelle380!$A$1:$B$147,2,FALSE)),,VLOOKUP($B5,Schnittstelle380!$A$1:$B$147,2,FALSE))</f>
        <v>0</v>
      </c>
    </row>
    <row r="6" spans="1:4" ht="15.75" customHeight="1">
      <c r="A6" s="1086" t="s">
        <v>651</v>
      </c>
      <c r="B6" t="s">
        <v>238</v>
      </c>
      <c r="C6" s="1088">
        <f>IF(ISNA(VLOOKUP($B6,Schnittstelle380!$A$1:$B$147,2,FALSE)),,VLOOKUP($B6,Schnittstelle380!$A$1:$B$147,2,FALSE))</f>
        <v>0</v>
      </c>
    </row>
    <row r="7" spans="1:4" ht="15.75" customHeight="1">
      <c r="A7" s="1086" t="s">
        <v>1027</v>
      </c>
      <c r="B7" t="s">
        <v>239</v>
      </c>
      <c r="C7" s="1088">
        <f>IF(ISNA(VLOOKUP($B7,Schnittstelle380!$A$1:$B$147,2,FALSE)),,VLOOKUP($B7,Schnittstelle380!$A$1:$B$147,2,FALSE))</f>
        <v>0</v>
      </c>
    </row>
    <row r="8" spans="1:4" ht="15.75" customHeight="1">
      <c r="A8" s="1086" t="s">
        <v>1028</v>
      </c>
      <c r="B8" t="s">
        <v>240</v>
      </c>
      <c r="C8" s="1088">
        <f>IF(ISNA(VLOOKUP($B8,Schnittstelle380!$A$1:$B$147,2,FALSE)),,VLOOKUP($B8,Schnittstelle380!$A$1:$B$147,2,FALSE))</f>
        <v>0</v>
      </c>
    </row>
    <row r="9" spans="1:4" ht="15.75" customHeight="1">
      <c r="A9" s="1086" t="s">
        <v>1029</v>
      </c>
      <c r="B9" t="s">
        <v>241</v>
      </c>
      <c r="C9" s="1088">
        <f>IF(ISNA(VLOOKUP($B9,Schnittstelle380!$A$1:$B$147,2,FALSE)),,VLOOKUP($B9,Schnittstelle380!$A$1:$B$147,2,FALSE))</f>
        <v>0</v>
      </c>
    </row>
    <row r="10" spans="1:4" ht="15.75" customHeight="1">
      <c r="A10" s="1086" t="s">
        <v>1040</v>
      </c>
      <c r="B10" t="s">
        <v>242</v>
      </c>
      <c r="C10" s="1088">
        <f>IF(ISNA(VLOOKUP($B10,Schnittstelle380!$A$1:$B$147,2,FALSE)),,VLOOKUP($B10,Schnittstelle380!$A$1:$B$147,2,FALSE))</f>
        <v>0</v>
      </c>
      <c r="D10" s="1091" t="s">
        <v>738</v>
      </c>
    </row>
    <row r="11" spans="1:4" ht="15.75" customHeight="1">
      <c r="A11" s="1086" t="s">
        <v>1030</v>
      </c>
      <c r="B11" t="s">
        <v>1701</v>
      </c>
      <c r="C11" s="1088">
        <f>IF(ISNA(VLOOKUP($B11,Schnittstelle380!$A$1:$B$147,2,FALSE)),,VLOOKUP($B11,Schnittstelle380!$A$1:$B$147,2,FALSE))</f>
        <v>0</v>
      </c>
    </row>
    <row r="12" spans="1:4" ht="15.75" customHeight="1">
      <c r="A12" s="1086" t="s">
        <v>1031</v>
      </c>
      <c r="B12" t="s">
        <v>1702</v>
      </c>
      <c r="C12" s="1088">
        <f>IF(ISNA(VLOOKUP($B12,Schnittstelle380!$A$1:$B$147,2,FALSE)),,VLOOKUP($B12,Schnittstelle380!$A$1:$B$147,2,FALSE))</f>
        <v>0</v>
      </c>
    </row>
    <row r="13" spans="1:4" ht="15.75" customHeight="1">
      <c r="A13" s="1086" t="s">
        <v>1032</v>
      </c>
      <c r="B13" t="s">
        <v>1703</v>
      </c>
      <c r="C13" s="1088">
        <f>IF(ISNA(VLOOKUP($B13,Schnittstelle380!$A$1:$B$147,2,FALSE)),,VLOOKUP($B13,Schnittstelle380!$A$1:$B$147,2,FALSE))</f>
        <v>0</v>
      </c>
    </row>
    <row r="14" spans="1:4" ht="15.75" customHeight="1">
      <c r="A14" s="1086" t="s">
        <v>1033</v>
      </c>
      <c r="B14" t="s">
        <v>1704</v>
      </c>
      <c r="C14" s="1088">
        <f>IF(ISNA(VLOOKUP($B14,Schnittstelle380!$A$1:$B$147,2,FALSE)),,VLOOKUP($B14,Schnittstelle380!$A$1:$B$147,2,FALSE))</f>
        <v>0</v>
      </c>
    </row>
    <row r="15" spans="1:4" ht="15.75" customHeight="1">
      <c r="A15" s="1086" t="s">
        <v>1041</v>
      </c>
      <c r="B15" t="s">
        <v>1705</v>
      </c>
      <c r="C15" s="1088">
        <f>IF(ISNA(VLOOKUP($B15,Schnittstelle380!$A$1:$B$147,2,FALSE)),,VLOOKUP($B15,Schnittstelle380!$A$1:$B$147,2,FALSE))</f>
        <v>0</v>
      </c>
      <c r="D15" t="s">
        <v>1217</v>
      </c>
    </row>
    <row r="16" spans="1:4" ht="15.75" customHeight="1">
      <c r="A16" s="1086" t="s">
        <v>1034</v>
      </c>
      <c r="B16" t="s">
        <v>1706</v>
      </c>
      <c r="C16" s="1088">
        <f>IF(ISNA(VLOOKUP($B16,Schnittstelle380!$A$1:$B$147,2,FALSE)),,VLOOKUP($B16,Schnittstelle380!$A$1:$B$147,2,FALSE))</f>
        <v>0</v>
      </c>
    </row>
    <row r="17" spans="1:4" ht="15.75" customHeight="1">
      <c r="A17" s="1086" t="s">
        <v>1035</v>
      </c>
      <c r="B17" t="s">
        <v>1707</v>
      </c>
      <c r="C17" s="1088">
        <f>IF(ISNA(VLOOKUP($B17,Schnittstelle380!$A$1:$B$147,2,FALSE)),,VLOOKUP($B17,Schnittstelle380!$A$1:$B$147,2,FALSE))</f>
        <v>0</v>
      </c>
    </row>
    <row r="18" spans="1:4" ht="15.75" customHeight="1">
      <c r="A18" s="1086" t="s">
        <v>1036</v>
      </c>
      <c r="B18" t="s">
        <v>1708</v>
      </c>
      <c r="C18" s="1088">
        <f>IF(ISNA(VLOOKUP($B18,Schnittstelle380!$A$1:$B$147,2,FALSE)),,VLOOKUP($B18,Schnittstelle380!$A$1:$B$147,2,FALSE))</f>
        <v>0</v>
      </c>
    </row>
    <row r="19" spans="1:4" ht="15.75" customHeight="1">
      <c r="A19" s="1086" t="s">
        <v>1037</v>
      </c>
      <c r="B19" t="s">
        <v>1709</v>
      </c>
      <c r="C19" s="1088">
        <f>IF(ISNA(VLOOKUP($B19,Schnittstelle380!$A$1:$B$147,2,FALSE)),,VLOOKUP($B19,Schnittstelle380!$A$1:$B$147,2,FALSE))</f>
        <v>0</v>
      </c>
    </row>
    <row r="20" spans="1:4" ht="15.75" customHeight="1">
      <c r="A20" s="1086" t="s">
        <v>1038</v>
      </c>
      <c r="B20" t="s">
        <v>1710</v>
      </c>
      <c r="C20" s="1088">
        <f>IF(ISNA(VLOOKUP($B20,Schnittstelle380!$A$1:$B$147,2,FALSE)),,VLOOKUP($B20,Schnittstelle380!$A$1:$B$147,2,FALSE))</f>
        <v>0</v>
      </c>
    </row>
    <row r="21" spans="1:4" ht="15.75" customHeight="1">
      <c r="A21" s="1086" t="s">
        <v>602</v>
      </c>
      <c r="B21" t="s">
        <v>735</v>
      </c>
      <c r="C21" s="1088">
        <f>IF(ISNA(VLOOKUP($B21,Schnittstelle380!$A$1:$B$147,2,FALSE)),,VLOOKUP($B21,Schnittstelle380!$A$1:$B$147,2,FALSE))</f>
        <v>0</v>
      </c>
      <c r="D21" s="1091" t="s">
        <v>1218</v>
      </c>
    </row>
    <row r="22" spans="1:4" ht="15.75" customHeight="1">
      <c r="A22" s="1086" t="s">
        <v>734</v>
      </c>
      <c r="B22" t="s">
        <v>736</v>
      </c>
      <c r="C22" s="1088">
        <f>IF(ISNA(VLOOKUP($B22,Schnittstelle380!$A$1:$B$147,2,FALSE)),,VLOOKUP($B22,Schnittstelle380!$A$1:$B$147,2,FALSE))</f>
        <v>0</v>
      </c>
      <c r="D22" s="1091" t="s">
        <v>1219</v>
      </c>
    </row>
    <row r="23" spans="1:4" ht="15.75" customHeight="1">
      <c r="A23" s="1086" t="s">
        <v>1136</v>
      </c>
      <c r="B23" t="s">
        <v>667</v>
      </c>
      <c r="C23" s="1088">
        <f>IF(ISNA(VLOOKUP($B23,Schnittstelle380!$A$1:$B$147,2,FALSE)),,VLOOKUP($B23,Schnittstelle380!$A$1:$B$147,2,FALSE))</f>
        <v>0</v>
      </c>
    </row>
    <row r="24" spans="1:4" ht="15.75" customHeight="1">
      <c r="A24" s="1086" t="s">
        <v>1650</v>
      </c>
      <c r="B24" t="s">
        <v>600</v>
      </c>
      <c r="C24" s="1088">
        <f>IF(ISNA(VLOOKUP($B24,Schnittstelle380!$A$1:$B$147,2,FALSE)),,VLOOKUP($B24,Schnittstelle380!$A$1:$B$147,2,FALSE))</f>
        <v>0</v>
      </c>
      <c r="D24" t="s">
        <v>723</v>
      </c>
    </row>
    <row r="25" spans="1:4" ht="15.75" customHeight="1">
      <c r="A25" s="1086" t="s">
        <v>598</v>
      </c>
      <c r="B25" t="s">
        <v>599</v>
      </c>
      <c r="C25" s="1088">
        <f>IF(ISNA(VLOOKUP($B25,Schnittstelle380!$A$1:$B$147,2,FALSE)),,VLOOKUP($B25,Schnittstelle380!$A$1:$B$147,2,FALSE))</f>
        <v>0</v>
      </c>
      <c r="D25" t="s">
        <v>1141</v>
      </c>
    </row>
    <row r="26" spans="1:4" ht="15.75" customHeight="1">
      <c r="A26" s="1086" t="s">
        <v>597</v>
      </c>
      <c r="B26" t="s">
        <v>601</v>
      </c>
      <c r="C26" s="1088">
        <f>IF(ISNA(VLOOKUP($B26,Schnittstelle380!$A$1:$B$147,2,FALSE)),,VLOOKUP($B26,Schnittstelle380!$A$1:$B$147,2,FALSE))</f>
        <v>0</v>
      </c>
      <c r="D26" t="s">
        <v>1142</v>
      </c>
    </row>
    <row r="27" spans="1:4" ht="15.75" customHeight="1">
      <c r="A27" s="1086" t="s">
        <v>194</v>
      </c>
      <c r="B27" t="s">
        <v>204</v>
      </c>
      <c r="C27" s="1088">
        <f>IF(ISNA(VLOOKUP($B27,Schnittstelle380!$A$1:$B$147,2,FALSE)),,VLOOKUP($B27,Schnittstelle380!$A$1:$B$147,2,FALSE))</f>
        <v>0</v>
      </c>
      <c r="D27" t="s">
        <v>783</v>
      </c>
    </row>
    <row r="28" spans="1:4" ht="15.75" customHeight="1">
      <c r="A28" s="1086" t="s">
        <v>196</v>
      </c>
      <c r="B28" t="s">
        <v>668</v>
      </c>
      <c r="C28" s="1088">
        <f>IF(ISNA(VLOOKUP($B28,Schnittstelle380!$A$1:$B$147,2,FALSE)),,VLOOKUP($B28,Schnittstelle380!$A$1:$B$147,2,FALSE))</f>
        <v>0</v>
      </c>
    </row>
    <row r="29" spans="1:4" ht="15.75" customHeight="1">
      <c r="A29" s="1086" t="s">
        <v>1646</v>
      </c>
      <c r="B29" t="s">
        <v>1717</v>
      </c>
      <c r="C29" s="1088">
        <f>IF(ISNA(VLOOKUP($B29,Schnittstelle380!$A$1:$B$147,2,FALSE)),,VLOOKUP($B29,Schnittstelle380!$A$1:$B$147,2,FALSE))</f>
        <v>0</v>
      </c>
      <c r="D29" t="s">
        <v>1714</v>
      </c>
    </row>
    <row r="30" spans="1:4" ht="15.75" customHeight="1">
      <c r="A30" s="1087" t="s">
        <v>195</v>
      </c>
      <c r="C30" s="1088"/>
    </row>
    <row r="31" spans="1:4" ht="15.75" customHeight="1">
      <c r="A31" s="1086" t="s">
        <v>1614</v>
      </c>
      <c r="B31" t="s">
        <v>205</v>
      </c>
      <c r="C31" s="1088">
        <f>IF(ISNA(VLOOKUP($B31,Schnittstelle380!$A$1:$B$147,2,FALSE)),,VLOOKUP($B31,Schnittstelle380!$A$1:$B$147,2,FALSE))</f>
        <v>0</v>
      </c>
      <c r="D31" t="s">
        <v>1143</v>
      </c>
    </row>
    <row r="32" spans="1:4" ht="15.75" customHeight="1">
      <c r="C32" s="1088"/>
    </row>
    <row r="33" spans="1:4" ht="15.75" customHeight="1">
      <c r="A33" s="1086" t="s">
        <v>663</v>
      </c>
      <c r="B33" t="s">
        <v>1241</v>
      </c>
      <c r="C33" s="1088">
        <f>IF(ISNA(VLOOKUP($B33,Schnittstelle380!$A$1:$B$147,2,FALSE)),,VLOOKUP($B33,Schnittstelle380!$A$1:$B$147,2,FALSE))</f>
        <v>0</v>
      </c>
    </row>
    <row r="34" spans="1:4" ht="15.75" customHeight="1">
      <c r="A34" s="1086" t="s">
        <v>233</v>
      </c>
      <c r="B34" t="s">
        <v>228</v>
      </c>
      <c r="C34" s="1088">
        <f>IF(ISNA(VLOOKUP($B34,Schnittstelle380!$A$1:$B$147,2,FALSE)),,VLOOKUP($B34,Schnittstelle380!$A$1:$B$147,2,FALSE))</f>
        <v>0</v>
      </c>
    </row>
    <row r="35" spans="1:4" ht="15.75" customHeight="1">
      <c r="A35" s="1086" t="s">
        <v>448</v>
      </c>
      <c r="B35" t="s">
        <v>669</v>
      </c>
      <c r="C35" s="1088">
        <f>IF(ISNA(VLOOKUP($B35,Schnittstelle380!$A$1:$B$147,2,FALSE)),,VLOOKUP($B35,Schnittstelle380!$A$1:$B$147,2,FALSE))</f>
        <v>0</v>
      </c>
      <c r="D35" t="s">
        <v>1144</v>
      </c>
    </row>
    <row r="36" spans="1:4" ht="15.75" customHeight="1">
      <c r="A36" s="1086" t="s">
        <v>1247</v>
      </c>
      <c r="B36" t="s">
        <v>1585</v>
      </c>
      <c r="C36" s="1088">
        <f>IF(ISNA(VLOOKUP($B36,Schnittstelle380!$A$1:$B$147,2,FALSE)),,VLOOKUP($B36,Schnittstelle380!$A$1:$B$147,2,FALSE))</f>
        <v>0</v>
      </c>
      <c r="D36" t="s">
        <v>1557</v>
      </c>
    </row>
    <row r="37" spans="1:4" ht="15.75" customHeight="1">
      <c r="A37" s="1086" t="s">
        <v>1562</v>
      </c>
      <c r="B37" t="s">
        <v>200</v>
      </c>
      <c r="C37" s="1088">
        <f>IF(ISNA(VLOOKUP($B37,Schnittstelle380!$A$1:$B$147,2,FALSE)),,VLOOKUP($B37,Schnittstelle380!$A$1:$B$147,2,FALSE))</f>
        <v>0</v>
      </c>
    </row>
    <row r="38" spans="1:4" ht="15.75" customHeight="1">
      <c r="A38" s="1086" t="s">
        <v>1558</v>
      </c>
      <c r="B38" t="s">
        <v>1559</v>
      </c>
      <c r="C38" s="1088">
        <f>IF(ISNA(VLOOKUP($B38,Schnittstelle380!$A$1:$B$147,2,FALSE)),,VLOOKUP($B38,Schnittstelle380!$A$1:$B$147,2,FALSE))</f>
        <v>0</v>
      </c>
    </row>
    <row r="39" spans="1:4" ht="15.75" customHeight="1">
      <c r="A39" s="1086" t="s">
        <v>1561</v>
      </c>
      <c r="B39" t="s">
        <v>1560</v>
      </c>
      <c r="C39" s="1088">
        <f>IF(ISNA(VLOOKUP($B39,Schnittstelle380!$A$1:$B$147,2,FALSE)),,VLOOKUP($B39,Schnittstelle380!$A$1:$B$147,2,FALSE))</f>
        <v>0</v>
      </c>
      <c r="D39" t="s">
        <v>1457</v>
      </c>
    </row>
    <row r="40" spans="1:4" ht="15.75" customHeight="1">
      <c r="A40" s="1086" t="s">
        <v>1563</v>
      </c>
      <c r="B40" t="s">
        <v>1564</v>
      </c>
      <c r="C40" s="1088">
        <f>IF(ISNA(VLOOKUP($B40,Schnittstelle380!$A$1:$B$147,2,FALSE)),,VLOOKUP($B40,Schnittstelle380!$A$1:$B$147,2,FALSE))</f>
        <v>0</v>
      </c>
    </row>
    <row r="41" spans="1:4" ht="15.75" customHeight="1">
      <c r="A41" s="1087" t="s">
        <v>197</v>
      </c>
      <c r="C41" s="1088"/>
    </row>
    <row r="42" spans="1:4" ht="15.75" customHeight="1">
      <c r="A42" s="1086" t="s">
        <v>1614</v>
      </c>
      <c r="B42" t="s">
        <v>206</v>
      </c>
      <c r="C42" s="1088">
        <f>IF(ISNA(VLOOKUP($B42,Schnittstelle380!$A$1:$B$147,2,FALSE)),,VLOOKUP($B42,Schnittstelle380!$A$1:$B$147,2,FALSE))</f>
        <v>0</v>
      </c>
      <c r="D42" t="s">
        <v>1143</v>
      </c>
    </row>
    <row r="43" spans="1:4" ht="15.75" customHeight="1">
      <c r="C43" s="1088"/>
    </row>
    <row r="44" spans="1:4" ht="15.75" customHeight="1">
      <c r="A44" s="1086" t="s">
        <v>663</v>
      </c>
      <c r="B44" t="s">
        <v>1242</v>
      </c>
      <c r="C44" s="1088">
        <f>IF(ISNA(VLOOKUP($B44,Schnittstelle380!$A$1:$B$147,2,FALSE)),,VLOOKUP($B44,Schnittstelle380!$A$1:$B$147,2,FALSE))</f>
        <v>0</v>
      </c>
    </row>
    <row r="45" spans="1:4" ht="15.75" customHeight="1">
      <c r="A45" s="1086" t="s">
        <v>233</v>
      </c>
      <c r="B45" t="s">
        <v>229</v>
      </c>
      <c r="C45" s="1088">
        <f>IF(ISNA(VLOOKUP($B45,Schnittstelle380!$A$1:$B$147,2,FALSE)),,VLOOKUP($B45,Schnittstelle380!$A$1:$B$147,2,FALSE))</f>
        <v>0</v>
      </c>
    </row>
    <row r="46" spans="1:4" ht="15.75" customHeight="1">
      <c r="A46" s="1086" t="s">
        <v>448</v>
      </c>
      <c r="B46" t="s">
        <v>670</v>
      </c>
      <c r="C46" s="1088">
        <f>IF(ISNA(VLOOKUP($B46,Schnittstelle380!$A$1:$B$147,2,FALSE)),,VLOOKUP($B46,Schnittstelle380!$A$1:$B$147,2,FALSE))</f>
        <v>0</v>
      </c>
      <c r="D46" t="s">
        <v>1144</v>
      </c>
    </row>
    <row r="47" spans="1:4" ht="15.75" customHeight="1">
      <c r="A47" s="1086" t="s">
        <v>1247</v>
      </c>
      <c r="B47" t="s">
        <v>1586</v>
      </c>
      <c r="C47" s="1088">
        <f>IF(ISNA(VLOOKUP($B47,Schnittstelle380!$A$1:$B$147,2,FALSE)),,VLOOKUP($B47,Schnittstelle380!$A$1:$B$147,2,FALSE))</f>
        <v>0</v>
      </c>
      <c r="D47" t="s">
        <v>1557</v>
      </c>
    </row>
    <row r="48" spans="1:4" ht="15.75" customHeight="1">
      <c r="A48" s="1086" t="s">
        <v>1562</v>
      </c>
      <c r="B48" t="s">
        <v>201</v>
      </c>
      <c r="C48" s="1088">
        <f>IF(ISNA(VLOOKUP($B48,Schnittstelle380!$A$1:$B$147,2,FALSE)),,VLOOKUP($B48,Schnittstelle380!$A$1:$B$147,2,FALSE))</f>
        <v>0</v>
      </c>
    </row>
    <row r="49" spans="1:4" ht="15.75" customHeight="1">
      <c r="A49" s="1086" t="s">
        <v>1558</v>
      </c>
      <c r="B49" t="s">
        <v>1573</v>
      </c>
      <c r="C49" s="1088">
        <f>IF(ISNA(VLOOKUP($B49,Schnittstelle380!$A$1:$B$147,2,FALSE)),,VLOOKUP($B49,Schnittstelle380!$A$1:$B$147,2,FALSE))</f>
        <v>0</v>
      </c>
    </row>
    <row r="50" spans="1:4" ht="15.75" customHeight="1">
      <c r="A50" s="1086" t="s">
        <v>1561</v>
      </c>
      <c r="B50" t="s">
        <v>1572</v>
      </c>
      <c r="C50" s="1088">
        <f>IF(ISNA(VLOOKUP($B50,Schnittstelle380!$A$1:$B$147,2,FALSE)),,VLOOKUP($B50,Schnittstelle380!$A$1:$B$147,2,FALSE))</f>
        <v>0</v>
      </c>
      <c r="D50" t="s">
        <v>1457</v>
      </c>
    </row>
    <row r="51" spans="1:4" ht="15.75" customHeight="1">
      <c r="A51" s="1086" t="s">
        <v>1563</v>
      </c>
      <c r="B51" t="s">
        <v>1571</v>
      </c>
      <c r="C51" s="1088">
        <f>IF(ISNA(VLOOKUP($B51,Schnittstelle380!$A$1:$B$147,2,FALSE)),,VLOOKUP($B51,Schnittstelle380!$A$1:$B$147,2,FALSE))</f>
        <v>0</v>
      </c>
    </row>
    <row r="52" spans="1:4" ht="15.75" customHeight="1">
      <c r="A52" s="1087" t="s">
        <v>198</v>
      </c>
      <c r="C52" s="1088"/>
    </row>
    <row r="53" spans="1:4" ht="15.75" customHeight="1">
      <c r="A53" s="1086" t="s">
        <v>1614</v>
      </c>
      <c r="B53" t="s">
        <v>207</v>
      </c>
      <c r="C53" s="1088">
        <f>IF(ISNA(VLOOKUP($B53,Schnittstelle380!$A$1:$B$147,2,FALSE)),,VLOOKUP($B53,Schnittstelle380!$A$1:$B$147,2,FALSE))</f>
        <v>0</v>
      </c>
      <c r="D53" t="s">
        <v>1143</v>
      </c>
    </row>
    <row r="54" spans="1:4" ht="15.75" customHeight="1">
      <c r="C54" s="1088"/>
    </row>
    <row r="55" spans="1:4" ht="15.75" customHeight="1">
      <c r="A55" s="1086" t="s">
        <v>663</v>
      </c>
      <c r="B55" t="s">
        <v>1243</v>
      </c>
      <c r="C55" s="1088">
        <f>IF(ISNA(VLOOKUP($B55,Schnittstelle380!$A$1:$B$147,2,FALSE)),,VLOOKUP($B55,Schnittstelle380!$A$1:$B$147,2,FALSE))</f>
        <v>0</v>
      </c>
    </row>
    <row r="56" spans="1:4" ht="15.75" customHeight="1">
      <c r="A56" s="1086" t="s">
        <v>233</v>
      </c>
      <c r="B56" t="s">
        <v>230</v>
      </c>
      <c r="C56" s="1088">
        <f>IF(ISNA(VLOOKUP($B56,Schnittstelle380!$A$1:$B$147,2,FALSE)),,VLOOKUP($B56,Schnittstelle380!$A$1:$B$147,2,FALSE))</f>
        <v>0</v>
      </c>
    </row>
    <row r="57" spans="1:4" ht="15.75" customHeight="1">
      <c r="A57" s="1086" t="s">
        <v>448</v>
      </c>
      <c r="B57" t="s">
        <v>671</v>
      </c>
      <c r="C57" s="1088">
        <f>IF(ISNA(VLOOKUP($B57,Schnittstelle380!$A$1:$B$147,2,FALSE)),,VLOOKUP($B57,Schnittstelle380!$A$1:$B$147,2,FALSE))</f>
        <v>0</v>
      </c>
      <c r="D57" t="s">
        <v>1144</v>
      </c>
    </row>
    <row r="58" spans="1:4" ht="15.75" customHeight="1">
      <c r="A58" s="1086" t="s">
        <v>1247</v>
      </c>
      <c r="B58" t="s">
        <v>1647</v>
      </c>
      <c r="C58" s="1088">
        <f>IF(ISNA(VLOOKUP($B58,Schnittstelle380!$A$1:$B$147,2,FALSE)),,VLOOKUP($B58,Schnittstelle380!$A$1:$B$147,2,FALSE))</f>
        <v>0</v>
      </c>
      <c r="D58" t="s">
        <v>1557</v>
      </c>
    </row>
    <row r="59" spans="1:4" ht="15.75" customHeight="1">
      <c r="A59" s="1086" t="s">
        <v>1562</v>
      </c>
      <c r="B59" t="s">
        <v>202</v>
      </c>
      <c r="C59" s="1088">
        <f>IF(ISNA(VLOOKUP($B59,Schnittstelle380!$A$1:$B$147,2,FALSE)),,VLOOKUP($B59,Schnittstelle380!$A$1:$B$147,2,FALSE))</f>
        <v>0</v>
      </c>
    </row>
    <row r="60" spans="1:4" ht="15.75" customHeight="1">
      <c r="A60" s="1086" t="s">
        <v>1558</v>
      </c>
      <c r="B60" t="s">
        <v>1570</v>
      </c>
      <c r="C60" s="1088">
        <f>IF(ISNA(VLOOKUP($B60,Schnittstelle380!$A$1:$B$147,2,FALSE)),,VLOOKUP($B60,Schnittstelle380!$A$1:$B$147,2,FALSE))</f>
        <v>0</v>
      </c>
    </row>
    <row r="61" spans="1:4" ht="15.75" customHeight="1">
      <c r="A61" s="1086" t="s">
        <v>1561</v>
      </c>
      <c r="B61" t="s">
        <v>1569</v>
      </c>
      <c r="C61" s="1088">
        <f>IF(ISNA(VLOOKUP($B61,Schnittstelle380!$A$1:$B$147,2,FALSE)),,VLOOKUP($B61,Schnittstelle380!$A$1:$B$147,2,FALSE))</f>
        <v>0</v>
      </c>
      <c r="D61" t="s">
        <v>1457</v>
      </c>
    </row>
    <row r="62" spans="1:4" ht="15.75" customHeight="1">
      <c r="A62" s="1086" t="s">
        <v>1563</v>
      </c>
      <c r="B62" t="s">
        <v>1568</v>
      </c>
      <c r="C62" s="1088">
        <f>IF(ISNA(VLOOKUP($B62,Schnittstelle380!$A$1:$B$147,2,FALSE)),,VLOOKUP($B62,Schnittstelle380!$A$1:$B$147,2,FALSE))</f>
        <v>0</v>
      </c>
    </row>
    <row r="63" spans="1:4" ht="15.75" customHeight="1">
      <c r="A63" s="1087" t="s">
        <v>199</v>
      </c>
      <c r="C63" s="1088"/>
    </row>
    <row r="64" spans="1:4" ht="15.75" customHeight="1">
      <c r="A64" s="1086" t="s">
        <v>1614</v>
      </c>
      <c r="B64" t="s">
        <v>208</v>
      </c>
      <c r="C64" s="1088">
        <f>IF(ISNA(VLOOKUP($B64,Schnittstelle380!$A$1:$B$147,2,FALSE)),,VLOOKUP($B64,Schnittstelle380!$A$1:$B$147,2,FALSE))</f>
        <v>0</v>
      </c>
      <c r="D64" t="s">
        <v>1143</v>
      </c>
    </row>
    <row r="65" spans="1:4" ht="15.75" customHeight="1">
      <c r="C65" s="1088"/>
    </row>
    <row r="66" spans="1:4" ht="15.75" customHeight="1">
      <c r="A66" s="1086" t="s">
        <v>663</v>
      </c>
      <c r="B66" t="s">
        <v>232</v>
      </c>
      <c r="C66" s="1088">
        <f>IF(ISNA(VLOOKUP($B66,Schnittstelle380!$A$1:$B$147,2,FALSE)),,VLOOKUP($B66,Schnittstelle380!$A$1:$B$147,2,FALSE))</f>
        <v>0</v>
      </c>
    </row>
    <row r="67" spans="1:4" ht="15.75" customHeight="1">
      <c r="A67" s="1086" t="s">
        <v>233</v>
      </c>
      <c r="B67" t="s">
        <v>231</v>
      </c>
      <c r="C67" s="1088">
        <f>IF(ISNA(VLOOKUP($B67,Schnittstelle380!$A$1:$B$147,2,FALSE)),,VLOOKUP($B67,Schnittstelle380!$A$1:$B$147,2,FALSE))</f>
        <v>0</v>
      </c>
    </row>
    <row r="68" spans="1:4" ht="15.75" customHeight="1">
      <c r="A68" s="1086" t="s">
        <v>448</v>
      </c>
      <c r="B68" t="s">
        <v>1584</v>
      </c>
      <c r="C68" s="1088">
        <f>IF(ISNA(VLOOKUP($B68,Schnittstelle380!$A$1:$B$147,2,FALSE)),,VLOOKUP($B68,Schnittstelle380!$A$1:$B$147,2,FALSE))</f>
        <v>0</v>
      </c>
      <c r="D68" t="s">
        <v>1144</v>
      </c>
    </row>
    <row r="69" spans="1:4" ht="15.75" customHeight="1">
      <c r="A69" s="1086" t="s">
        <v>1247</v>
      </c>
      <c r="B69" t="s">
        <v>1648</v>
      </c>
      <c r="C69" s="1088">
        <f>IF(ISNA(VLOOKUP($B69,Schnittstelle380!$A$1:$B$147,2,FALSE)),,VLOOKUP($B69,Schnittstelle380!$A$1:$B$147,2,FALSE))</f>
        <v>0</v>
      </c>
      <c r="D69" t="s">
        <v>1557</v>
      </c>
    </row>
    <row r="70" spans="1:4" ht="15.75" customHeight="1">
      <c r="A70" s="1086" t="s">
        <v>1562</v>
      </c>
      <c r="B70" t="s">
        <v>203</v>
      </c>
      <c r="C70" s="1088">
        <f>IF(ISNA(VLOOKUP($B70,Schnittstelle380!$A$1:$B$147,2,FALSE)),,VLOOKUP($B70,Schnittstelle380!$A$1:$B$147,2,FALSE))</f>
        <v>0</v>
      </c>
    </row>
    <row r="71" spans="1:4" ht="15.75" customHeight="1">
      <c r="A71" s="1086" t="s">
        <v>1558</v>
      </c>
      <c r="B71" t="s">
        <v>1567</v>
      </c>
      <c r="C71" s="1088">
        <f>IF(ISNA(VLOOKUP($B71,Schnittstelle380!$A$1:$B$147,2,FALSE)),,VLOOKUP($B71,Schnittstelle380!$A$1:$B$147,2,FALSE))</f>
        <v>0</v>
      </c>
    </row>
    <row r="72" spans="1:4" ht="15.75" customHeight="1">
      <c r="A72" s="1086" t="s">
        <v>1561</v>
      </c>
      <c r="B72" t="s">
        <v>1566</v>
      </c>
      <c r="C72" s="1088">
        <f>IF(ISNA(VLOOKUP($B72,Schnittstelle380!$A$1:$B$147,2,FALSE)),,VLOOKUP($B72,Schnittstelle380!$A$1:$B$147,2,FALSE))</f>
        <v>0</v>
      </c>
      <c r="D72" t="s">
        <v>1457</v>
      </c>
    </row>
    <row r="73" spans="1:4" ht="15.75" customHeight="1">
      <c r="A73" s="1086" t="s">
        <v>1563</v>
      </c>
      <c r="B73" t="s">
        <v>1565</v>
      </c>
      <c r="C73" s="1088">
        <f>IF(ISNA(VLOOKUP($B73,Schnittstelle380!$A$1:$B$147,2,FALSE)),,VLOOKUP($B73,Schnittstelle380!$A$1:$B$147,2,FALSE))</f>
        <v>0</v>
      </c>
    </row>
    <row r="74" spans="1:4" ht="15.75" customHeight="1">
      <c r="A74" s="1086" t="s">
        <v>854</v>
      </c>
      <c r="B74" t="s">
        <v>853</v>
      </c>
      <c r="C74" s="1088">
        <f>IF(ISNA(VLOOKUP($B74,Schnittstelle380!$A$1:$B$147,2,FALSE)),,VLOOKUP($B74,Schnittstelle380!$A$1:$B$147,2,FALSE))</f>
        <v>0</v>
      </c>
      <c r="D74" t="s">
        <v>1723</v>
      </c>
    </row>
    <row r="75" spans="1:4" ht="15.75" customHeight="1">
      <c r="A75" s="1086" t="s">
        <v>135</v>
      </c>
      <c r="B75" s="1086" t="s">
        <v>132</v>
      </c>
      <c r="C75" s="1088">
        <f>IF(ISNA(VLOOKUP($B75,Schnittstelle380!$A$1:$B$147,2,FALSE)),,VLOOKUP($B75,Schnittstelle380!$A$1:$B$147,2,FALSE))</f>
        <v>0</v>
      </c>
    </row>
    <row r="76" spans="1:4" ht="15.75" customHeight="1">
      <c r="A76" s="1086" t="s">
        <v>136</v>
      </c>
      <c r="B76" s="1086" t="s">
        <v>133</v>
      </c>
      <c r="C76" s="1088">
        <f>IF(ISNA(VLOOKUP($B76,Schnittstelle380!$A$1:$B$147,2,FALSE)),,VLOOKUP($B76,Schnittstelle380!$A$1:$B$147,2,FALSE))</f>
        <v>0</v>
      </c>
    </row>
    <row r="77" spans="1:4" ht="15.75" customHeight="1">
      <c r="A77" s="1086" t="s">
        <v>137</v>
      </c>
      <c r="B77" s="1086" t="s">
        <v>134</v>
      </c>
      <c r="C77" s="1088">
        <f>IF(ISNA(VLOOKUP($B77,Schnittstelle380!$A$1:$B$147,2,FALSE)),,VLOOKUP($B77,Schnittstelle380!$A$1:$B$147,2,FALSE))</f>
        <v>0</v>
      </c>
    </row>
    <row r="78" spans="1:4">
      <c r="A78" s="1086" t="s">
        <v>443</v>
      </c>
      <c r="B78" s="1086" t="s">
        <v>441</v>
      </c>
      <c r="C78" s="1088">
        <f>IF(ISNA(VLOOKUP($B78,Schnittstelle380!$A$1:$B$147,2,FALSE)),,VLOOKUP($B78,Schnittstelle380!$A$1:$B$147,2,FALSE))</f>
        <v>0</v>
      </c>
    </row>
    <row r="79" spans="1:4">
      <c r="A79" s="1086" t="s">
        <v>444</v>
      </c>
      <c r="B79" s="1086" t="s">
        <v>442</v>
      </c>
      <c r="C79" s="1088">
        <f>IF(ISNA(VLOOKUP($B79,Schnittstelle380!$A$1:$B$147,2,FALSE)),,VLOOKUP($B79,Schnittstelle380!$A$1:$B$147,2,FALSE))</f>
        <v>0</v>
      </c>
    </row>
    <row r="80" spans="1:4">
      <c r="A80" s="1086" t="s">
        <v>445</v>
      </c>
      <c r="B80" t="s">
        <v>446</v>
      </c>
      <c r="C80" s="1088">
        <f>IF(ISNA(VLOOKUP($B80,Schnittstelle380!$A$1:$B$147,2,FALSE)),,VLOOKUP($B80,Schnittstelle380!$A$1:$B$147,2,FALSE))</f>
        <v>0</v>
      </c>
      <c r="D80" t="s">
        <v>447</v>
      </c>
    </row>
    <row r="81" spans="1:4">
      <c r="A81" s="1086" t="s">
        <v>784</v>
      </c>
      <c r="B81" s="1086" t="s">
        <v>785</v>
      </c>
      <c r="C81" s="1088">
        <f>IF(ISNA(VLOOKUP($B81,Schnittstelle380!$A$1:$B$147,2,FALSE)),,VLOOKUP($B81,Schnittstelle380!$A$1:$B$147,2,FALSE))</f>
        <v>0</v>
      </c>
      <c r="D81" t="s">
        <v>786</v>
      </c>
    </row>
    <row r="82" spans="1:4">
      <c r="A82" s="1086" t="s">
        <v>1818</v>
      </c>
      <c r="B82" s="1086" t="s">
        <v>1817</v>
      </c>
      <c r="C82" s="1088">
        <f>IF(ISNA(VLOOKUP($B82,Schnittstelle380!$A$1:$B$147,2,FALSE)),,VLOOKUP($B82,Schnittstelle380!$A$1:$B$147,2,FALSE))</f>
        <v>0</v>
      </c>
      <c r="D82" t="s">
        <v>786</v>
      </c>
    </row>
    <row r="83" spans="1:4">
      <c r="C83" s="1088"/>
    </row>
    <row r="84" spans="1:4">
      <c r="C84" s="1088"/>
    </row>
    <row r="85" spans="1:4">
      <c r="C85" s="1088"/>
    </row>
    <row r="86" spans="1:4">
      <c r="C86" s="1088"/>
    </row>
    <row r="87" spans="1:4">
      <c r="C87" s="1088"/>
    </row>
    <row r="88" spans="1:4">
      <c r="C88" s="1088"/>
    </row>
    <row r="89" spans="1:4">
      <c r="C89" s="1088"/>
    </row>
    <row r="90" spans="1:4">
      <c r="C90" s="1088"/>
    </row>
    <row r="91" spans="1:4">
      <c r="C91" s="1088"/>
    </row>
    <row r="92" spans="1:4">
      <c r="C92" s="1088"/>
    </row>
    <row r="93" spans="1:4">
      <c r="C93" s="1088"/>
    </row>
    <row r="94" spans="1:4">
      <c r="C94" s="1088"/>
    </row>
    <row r="95" spans="1:4">
      <c r="C95" s="1088"/>
    </row>
    <row r="96" spans="1:4">
      <c r="C96" s="1088"/>
    </row>
    <row r="97" spans="3:3">
      <c r="C97" s="1088"/>
    </row>
    <row r="98" spans="3:3">
      <c r="C98" s="1088"/>
    </row>
    <row r="99" spans="3:3">
      <c r="C99" s="1088"/>
    </row>
    <row r="100" spans="3:3">
      <c r="C100" s="1088"/>
    </row>
    <row r="101" spans="3:3">
      <c r="C101" s="1088"/>
    </row>
    <row r="102" spans="3:3">
      <c r="C102" s="1088"/>
    </row>
    <row r="103" spans="3:3">
      <c r="C103" s="1088"/>
    </row>
    <row r="104" spans="3:3">
      <c r="C104" s="1088"/>
    </row>
    <row r="105" spans="3:3">
      <c r="C105" s="1088"/>
    </row>
    <row r="106" spans="3:3">
      <c r="C106" s="1088"/>
    </row>
    <row r="107" spans="3:3">
      <c r="C107" s="1088"/>
    </row>
    <row r="108" spans="3:3">
      <c r="C108" s="1088"/>
    </row>
    <row r="109" spans="3:3">
      <c r="C109" s="1088"/>
    </row>
    <row r="110" spans="3:3">
      <c r="C110" s="1088"/>
    </row>
    <row r="111" spans="3:3">
      <c r="C111" s="1088"/>
    </row>
    <row r="112" spans="3:3">
      <c r="C112" s="1088"/>
    </row>
    <row r="113" spans="3:3">
      <c r="C113" s="1088"/>
    </row>
    <row r="114" spans="3:3">
      <c r="C114" s="1088"/>
    </row>
    <row r="115" spans="3:3">
      <c r="C115" s="1088"/>
    </row>
    <row r="116" spans="3:3">
      <c r="C116" s="1088"/>
    </row>
    <row r="117" spans="3:3">
      <c r="C117" s="1088"/>
    </row>
    <row r="118" spans="3:3">
      <c r="C118" s="1088"/>
    </row>
    <row r="119" spans="3:3">
      <c r="C119" s="1088"/>
    </row>
    <row r="120" spans="3:3">
      <c r="C120" s="1088"/>
    </row>
    <row r="121" spans="3:3">
      <c r="C121" s="1088"/>
    </row>
    <row r="122" spans="3:3">
      <c r="C122" s="1088"/>
    </row>
    <row r="123" spans="3:3">
      <c r="C123" s="1088"/>
    </row>
    <row r="124" spans="3:3">
      <c r="C124" s="1088"/>
    </row>
    <row r="125" spans="3:3">
      <c r="C125" s="1088"/>
    </row>
    <row r="126" spans="3:3">
      <c r="C126" s="1088"/>
    </row>
    <row r="127" spans="3:3">
      <c r="C127" s="1088"/>
    </row>
    <row r="128" spans="3:3">
      <c r="C128" s="1088"/>
    </row>
    <row r="129" spans="3:3">
      <c r="C129" s="1088"/>
    </row>
    <row r="130" spans="3:3">
      <c r="C130" s="1088"/>
    </row>
    <row r="131" spans="3:3">
      <c r="C131" s="1088"/>
    </row>
    <row r="132" spans="3:3">
      <c r="C132" s="1088"/>
    </row>
    <row r="133" spans="3:3">
      <c r="C133" s="1088"/>
    </row>
    <row r="134" spans="3:3">
      <c r="C134" s="1088"/>
    </row>
    <row r="135" spans="3:3">
      <c r="C135" s="1088"/>
    </row>
    <row r="136" spans="3:3">
      <c r="C136" s="1088"/>
    </row>
    <row r="137" spans="3:3">
      <c r="C137" s="1088"/>
    </row>
    <row r="138" spans="3:3">
      <c r="C138" s="1088"/>
    </row>
    <row r="139" spans="3:3">
      <c r="C139" s="1088"/>
    </row>
    <row r="140" spans="3:3">
      <c r="C140" s="1088"/>
    </row>
    <row r="141" spans="3:3">
      <c r="C141" s="1088"/>
    </row>
    <row r="142" spans="3:3">
      <c r="C142" s="1088"/>
    </row>
    <row r="143" spans="3:3">
      <c r="C143" s="1088"/>
    </row>
    <row r="144" spans="3:3">
      <c r="C144" s="1088"/>
    </row>
    <row r="145" spans="3:3">
      <c r="C145" s="1088"/>
    </row>
    <row r="146" spans="3:3">
      <c r="C146" s="1088"/>
    </row>
    <row r="147" spans="3:3">
      <c r="C147" s="1088"/>
    </row>
  </sheetData>
  <sheetProtection algorithmName="SHA-512" hashValue="LZfCUB4wbdxXD729hWQAb9HOMRmEE3fZ8kb/vHQxo6J6fFlr9KicSUjdZLp7NVKytC7NFsqd6pn+NvgLgiOaIw==" saltValue="G5Urj3MYxUi6WmPAMa/k8Q==" spinCount="100000" sheet="1" objects="1" scenarios="1"/>
  <phoneticPr fontId="5" type="noConversion"/>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B82"/>
  <sheetViews>
    <sheetView workbookViewId="0">
      <selection activeCell="B2" sqref="B2"/>
    </sheetView>
  </sheetViews>
  <sheetFormatPr baseColWidth="10" defaultColWidth="11.44140625" defaultRowHeight="12.75" customHeight="1"/>
  <cols>
    <col min="1" max="1" width="11.33203125" style="1086" customWidth="1"/>
    <col min="2" max="16384" width="11.44140625" style="1086"/>
  </cols>
  <sheetData>
    <row r="1" spans="1:2" ht="12.75" customHeight="1">
      <c r="A1" s="1086" t="s">
        <v>1649</v>
      </c>
      <c r="B1" s="1086">
        <v>3</v>
      </c>
    </row>
    <row r="2" spans="1:2" ht="12.75" customHeight="1">
      <c r="A2" s="1086" t="s">
        <v>234</v>
      </c>
    </row>
    <row r="3" spans="1:2" ht="12.75" customHeight="1">
      <c r="A3" s="1086" t="s">
        <v>235</v>
      </c>
    </row>
    <row r="4" spans="1:2" ht="12.75" customHeight="1">
      <c r="A4" s="1086" t="s">
        <v>236</v>
      </c>
    </row>
    <row r="5" spans="1:2" ht="12.75" customHeight="1">
      <c r="A5" s="1086" t="s">
        <v>237</v>
      </c>
    </row>
    <row r="6" spans="1:2" ht="12.75" customHeight="1">
      <c r="A6" s="1086" t="s">
        <v>238</v>
      </c>
    </row>
    <row r="7" spans="1:2" ht="12.75" customHeight="1">
      <c r="A7" s="1086" t="s">
        <v>239</v>
      </c>
    </row>
    <row r="8" spans="1:2" ht="12.75" customHeight="1">
      <c r="A8" s="1086" t="s">
        <v>240</v>
      </c>
    </row>
    <row r="9" spans="1:2" ht="12.75" customHeight="1">
      <c r="A9" s="1086" t="s">
        <v>241</v>
      </c>
    </row>
    <row r="10" spans="1:2" ht="12.75" customHeight="1">
      <c r="A10" s="1086" t="s">
        <v>242</v>
      </c>
    </row>
    <row r="11" spans="1:2" ht="12.75" customHeight="1">
      <c r="A11" s="1086" t="s">
        <v>1701</v>
      </c>
    </row>
    <row r="12" spans="1:2" ht="12.75" customHeight="1">
      <c r="A12" s="1086" t="s">
        <v>1702</v>
      </c>
    </row>
    <row r="13" spans="1:2" ht="12.75" customHeight="1">
      <c r="A13" s="1086" t="s">
        <v>1703</v>
      </c>
    </row>
    <row r="14" spans="1:2" ht="12.75" customHeight="1">
      <c r="A14" s="1086" t="s">
        <v>1704</v>
      </c>
    </row>
    <row r="15" spans="1:2" ht="12.75" customHeight="1">
      <c r="A15" s="1086" t="s">
        <v>1705</v>
      </c>
    </row>
    <row r="16" spans="1:2" ht="12.75" customHeight="1">
      <c r="A16" s="1086" t="s">
        <v>1706</v>
      </c>
    </row>
    <row r="17" spans="1:1" ht="12.75" customHeight="1">
      <c r="A17" s="1086" t="s">
        <v>1707</v>
      </c>
    </row>
    <row r="18" spans="1:1" ht="12.75" customHeight="1">
      <c r="A18" s="1086" t="s">
        <v>1708</v>
      </c>
    </row>
    <row r="19" spans="1:1" ht="12.75" customHeight="1">
      <c r="A19" s="1086" t="s">
        <v>1709</v>
      </c>
    </row>
    <row r="20" spans="1:1" ht="12.75" customHeight="1">
      <c r="A20" s="1086" t="s">
        <v>1710</v>
      </c>
    </row>
    <row r="21" spans="1:1" ht="12.75" customHeight="1">
      <c r="A21" s="1086" t="s">
        <v>735</v>
      </c>
    </row>
    <row r="22" spans="1:1" ht="12.75" customHeight="1">
      <c r="A22" s="1086" t="s">
        <v>736</v>
      </c>
    </row>
    <row r="23" spans="1:1" ht="12.75" customHeight="1">
      <c r="A23" s="1086" t="s">
        <v>667</v>
      </c>
    </row>
    <row r="24" spans="1:1" ht="12.75" customHeight="1">
      <c r="A24" s="1086" t="s">
        <v>600</v>
      </c>
    </row>
    <row r="25" spans="1:1" ht="12.75" customHeight="1">
      <c r="A25" s="1086" t="s">
        <v>599</v>
      </c>
    </row>
    <row r="26" spans="1:1" ht="12.75" customHeight="1">
      <c r="A26" s="1086" t="s">
        <v>601</v>
      </c>
    </row>
    <row r="27" spans="1:1" ht="12.75" customHeight="1">
      <c r="A27" s="1086" t="s">
        <v>204</v>
      </c>
    </row>
    <row r="28" spans="1:1" ht="12.75" customHeight="1">
      <c r="A28" s="1086" t="s">
        <v>668</v>
      </c>
    </row>
    <row r="29" spans="1:1" ht="12.75" customHeight="1">
      <c r="A29" s="1086" t="s">
        <v>1717</v>
      </c>
    </row>
    <row r="31" spans="1:1" ht="12.75" customHeight="1">
      <c r="A31" s="1086" t="s">
        <v>205</v>
      </c>
    </row>
    <row r="33" spans="1:1" ht="12.75" customHeight="1">
      <c r="A33" s="1086" t="s">
        <v>1241</v>
      </c>
    </row>
    <row r="34" spans="1:1" ht="12.75" customHeight="1">
      <c r="A34" s="1086" t="s">
        <v>228</v>
      </c>
    </row>
    <row r="35" spans="1:1" ht="12.75" customHeight="1">
      <c r="A35" s="1086" t="s">
        <v>669</v>
      </c>
    </row>
    <row r="36" spans="1:1" ht="12.75" customHeight="1">
      <c r="A36" s="1086" t="s">
        <v>1585</v>
      </c>
    </row>
    <row r="37" spans="1:1" ht="12.75" customHeight="1">
      <c r="A37" s="1086" t="s">
        <v>200</v>
      </c>
    </row>
    <row r="38" spans="1:1" ht="12.75" customHeight="1">
      <c r="A38" s="1086" t="s">
        <v>1559</v>
      </c>
    </row>
    <row r="39" spans="1:1" ht="12.75" customHeight="1">
      <c r="A39" s="1086" t="s">
        <v>1560</v>
      </c>
    </row>
    <row r="40" spans="1:1" ht="12.75" customHeight="1">
      <c r="A40" s="1086" t="s">
        <v>1564</v>
      </c>
    </row>
    <row r="42" spans="1:1" ht="12.75" customHeight="1">
      <c r="A42" s="1086" t="s">
        <v>206</v>
      </c>
    </row>
    <row r="44" spans="1:1" ht="12.75" customHeight="1">
      <c r="A44" s="1086" t="s">
        <v>1242</v>
      </c>
    </row>
    <row r="45" spans="1:1" ht="12.75" customHeight="1">
      <c r="A45" s="1086" t="s">
        <v>229</v>
      </c>
    </row>
    <row r="46" spans="1:1" ht="12.75" customHeight="1">
      <c r="A46" s="1086" t="s">
        <v>670</v>
      </c>
    </row>
    <row r="47" spans="1:1" ht="12.75" customHeight="1">
      <c r="A47" s="1086" t="s">
        <v>1586</v>
      </c>
    </row>
    <row r="48" spans="1:1" ht="12.75" customHeight="1">
      <c r="A48" s="1086" t="s">
        <v>201</v>
      </c>
    </row>
    <row r="49" spans="1:1" ht="12.75" customHeight="1">
      <c r="A49" s="1086" t="s">
        <v>1573</v>
      </c>
    </row>
    <row r="50" spans="1:1" ht="12.75" customHeight="1">
      <c r="A50" s="1086" t="s">
        <v>1572</v>
      </c>
    </row>
    <row r="51" spans="1:1" ht="12.75" customHeight="1">
      <c r="A51" s="1086" t="s">
        <v>1571</v>
      </c>
    </row>
    <row r="53" spans="1:1" ht="12.75" customHeight="1">
      <c r="A53" s="1086" t="s">
        <v>207</v>
      </c>
    </row>
    <row r="55" spans="1:1" ht="12.75" customHeight="1">
      <c r="A55" s="1086" t="s">
        <v>1243</v>
      </c>
    </row>
    <row r="56" spans="1:1" ht="12.75" customHeight="1">
      <c r="A56" s="1086" t="s">
        <v>230</v>
      </c>
    </row>
    <row r="57" spans="1:1" ht="12.75" customHeight="1">
      <c r="A57" s="1086" t="s">
        <v>671</v>
      </c>
    </row>
    <row r="58" spans="1:1" ht="12.75" customHeight="1">
      <c r="A58" s="1086" t="s">
        <v>1647</v>
      </c>
    </row>
    <row r="59" spans="1:1" ht="12.75" customHeight="1">
      <c r="A59" s="1086" t="s">
        <v>202</v>
      </c>
    </row>
    <row r="60" spans="1:1" ht="12.75" customHeight="1">
      <c r="A60" s="1086" t="s">
        <v>1570</v>
      </c>
    </row>
    <row r="61" spans="1:1" ht="12.75" customHeight="1">
      <c r="A61" s="1086" t="s">
        <v>1569</v>
      </c>
    </row>
    <row r="62" spans="1:1" ht="12.75" customHeight="1">
      <c r="A62" s="1086" t="s">
        <v>1568</v>
      </c>
    </row>
    <row r="64" spans="1:1" ht="12.75" customHeight="1">
      <c r="A64" s="1086" t="s">
        <v>208</v>
      </c>
    </row>
    <row r="66" spans="1:1" ht="12.75" customHeight="1">
      <c r="A66" s="1086" t="s">
        <v>232</v>
      </c>
    </row>
    <row r="67" spans="1:1" ht="12.75" customHeight="1">
      <c r="A67" s="1086" t="s">
        <v>231</v>
      </c>
    </row>
    <row r="68" spans="1:1" ht="12.75" customHeight="1">
      <c r="A68" s="1086" t="s">
        <v>1584</v>
      </c>
    </row>
    <row r="69" spans="1:1" ht="12.75" customHeight="1">
      <c r="A69" s="1086" t="s">
        <v>1648</v>
      </c>
    </row>
    <row r="70" spans="1:1" ht="12.75" customHeight="1">
      <c r="A70" s="1086" t="s">
        <v>203</v>
      </c>
    </row>
    <row r="71" spans="1:1" ht="12.75" customHeight="1">
      <c r="A71" s="1086" t="s">
        <v>1567</v>
      </c>
    </row>
    <row r="72" spans="1:1" ht="12.75" customHeight="1">
      <c r="A72" s="1086" t="s">
        <v>1566</v>
      </c>
    </row>
    <row r="73" spans="1:1" ht="12.75" customHeight="1">
      <c r="A73" s="1086" t="s">
        <v>1565</v>
      </c>
    </row>
    <row r="74" spans="1:1" ht="12.75" customHeight="1">
      <c r="A74" s="1086" t="s">
        <v>853</v>
      </c>
    </row>
    <row r="75" spans="1:1" ht="12.75" customHeight="1">
      <c r="A75" s="1086" t="s">
        <v>132</v>
      </c>
    </row>
    <row r="76" spans="1:1" ht="12.75" customHeight="1">
      <c r="A76" s="1086" t="s">
        <v>133</v>
      </c>
    </row>
    <row r="77" spans="1:1" ht="12.75" customHeight="1">
      <c r="A77" s="1086" t="s">
        <v>134</v>
      </c>
    </row>
    <row r="78" spans="1:1" ht="12.75" customHeight="1">
      <c r="A78" s="1086" t="s">
        <v>441</v>
      </c>
    </row>
    <row r="79" spans="1:1" ht="12.75" customHeight="1">
      <c r="A79" s="1086" t="s">
        <v>442</v>
      </c>
    </row>
    <row r="80" spans="1:1" ht="12.75" customHeight="1">
      <c r="A80" s="1086" t="s">
        <v>446</v>
      </c>
    </row>
    <row r="81" spans="1:1" ht="12.75" customHeight="1">
      <c r="A81" s="1086" t="s">
        <v>785</v>
      </c>
    </row>
    <row r="82" spans="1:1" ht="12.75" customHeight="1">
      <c r="A82" s="1086" t="s">
        <v>1817</v>
      </c>
    </row>
  </sheetData>
  <phoneticPr fontId="5"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3:G367"/>
  <sheetViews>
    <sheetView topLeftCell="A327" zoomScale="75" workbookViewId="0">
      <selection activeCell="D370" sqref="D370"/>
    </sheetView>
  </sheetViews>
  <sheetFormatPr baseColWidth="10" defaultRowHeight="13.2"/>
  <cols>
    <col min="1" max="1" width="2.109375" customWidth="1"/>
    <col min="2" max="2" width="11.44140625" customWidth="1"/>
    <col min="3" max="3" width="77.44140625" customWidth="1"/>
    <col min="4" max="4" width="60.44140625" customWidth="1"/>
    <col min="5" max="5" width="11.44140625" customWidth="1"/>
    <col min="6" max="6" width="11.44140625" style="873" customWidth="1"/>
  </cols>
  <sheetData>
    <row r="3" spans="2:6" s="1023" customFormat="1">
      <c r="B3" s="1023" t="s">
        <v>411</v>
      </c>
      <c r="C3" s="1023" t="s">
        <v>413</v>
      </c>
      <c r="D3" s="1023" t="s">
        <v>767</v>
      </c>
      <c r="E3" s="1023" t="s">
        <v>412</v>
      </c>
      <c r="F3" s="1706" t="s">
        <v>1286</v>
      </c>
    </row>
    <row r="4" spans="2:6">
      <c r="B4" s="867">
        <v>37411</v>
      </c>
      <c r="C4" t="s">
        <v>334</v>
      </c>
      <c r="D4" t="s">
        <v>335</v>
      </c>
      <c r="E4" t="s">
        <v>414</v>
      </c>
      <c r="F4" s="873">
        <v>34</v>
      </c>
    </row>
    <row r="5" spans="2:6">
      <c r="B5" s="867">
        <v>37411</v>
      </c>
      <c r="C5" t="s">
        <v>336</v>
      </c>
      <c r="D5" t="s">
        <v>1254</v>
      </c>
      <c r="E5" t="s">
        <v>414</v>
      </c>
      <c r="F5" s="873">
        <v>34</v>
      </c>
    </row>
    <row r="6" spans="2:6">
      <c r="B6" s="867">
        <v>37411</v>
      </c>
      <c r="C6" t="s">
        <v>1255</v>
      </c>
      <c r="D6" t="s">
        <v>1256</v>
      </c>
      <c r="E6" t="s">
        <v>414</v>
      </c>
      <c r="F6" s="873">
        <v>34</v>
      </c>
    </row>
    <row r="7" spans="2:6">
      <c r="B7" s="867">
        <v>37411</v>
      </c>
      <c r="C7" t="s">
        <v>1257</v>
      </c>
      <c r="D7" t="s">
        <v>1258</v>
      </c>
      <c r="E7" t="s">
        <v>414</v>
      </c>
      <c r="F7" s="873">
        <v>34</v>
      </c>
    </row>
    <row r="8" spans="2:6">
      <c r="B8" s="867">
        <v>37411</v>
      </c>
      <c r="C8" t="s">
        <v>1259</v>
      </c>
      <c r="D8" t="s">
        <v>1260</v>
      </c>
      <c r="E8" t="s">
        <v>414</v>
      </c>
      <c r="F8" s="873">
        <v>34</v>
      </c>
    </row>
    <row r="9" spans="2:6">
      <c r="B9" s="867">
        <v>37411</v>
      </c>
      <c r="C9" t="s">
        <v>1324</v>
      </c>
      <c r="D9" t="s">
        <v>1442</v>
      </c>
      <c r="E9" t="s">
        <v>414</v>
      </c>
      <c r="F9" s="873">
        <v>34</v>
      </c>
    </row>
    <row r="10" spans="2:6">
      <c r="B10" s="867">
        <v>37411</v>
      </c>
      <c r="C10" t="s">
        <v>1443</v>
      </c>
      <c r="D10" t="s">
        <v>1305</v>
      </c>
      <c r="E10" t="s">
        <v>414</v>
      </c>
      <c r="F10" s="873">
        <v>34</v>
      </c>
    </row>
    <row r="11" spans="2:6">
      <c r="B11" s="867">
        <v>37412</v>
      </c>
      <c r="C11" t="s">
        <v>1306</v>
      </c>
      <c r="D11" t="s">
        <v>1161</v>
      </c>
      <c r="E11" t="s">
        <v>414</v>
      </c>
      <c r="F11" s="873">
        <v>34</v>
      </c>
    </row>
    <row r="12" spans="2:6">
      <c r="B12" s="867">
        <v>37412</v>
      </c>
      <c r="C12" t="s">
        <v>1160</v>
      </c>
      <c r="D12" t="s">
        <v>1450</v>
      </c>
      <c r="E12" t="s">
        <v>414</v>
      </c>
      <c r="F12" s="873">
        <v>34</v>
      </c>
    </row>
    <row r="13" spans="2:6">
      <c r="B13" s="867">
        <v>37412</v>
      </c>
      <c r="C13" t="s">
        <v>1162</v>
      </c>
      <c r="D13" t="s">
        <v>257</v>
      </c>
      <c r="E13" t="s">
        <v>414</v>
      </c>
      <c r="F13" s="873">
        <v>34</v>
      </c>
    </row>
    <row r="14" spans="2:6">
      <c r="B14" s="867">
        <v>37418</v>
      </c>
      <c r="C14" t="s">
        <v>1608</v>
      </c>
      <c r="D14" t="s">
        <v>1451</v>
      </c>
      <c r="E14" t="s">
        <v>1452</v>
      </c>
      <c r="F14" s="873">
        <v>36</v>
      </c>
    </row>
    <row r="15" spans="2:6">
      <c r="B15" s="867">
        <v>37418</v>
      </c>
      <c r="C15" t="s">
        <v>1609</v>
      </c>
      <c r="D15" t="s">
        <v>1318</v>
      </c>
      <c r="E15" t="s">
        <v>1319</v>
      </c>
      <c r="F15" s="873">
        <v>36</v>
      </c>
    </row>
    <row r="16" spans="2:6">
      <c r="B16" s="867">
        <v>37418</v>
      </c>
      <c r="C16" t="s">
        <v>1320</v>
      </c>
      <c r="D16" t="s">
        <v>494</v>
      </c>
      <c r="E16" t="s">
        <v>1319</v>
      </c>
      <c r="F16" s="873">
        <v>36</v>
      </c>
    </row>
    <row r="17" spans="2:6">
      <c r="B17" s="867">
        <v>37419</v>
      </c>
      <c r="C17" t="s">
        <v>495</v>
      </c>
      <c r="D17" t="s">
        <v>376</v>
      </c>
      <c r="E17" t="s">
        <v>1319</v>
      </c>
      <c r="F17" s="873">
        <v>36</v>
      </c>
    </row>
    <row r="18" spans="2:6">
      <c r="B18" s="867">
        <v>37419</v>
      </c>
      <c r="C18" t="s">
        <v>1283</v>
      </c>
      <c r="D18" t="s">
        <v>1284</v>
      </c>
      <c r="E18" t="s">
        <v>1452</v>
      </c>
      <c r="F18" s="873">
        <v>36</v>
      </c>
    </row>
    <row r="19" spans="2:6">
      <c r="B19" s="867">
        <v>37419</v>
      </c>
      <c r="C19" t="s">
        <v>1285</v>
      </c>
      <c r="D19" t="s">
        <v>1284</v>
      </c>
      <c r="E19" t="s">
        <v>1452</v>
      </c>
      <c r="F19" s="873">
        <v>36</v>
      </c>
    </row>
    <row r="20" spans="2:6">
      <c r="B20" s="867">
        <v>37419</v>
      </c>
      <c r="C20" t="s">
        <v>1287</v>
      </c>
      <c r="D20" t="s">
        <v>1284</v>
      </c>
      <c r="E20" t="s">
        <v>1319</v>
      </c>
      <c r="F20" s="873">
        <v>36</v>
      </c>
    </row>
    <row r="21" spans="2:6">
      <c r="B21" s="867">
        <v>37419</v>
      </c>
      <c r="C21" t="s">
        <v>1289</v>
      </c>
      <c r="D21" s="887" t="s">
        <v>1290</v>
      </c>
      <c r="E21" t="s">
        <v>1452</v>
      </c>
      <c r="F21" s="873">
        <v>36</v>
      </c>
    </row>
    <row r="22" spans="2:6">
      <c r="B22" s="867">
        <v>37420</v>
      </c>
      <c r="C22" t="s">
        <v>1291</v>
      </c>
      <c r="D22" t="s">
        <v>1292</v>
      </c>
      <c r="E22" t="s">
        <v>1452</v>
      </c>
      <c r="F22" s="873">
        <v>38</v>
      </c>
    </row>
    <row r="23" spans="2:6">
      <c r="B23" s="867">
        <v>37420</v>
      </c>
      <c r="C23" t="s">
        <v>539</v>
      </c>
      <c r="D23" t="s">
        <v>540</v>
      </c>
      <c r="E23" t="s">
        <v>1452</v>
      </c>
      <c r="F23" s="873">
        <v>38</v>
      </c>
    </row>
    <row r="24" spans="2:6">
      <c r="B24" s="867">
        <v>37420</v>
      </c>
      <c r="C24" t="s">
        <v>468</v>
      </c>
      <c r="D24" t="s">
        <v>469</v>
      </c>
      <c r="E24" t="s">
        <v>1452</v>
      </c>
      <c r="F24" s="873">
        <v>38</v>
      </c>
    </row>
    <row r="25" spans="2:6">
      <c r="B25" s="867">
        <v>37421</v>
      </c>
      <c r="C25" t="s">
        <v>1330</v>
      </c>
      <c r="D25" t="s">
        <v>16</v>
      </c>
      <c r="E25" t="s">
        <v>414</v>
      </c>
      <c r="F25" s="873">
        <v>43</v>
      </c>
    </row>
    <row r="26" spans="2:6">
      <c r="B26" s="867">
        <v>37421</v>
      </c>
      <c r="C26" t="s">
        <v>20</v>
      </c>
      <c r="D26" t="s">
        <v>21</v>
      </c>
      <c r="E26" t="s">
        <v>414</v>
      </c>
      <c r="F26" s="873">
        <v>43</v>
      </c>
    </row>
    <row r="27" spans="2:6">
      <c r="B27" s="867">
        <v>37421</v>
      </c>
      <c r="C27" t="s">
        <v>22</v>
      </c>
      <c r="D27" t="s">
        <v>23</v>
      </c>
      <c r="E27" t="s">
        <v>414</v>
      </c>
      <c r="F27" s="873">
        <v>43</v>
      </c>
    </row>
    <row r="28" spans="2:6">
      <c r="B28" s="867">
        <v>37421</v>
      </c>
      <c r="C28" t="s">
        <v>24</v>
      </c>
      <c r="D28" t="s">
        <v>25</v>
      </c>
      <c r="E28" t="s">
        <v>414</v>
      </c>
      <c r="F28" s="873">
        <v>43</v>
      </c>
    </row>
    <row r="29" spans="2:6">
      <c r="B29" s="867">
        <v>37421</v>
      </c>
      <c r="C29" t="s">
        <v>1137</v>
      </c>
      <c r="D29" t="s">
        <v>1138</v>
      </c>
      <c r="E29" t="s">
        <v>414</v>
      </c>
      <c r="F29" s="873">
        <v>43</v>
      </c>
    </row>
    <row r="30" spans="2:6">
      <c r="B30" s="867">
        <v>37421</v>
      </c>
      <c r="C30" t="s">
        <v>1137</v>
      </c>
      <c r="D30" t="s">
        <v>1139</v>
      </c>
      <c r="E30" t="s">
        <v>414</v>
      </c>
      <c r="F30" s="873">
        <v>43</v>
      </c>
    </row>
    <row r="31" spans="2:6">
      <c r="B31" s="867">
        <v>37421</v>
      </c>
      <c r="C31" t="s">
        <v>1140</v>
      </c>
      <c r="D31" t="s">
        <v>328</v>
      </c>
      <c r="E31" t="s">
        <v>414</v>
      </c>
      <c r="F31" s="873">
        <v>43</v>
      </c>
    </row>
    <row r="32" spans="2:6">
      <c r="B32" s="867">
        <v>37421</v>
      </c>
      <c r="C32" t="s">
        <v>329</v>
      </c>
      <c r="D32" t="s">
        <v>1341</v>
      </c>
      <c r="E32" t="s">
        <v>414</v>
      </c>
      <c r="F32" s="873">
        <v>43</v>
      </c>
    </row>
    <row r="33" spans="2:7">
      <c r="B33" s="867">
        <v>37422</v>
      </c>
      <c r="C33" t="s">
        <v>401</v>
      </c>
      <c r="D33" t="s">
        <v>1342</v>
      </c>
      <c r="E33" t="s">
        <v>1452</v>
      </c>
      <c r="F33" s="873">
        <v>44</v>
      </c>
    </row>
    <row r="34" spans="2:7">
      <c r="B34" s="867">
        <v>37422</v>
      </c>
      <c r="C34" t="s">
        <v>416</v>
      </c>
      <c r="D34" t="s">
        <v>1343</v>
      </c>
      <c r="E34" t="s">
        <v>1452</v>
      </c>
      <c r="F34" s="873">
        <v>44</v>
      </c>
    </row>
    <row r="35" spans="2:7">
      <c r="B35" s="867">
        <v>37422</v>
      </c>
      <c r="C35" t="s">
        <v>260</v>
      </c>
      <c r="D35" t="s">
        <v>261</v>
      </c>
      <c r="E35" t="s">
        <v>262</v>
      </c>
      <c r="F35" s="873" t="s">
        <v>1400</v>
      </c>
      <c r="G35" t="s">
        <v>1401</v>
      </c>
    </row>
    <row r="36" spans="2:7">
      <c r="B36" s="867">
        <v>37422</v>
      </c>
      <c r="C36" t="s">
        <v>417</v>
      </c>
      <c r="D36" t="s">
        <v>1277</v>
      </c>
      <c r="E36" t="s">
        <v>262</v>
      </c>
      <c r="F36" s="873" t="s">
        <v>1400</v>
      </c>
    </row>
    <row r="37" spans="2:7">
      <c r="B37" s="867">
        <v>37422</v>
      </c>
      <c r="C37" t="s">
        <v>104</v>
      </c>
      <c r="D37" t="s">
        <v>105</v>
      </c>
      <c r="E37" t="s">
        <v>262</v>
      </c>
      <c r="F37" s="873" t="s">
        <v>1400</v>
      </c>
    </row>
    <row r="38" spans="2:7">
      <c r="B38" s="867">
        <v>37422</v>
      </c>
      <c r="C38" t="s">
        <v>263</v>
      </c>
      <c r="D38" t="s">
        <v>1096</v>
      </c>
      <c r="E38" t="s">
        <v>262</v>
      </c>
      <c r="F38" s="873" t="s">
        <v>1400</v>
      </c>
    </row>
    <row r="39" spans="2:7">
      <c r="B39" s="867">
        <v>37422</v>
      </c>
      <c r="C39" t="s">
        <v>1097</v>
      </c>
      <c r="D39" t="s">
        <v>1098</v>
      </c>
      <c r="E39" t="s">
        <v>262</v>
      </c>
      <c r="F39" s="873" t="s">
        <v>1400</v>
      </c>
    </row>
    <row r="40" spans="2:7">
      <c r="B40" s="867">
        <v>37422</v>
      </c>
      <c r="C40" t="s">
        <v>1099</v>
      </c>
      <c r="D40" t="s">
        <v>1171</v>
      </c>
      <c r="E40" t="s">
        <v>262</v>
      </c>
      <c r="F40" s="873" t="s">
        <v>1400</v>
      </c>
    </row>
    <row r="41" spans="2:7">
      <c r="B41" s="867">
        <v>37422</v>
      </c>
      <c r="C41" t="s">
        <v>1172</v>
      </c>
      <c r="D41" t="s">
        <v>377</v>
      </c>
      <c r="E41" t="s">
        <v>262</v>
      </c>
      <c r="F41" s="873" t="s">
        <v>1400</v>
      </c>
    </row>
    <row r="42" spans="2:7">
      <c r="B42" s="867">
        <v>37422</v>
      </c>
      <c r="C42" t="s">
        <v>378</v>
      </c>
      <c r="D42" t="s">
        <v>1399</v>
      </c>
      <c r="E42" t="s">
        <v>262</v>
      </c>
      <c r="F42" s="873" t="s">
        <v>1400</v>
      </c>
    </row>
    <row r="43" spans="2:7">
      <c r="B43" s="867">
        <v>37424</v>
      </c>
      <c r="C43" t="s">
        <v>1402</v>
      </c>
      <c r="D43" t="s">
        <v>1403</v>
      </c>
      <c r="E43" t="s">
        <v>414</v>
      </c>
      <c r="F43" s="873">
        <v>45</v>
      </c>
    </row>
    <row r="44" spans="2:7">
      <c r="B44" s="867">
        <v>37427</v>
      </c>
      <c r="C44" t="s">
        <v>458</v>
      </c>
      <c r="D44" t="s">
        <v>960</v>
      </c>
      <c r="E44" t="s">
        <v>1319</v>
      </c>
      <c r="F44" s="873">
        <v>48</v>
      </c>
    </row>
    <row r="45" spans="2:7">
      <c r="B45" s="867">
        <v>37431</v>
      </c>
      <c r="C45" t="s">
        <v>961</v>
      </c>
      <c r="D45" t="s">
        <v>101</v>
      </c>
      <c r="E45" t="s">
        <v>1319</v>
      </c>
      <c r="F45" s="873">
        <v>49</v>
      </c>
    </row>
    <row r="46" spans="2:7">
      <c r="B46" s="867">
        <v>37431</v>
      </c>
      <c r="C46" t="s">
        <v>102</v>
      </c>
      <c r="D46" t="s">
        <v>1367</v>
      </c>
      <c r="E46" t="s">
        <v>1319</v>
      </c>
      <c r="F46" s="873">
        <v>49</v>
      </c>
    </row>
    <row r="47" spans="2:7">
      <c r="B47" s="867">
        <v>37431</v>
      </c>
      <c r="C47" t="s">
        <v>1368</v>
      </c>
      <c r="D47" t="s">
        <v>1369</v>
      </c>
      <c r="E47" t="s">
        <v>1319</v>
      </c>
      <c r="F47" s="873">
        <v>49</v>
      </c>
    </row>
    <row r="48" spans="2:7">
      <c r="B48" s="867">
        <v>37431</v>
      </c>
      <c r="C48" t="s">
        <v>1370</v>
      </c>
      <c r="D48" t="s">
        <v>1371</v>
      </c>
      <c r="E48" t="s">
        <v>1319</v>
      </c>
      <c r="F48" s="873">
        <v>49</v>
      </c>
    </row>
    <row r="49" spans="2:6">
      <c r="B49" s="867">
        <v>37431</v>
      </c>
      <c r="C49" t="s">
        <v>1024</v>
      </c>
      <c r="D49" t="s">
        <v>1025</v>
      </c>
      <c r="E49" t="s">
        <v>1319</v>
      </c>
      <c r="F49" s="873">
        <v>49</v>
      </c>
    </row>
    <row r="50" spans="2:6">
      <c r="B50" s="867">
        <v>37432</v>
      </c>
      <c r="C50" t="s">
        <v>1026</v>
      </c>
      <c r="D50" t="s">
        <v>383</v>
      </c>
      <c r="E50" t="s">
        <v>1452</v>
      </c>
      <c r="F50" s="873">
        <v>50</v>
      </c>
    </row>
    <row r="51" spans="2:6">
      <c r="B51" s="867">
        <v>37432</v>
      </c>
      <c r="C51" t="s">
        <v>384</v>
      </c>
      <c r="D51" t="s">
        <v>1229</v>
      </c>
      <c r="E51" t="s">
        <v>1452</v>
      </c>
      <c r="F51" s="873">
        <v>50</v>
      </c>
    </row>
    <row r="52" spans="2:6">
      <c r="B52" s="867">
        <v>37432</v>
      </c>
      <c r="C52" t="s">
        <v>1230</v>
      </c>
      <c r="D52" t="s">
        <v>1231</v>
      </c>
      <c r="E52" t="s">
        <v>1452</v>
      </c>
      <c r="F52" s="873">
        <v>50</v>
      </c>
    </row>
    <row r="53" spans="2:6">
      <c r="B53" s="867">
        <v>37432</v>
      </c>
      <c r="C53" t="s">
        <v>1448</v>
      </c>
      <c r="D53" t="s">
        <v>1449</v>
      </c>
      <c r="E53" t="s">
        <v>1452</v>
      </c>
      <c r="F53" s="873">
        <v>50</v>
      </c>
    </row>
    <row r="54" spans="2:6">
      <c r="B54" s="867">
        <v>37434</v>
      </c>
      <c r="C54" t="s">
        <v>489</v>
      </c>
      <c r="D54" t="s">
        <v>490</v>
      </c>
      <c r="E54" t="s">
        <v>1319</v>
      </c>
      <c r="F54" s="873">
        <v>51</v>
      </c>
    </row>
    <row r="55" spans="2:6">
      <c r="B55" s="867">
        <v>37434</v>
      </c>
      <c r="C55" t="s">
        <v>536</v>
      </c>
      <c r="D55" t="s">
        <v>1161</v>
      </c>
      <c r="E55" t="s">
        <v>1319</v>
      </c>
      <c r="F55" s="873">
        <v>51</v>
      </c>
    </row>
    <row r="56" spans="2:6">
      <c r="B56" s="867">
        <v>37434</v>
      </c>
      <c r="C56" t="s">
        <v>537</v>
      </c>
      <c r="D56" t="s">
        <v>1161</v>
      </c>
      <c r="E56" t="s">
        <v>1319</v>
      </c>
      <c r="F56" s="873">
        <v>51</v>
      </c>
    </row>
    <row r="57" spans="2:6">
      <c r="B57" s="867">
        <v>37434</v>
      </c>
      <c r="C57" t="s">
        <v>538</v>
      </c>
      <c r="D57" t="s">
        <v>385</v>
      </c>
      <c r="E57" t="s">
        <v>1319</v>
      </c>
      <c r="F57" s="873">
        <v>51</v>
      </c>
    </row>
    <row r="58" spans="2:6">
      <c r="B58" s="867">
        <v>37438</v>
      </c>
      <c r="C58" t="s">
        <v>1317</v>
      </c>
      <c r="D58" t="s">
        <v>386</v>
      </c>
      <c r="E58" t="s">
        <v>1319</v>
      </c>
      <c r="F58" s="873">
        <v>51</v>
      </c>
    </row>
    <row r="59" spans="2:6">
      <c r="B59" s="867">
        <v>37438</v>
      </c>
      <c r="C59" t="s">
        <v>1239</v>
      </c>
      <c r="D59" t="s">
        <v>1240</v>
      </c>
      <c r="E59" t="s">
        <v>1319</v>
      </c>
      <c r="F59" s="873">
        <v>51</v>
      </c>
    </row>
    <row r="60" spans="2:6">
      <c r="B60" s="867">
        <v>37438</v>
      </c>
      <c r="C60" t="s">
        <v>1293</v>
      </c>
      <c r="D60" t="s">
        <v>1025</v>
      </c>
      <c r="E60" t="s">
        <v>1319</v>
      </c>
      <c r="F60" s="873">
        <v>51</v>
      </c>
    </row>
    <row r="61" spans="2:6">
      <c r="B61" s="867">
        <v>37439</v>
      </c>
      <c r="C61" t="s">
        <v>1248</v>
      </c>
      <c r="D61" t="s">
        <v>1250</v>
      </c>
      <c r="E61" t="s">
        <v>1319</v>
      </c>
      <c r="F61" s="873">
        <v>51</v>
      </c>
    </row>
    <row r="62" spans="2:6">
      <c r="B62" s="867">
        <v>37439</v>
      </c>
      <c r="C62" t="s">
        <v>1251</v>
      </c>
      <c r="D62" t="s">
        <v>1240</v>
      </c>
      <c r="E62" t="s">
        <v>1319</v>
      </c>
      <c r="F62" s="873">
        <v>51</v>
      </c>
    </row>
    <row r="63" spans="2:6">
      <c r="B63" s="867">
        <v>37439</v>
      </c>
      <c r="C63" t="s">
        <v>1249</v>
      </c>
      <c r="E63" t="s">
        <v>1319</v>
      </c>
      <c r="F63" s="873">
        <v>51</v>
      </c>
    </row>
    <row r="64" spans="2:6">
      <c r="B64" s="867">
        <v>37440</v>
      </c>
      <c r="C64" t="s">
        <v>1456</v>
      </c>
      <c r="D64" t="s">
        <v>1025</v>
      </c>
      <c r="E64" t="s">
        <v>1319</v>
      </c>
      <c r="F64" s="873">
        <v>51</v>
      </c>
    </row>
    <row r="65" spans="2:6">
      <c r="B65" s="867">
        <v>37440</v>
      </c>
      <c r="C65" t="s">
        <v>357</v>
      </c>
      <c r="D65" t="s">
        <v>1371</v>
      </c>
      <c r="E65" t="s">
        <v>1319</v>
      </c>
      <c r="F65" s="873">
        <v>51</v>
      </c>
    </row>
    <row r="66" spans="2:6">
      <c r="B66" s="867">
        <v>37441</v>
      </c>
      <c r="C66" t="s">
        <v>358</v>
      </c>
      <c r="D66" t="s">
        <v>1240</v>
      </c>
      <c r="E66" t="s">
        <v>1319</v>
      </c>
      <c r="F66" s="873">
        <v>51</v>
      </c>
    </row>
    <row r="67" spans="2:6">
      <c r="B67" s="867">
        <v>37441</v>
      </c>
      <c r="C67" t="s">
        <v>359</v>
      </c>
      <c r="D67" t="s">
        <v>1262</v>
      </c>
      <c r="E67" t="s">
        <v>1452</v>
      </c>
      <c r="F67" s="873">
        <v>51</v>
      </c>
    </row>
    <row r="68" spans="2:6">
      <c r="B68" s="867">
        <v>37445</v>
      </c>
      <c r="C68" t="s">
        <v>379</v>
      </c>
      <c r="D68" t="s">
        <v>1240</v>
      </c>
      <c r="E68" t="s">
        <v>1452</v>
      </c>
      <c r="F68" s="873">
        <v>52</v>
      </c>
    </row>
    <row r="69" spans="2:6">
      <c r="B69" s="867">
        <v>37446</v>
      </c>
      <c r="C69" t="s">
        <v>541</v>
      </c>
      <c r="D69" t="s">
        <v>375</v>
      </c>
      <c r="E69" t="s">
        <v>1452</v>
      </c>
      <c r="F69" s="873">
        <v>53</v>
      </c>
    </row>
    <row r="70" spans="2:6">
      <c r="B70" s="867">
        <v>37446</v>
      </c>
      <c r="C70" t="s">
        <v>1278</v>
      </c>
      <c r="D70" t="s">
        <v>103</v>
      </c>
      <c r="E70" t="s">
        <v>1452</v>
      </c>
      <c r="F70" s="873">
        <v>53</v>
      </c>
    </row>
    <row r="71" spans="2:6">
      <c r="B71" s="867">
        <v>37446</v>
      </c>
      <c r="C71" t="s">
        <v>106</v>
      </c>
      <c r="D71" t="s">
        <v>388</v>
      </c>
      <c r="E71" t="s">
        <v>1452</v>
      </c>
      <c r="F71" s="873">
        <v>54</v>
      </c>
    </row>
    <row r="72" spans="2:6">
      <c r="B72" s="867">
        <v>37446</v>
      </c>
      <c r="C72" t="s">
        <v>382</v>
      </c>
      <c r="D72" t="s">
        <v>374</v>
      </c>
      <c r="E72" t="s">
        <v>1452</v>
      </c>
      <c r="F72" s="873">
        <v>54</v>
      </c>
    </row>
    <row r="73" spans="2:6">
      <c r="B73" s="867">
        <v>37448</v>
      </c>
      <c r="C73" t="s">
        <v>1297</v>
      </c>
      <c r="D73" t="s">
        <v>1298</v>
      </c>
      <c r="E73" t="s">
        <v>414</v>
      </c>
      <c r="F73" s="873">
        <v>56</v>
      </c>
    </row>
    <row r="74" spans="2:6">
      <c r="B74" s="867">
        <v>37448</v>
      </c>
      <c r="C74" t="s">
        <v>1299</v>
      </c>
      <c r="D74" t="s">
        <v>1300</v>
      </c>
      <c r="E74" t="s">
        <v>414</v>
      </c>
      <c r="F74" s="873">
        <v>56</v>
      </c>
    </row>
    <row r="75" spans="2:6">
      <c r="B75" s="867">
        <v>37449</v>
      </c>
      <c r="C75" t="s">
        <v>1301</v>
      </c>
      <c r="D75" t="s">
        <v>1302</v>
      </c>
      <c r="E75" t="s">
        <v>414</v>
      </c>
      <c r="F75" s="873">
        <v>56</v>
      </c>
    </row>
    <row r="76" spans="2:6">
      <c r="B76" s="867">
        <v>37449</v>
      </c>
      <c r="C76" t="s">
        <v>1303</v>
      </c>
      <c r="D76" t="s">
        <v>1304</v>
      </c>
      <c r="E76" t="s">
        <v>414</v>
      </c>
      <c r="F76" s="873">
        <v>56</v>
      </c>
    </row>
    <row r="77" spans="2:6">
      <c r="B77" s="867">
        <v>37449</v>
      </c>
      <c r="C77" t="s">
        <v>322</v>
      </c>
      <c r="D77" t="s">
        <v>323</v>
      </c>
      <c r="E77" t="s">
        <v>414</v>
      </c>
      <c r="F77" s="873">
        <v>56</v>
      </c>
    </row>
    <row r="78" spans="2:6">
      <c r="B78" s="867">
        <v>37449</v>
      </c>
      <c r="C78" t="s">
        <v>324</v>
      </c>
      <c r="E78" t="s">
        <v>1452</v>
      </c>
      <c r="F78" s="873">
        <v>57</v>
      </c>
    </row>
    <row r="79" spans="2:6">
      <c r="B79" s="867">
        <v>37449</v>
      </c>
      <c r="C79" t="s">
        <v>459</v>
      </c>
      <c r="D79" t="s">
        <v>460</v>
      </c>
      <c r="E79" t="s">
        <v>1452</v>
      </c>
      <c r="F79" s="873">
        <v>58</v>
      </c>
    </row>
    <row r="80" spans="2:6">
      <c r="B80" s="867">
        <v>37449</v>
      </c>
      <c r="C80" t="s">
        <v>461</v>
      </c>
      <c r="D80" t="s">
        <v>1240</v>
      </c>
      <c r="E80" t="s">
        <v>1452</v>
      </c>
      <c r="F80" s="873">
        <v>58</v>
      </c>
    </row>
    <row r="81" spans="2:6">
      <c r="B81" s="867">
        <v>37450</v>
      </c>
      <c r="C81" t="s">
        <v>462</v>
      </c>
      <c r="D81" t="s">
        <v>463</v>
      </c>
      <c r="E81" t="s">
        <v>1452</v>
      </c>
      <c r="F81" s="873">
        <v>59</v>
      </c>
    </row>
    <row r="82" spans="2:6">
      <c r="B82" s="867">
        <v>37453</v>
      </c>
      <c r="C82" t="s">
        <v>464</v>
      </c>
      <c r="D82" t="s">
        <v>465</v>
      </c>
      <c r="E82" t="s">
        <v>1452</v>
      </c>
      <c r="F82" s="873">
        <v>60</v>
      </c>
    </row>
    <row r="83" spans="2:6">
      <c r="B83" s="867">
        <v>37453</v>
      </c>
      <c r="C83" t="s">
        <v>466</v>
      </c>
      <c r="D83" t="s">
        <v>467</v>
      </c>
      <c r="E83" t="s">
        <v>1452</v>
      </c>
      <c r="F83" s="873">
        <v>60</v>
      </c>
    </row>
    <row r="84" spans="2:6">
      <c r="B84" s="867">
        <v>37453</v>
      </c>
      <c r="C84" t="s">
        <v>14</v>
      </c>
      <c r="D84" t="s">
        <v>15</v>
      </c>
      <c r="E84" t="s">
        <v>1452</v>
      </c>
      <c r="F84" s="873">
        <v>60</v>
      </c>
    </row>
    <row r="85" spans="2:6">
      <c r="B85" s="867">
        <v>37453</v>
      </c>
      <c r="C85" t="s">
        <v>818</v>
      </c>
      <c r="D85" t="s">
        <v>819</v>
      </c>
      <c r="E85" t="s">
        <v>1452</v>
      </c>
      <c r="F85" s="873">
        <v>60</v>
      </c>
    </row>
    <row r="86" spans="2:6">
      <c r="B86" s="867">
        <v>37453</v>
      </c>
      <c r="C86" t="s">
        <v>1235</v>
      </c>
      <c r="D86" t="s">
        <v>1236</v>
      </c>
      <c r="E86" t="s">
        <v>1452</v>
      </c>
      <c r="F86" s="873">
        <v>60</v>
      </c>
    </row>
    <row r="87" spans="2:6">
      <c r="B87" s="867">
        <v>37455</v>
      </c>
      <c r="C87" t="s">
        <v>380</v>
      </c>
      <c r="D87" t="s">
        <v>381</v>
      </c>
      <c r="E87" t="s">
        <v>1452</v>
      </c>
      <c r="F87" s="873">
        <v>61</v>
      </c>
    </row>
    <row r="88" spans="2:6">
      <c r="B88" s="867">
        <v>37455</v>
      </c>
      <c r="C88" t="s">
        <v>1159</v>
      </c>
      <c r="D88" t="s">
        <v>1240</v>
      </c>
      <c r="E88" t="s">
        <v>1319</v>
      </c>
      <c r="F88" s="873">
        <v>61</v>
      </c>
    </row>
    <row r="89" spans="2:6">
      <c r="B89" s="867">
        <v>37459</v>
      </c>
      <c r="C89" t="s">
        <v>1239</v>
      </c>
      <c r="D89" t="s">
        <v>1240</v>
      </c>
      <c r="E89" t="s">
        <v>1319</v>
      </c>
      <c r="F89" s="873">
        <v>61</v>
      </c>
    </row>
    <row r="90" spans="2:6">
      <c r="B90" s="867">
        <v>37466</v>
      </c>
      <c r="C90" t="s">
        <v>1398</v>
      </c>
      <c r="D90" t="s">
        <v>1469</v>
      </c>
      <c r="E90" t="s">
        <v>1452</v>
      </c>
      <c r="F90" s="873">
        <v>63</v>
      </c>
    </row>
    <row r="91" spans="2:6">
      <c r="B91" s="867">
        <v>37466</v>
      </c>
      <c r="C91" t="s">
        <v>1470</v>
      </c>
      <c r="D91" t="s">
        <v>771</v>
      </c>
      <c r="E91" t="s">
        <v>1452</v>
      </c>
      <c r="F91" s="873">
        <v>63</v>
      </c>
    </row>
    <row r="92" spans="2:6">
      <c r="B92" s="867">
        <v>37466</v>
      </c>
      <c r="C92" t="s">
        <v>772</v>
      </c>
      <c r="D92" t="s">
        <v>773</v>
      </c>
      <c r="E92" t="s">
        <v>1452</v>
      </c>
      <c r="F92" s="873">
        <v>63</v>
      </c>
    </row>
    <row r="93" spans="2:6">
      <c r="B93" s="867">
        <v>37651</v>
      </c>
      <c r="C93" t="s">
        <v>637</v>
      </c>
      <c r="D93" t="s">
        <v>739</v>
      </c>
      <c r="E93" t="s">
        <v>1452</v>
      </c>
      <c r="F93" s="873">
        <v>65</v>
      </c>
    </row>
    <row r="94" spans="2:6">
      <c r="B94" s="867">
        <v>37651</v>
      </c>
      <c r="C94" t="s">
        <v>741</v>
      </c>
      <c r="D94" t="s">
        <v>740</v>
      </c>
      <c r="E94" t="s">
        <v>1452</v>
      </c>
      <c r="F94" s="873">
        <v>65</v>
      </c>
    </row>
    <row r="95" spans="2:6">
      <c r="B95" s="867">
        <v>37651</v>
      </c>
      <c r="C95" t="s">
        <v>742</v>
      </c>
      <c r="D95" t="s">
        <v>743</v>
      </c>
      <c r="E95" t="s">
        <v>1452</v>
      </c>
      <c r="F95" s="873">
        <v>65</v>
      </c>
    </row>
    <row r="96" spans="2:6">
      <c r="B96" s="867">
        <v>37651</v>
      </c>
      <c r="C96" t="s">
        <v>297</v>
      </c>
      <c r="D96" t="s">
        <v>744</v>
      </c>
      <c r="E96" t="s">
        <v>1452</v>
      </c>
      <c r="F96" s="873">
        <v>65</v>
      </c>
    </row>
    <row r="97" spans="1:6">
      <c r="B97" s="867">
        <v>37651</v>
      </c>
      <c r="C97" t="s">
        <v>298</v>
      </c>
      <c r="D97" t="s">
        <v>299</v>
      </c>
      <c r="E97" t="s">
        <v>1452</v>
      </c>
      <c r="F97" s="873">
        <v>65</v>
      </c>
    </row>
    <row r="98" spans="1:6">
      <c r="B98" s="867">
        <v>37651</v>
      </c>
      <c r="C98" t="s">
        <v>1154</v>
      </c>
      <c r="D98" t="s">
        <v>1155</v>
      </c>
      <c r="E98" t="s">
        <v>1452</v>
      </c>
      <c r="F98" s="873">
        <v>68</v>
      </c>
    </row>
    <row r="99" spans="1:6">
      <c r="B99" s="867">
        <v>37657</v>
      </c>
      <c r="C99" t="s">
        <v>1156</v>
      </c>
      <c r="D99" t="s">
        <v>1157</v>
      </c>
      <c r="E99" t="s">
        <v>1452</v>
      </c>
      <c r="F99" s="873">
        <v>72</v>
      </c>
    </row>
    <row r="100" spans="1:6">
      <c r="B100" s="867">
        <v>37657</v>
      </c>
      <c r="C100" t="s">
        <v>1158</v>
      </c>
      <c r="D100" t="s">
        <v>1417</v>
      </c>
      <c r="E100" t="s">
        <v>1452</v>
      </c>
      <c r="F100" s="873">
        <v>72</v>
      </c>
    </row>
    <row r="101" spans="1:6">
      <c r="B101" s="867">
        <v>37657</v>
      </c>
      <c r="C101" t="s">
        <v>1418</v>
      </c>
      <c r="D101" t="s">
        <v>655</v>
      </c>
      <c r="E101" t="s">
        <v>1452</v>
      </c>
      <c r="F101" s="873">
        <v>72</v>
      </c>
    </row>
    <row r="102" spans="1:6">
      <c r="A102" s="1177"/>
      <c r="B102" s="1372">
        <v>38331</v>
      </c>
      <c r="C102" s="1177" t="s">
        <v>884</v>
      </c>
      <c r="D102" s="1177" t="s">
        <v>885</v>
      </c>
      <c r="E102" s="1177" t="s">
        <v>1452</v>
      </c>
      <c r="F102" s="1373">
        <v>79</v>
      </c>
    </row>
    <row r="103" spans="1:6">
      <c r="A103" s="1177"/>
      <c r="B103" s="1372">
        <v>38331</v>
      </c>
      <c r="C103" s="1177" t="s">
        <v>886</v>
      </c>
      <c r="D103" s="1177" t="s">
        <v>887</v>
      </c>
      <c r="E103" s="1177" t="s">
        <v>1452</v>
      </c>
      <c r="F103" s="1373">
        <v>79</v>
      </c>
    </row>
    <row r="104" spans="1:6">
      <c r="A104" s="1177"/>
      <c r="B104" s="1372">
        <v>38331</v>
      </c>
      <c r="C104" s="1177" t="s">
        <v>888</v>
      </c>
      <c r="D104" s="1177" t="s">
        <v>889</v>
      </c>
      <c r="E104" s="1177" t="s">
        <v>1452</v>
      </c>
      <c r="F104" s="1373">
        <v>79</v>
      </c>
    </row>
    <row r="105" spans="1:6">
      <c r="A105" s="1177"/>
      <c r="B105" s="1372">
        <v>38331</v>
      </c>
      <c r="C105" s="1177" t="s">
        <v>890</v>
      </c>
      <c r="D105" s="1177" t="s">
        <v>891</v>
      </c>
      <c r="E105" s="1177" t="s">
        <v>1452</v>
      </c>
      <c r="F105" s="1373">
        <v>79</v>
      </c>
    </row>
    <row r="106" spans="1:6">
      <c r="A106" s="1177"/>
      <c r="B106" s="1372">
        <v>38331</v>
      </c>
      <c r="C106" s="1177" t="s">
        <v>893</v>
      </c>
      <c r="D106" s="1177" t="s">
        <v>894</v>
      </c>
      <c r="E106" s="1177" t="s">
        <v>1452</v>
      </c>
      <c r="F106" s="1373">
        <v>79</v>
      </c>
    </row>
    <row r="107" spans="1:6">
      <c r="A107" s="1177"/>
      <c r="B107" s="1372">
        <v>38331</v>
      </c>
      <c r="C107" s="1177" t="s">
        <v>895</v>
      </c>
      <c r="D107" s="1177" t="s">
        <v>896</v>
      </c>
      <c r="E107" s="1177" t="s">
        <v>1452</v>
      </c>
      <c r="F107" s="1373">
        <v>79</v>
      </c>
    </row>
    <row r="108" spans="1:6">
      <c r="A108" s="1177"/>
      <c r="B108" s="1372">
        <v>38331</v>
      </c>
      <c r="C108" s="1177" t="s">
        <v>1744</v>
      </c>
      <c r="D108" s="1177" t="s">
        <v>1745</v>
      </c>
      <c r="E108" s="1177" t="s">
        <v>1452</v>
      </c>
      <c r="F108" s="1373">
        <v>79</v>
      </c>
    </row>
    <row r="109" spans="1:6">
      <c r="A109" s="1177"/>
      <c r="B109" s="1372">
        <v>38331</v>
      </c>
      <c r="C109" s="1177" t="s">
        <v>1746</v>
      </c>
      <c r="D109" s="1177" t="s">
        <v>1240</v>
      </c>
      <c r="E109" s="1177" t="s">
        <v>1452</v>
      </c>
      <c r="F109" s="1373">
        <v>79</v>
      </c>
    </row>
    <row r="110" spans="1:6">
      <c r="A110" s="1177"/>
      <c r="B110" s="1372">
        <v>38331</v>
      </c>
      <c r="C110" s="1177" t="s">
        <v>1747</v>
      </c>
      <c r="D110" s="1177" t="s">
        <v>1240</v>
      </c>
      <c r="E110" s="1177" t="s">
        <v>1452</v>
      </c>
      <c r="F110" s="1373">
        <v>79</v>
      </c>
    </row>
    <row r="111" spans="1:6">
      <c r="A111" s="1177"/>
      <c r="B111" s="1372">
        <v>38331</v>
      </c>
      <c r="C111" s="1177" t="s">
        <v>1748</v>
      </c>
      <c r="D111" s="1177" t="s">
        <v>1240</v>
      </c>
      <c r="E111" s="1177" t="s">
        <v>1452</v>
      </c>
      <c r="F111" s="1373">
        <v>79</v>
      </c>
    </row>
    <row r="112" spans="1:6">
      <c r="A112" s="1177"/>
      <c r="B112" s="1372">
        <v>38331</v>
      </c>
      <c r="C112" s="1177" t="s">
        <v>1749</v>
      </c>
      <c r="D112" s="1177" t="s">
        <v>1240</v>
      </c>
      <c r="E112" s="1177" t="s">
        <v>1452</v>
      </c>
      <c r="F112" s="1373">
        <v>79</v>
      </c>
    </row>
    <row r="113" spans="1:6">
      <c r="A113" s="1177"/>
      <c r="B113" s="1372">
        <v>38331</v>
      </c>
      <c r="C113" s="1177" t="s">
        <v>1750</v>
      </c>
      <c r="D113" s="1177" t="s">
        <v>108</v>
      </c>
      <c r="E113" s="1177" t="s">
        <v>1452</v>
      </c>
      <c r="F113" s="1373">
        <v>79</v>
      </c>
    </row>
    <row r="114" spans="1:6">
      <c r="A114" s="1177"/>
      <c r="B114" s="1372">
        <v>38331</v>
      </c>
      <c r="C114" s="1177" t="s">
        <v>109</v>
      </c>
      <c r="D114" s="1177" t="s">
        <v>971</v>
      </c>
      <c r="E114" s="1177" t="s">
        <v>1452</v>
      </c>
      <c r="F114" s="1373">
        <v>79</v>
      </c>
    </row>
    <row r="115" spans="1:6">
      <c r="A115" s="1177"/>
      <c r="B115" s="1372">
        <v>38331</v>
      </c>
      <c r="C115" s="1177" t="s">
        <v>55</v>
      </c>
      <c r="D115" s="1177" t="s">
        <v>56</v>
      </c>
      <c r="E115" s="1177" t="s">
        <v>1452</v>
      </c>
      <c r="F115" s="1373">
        <v>79</v>
      </c>
    </row>
    <row r="116" spans="1:6">
      <c r="A116" s="1177"/>
      <c r="B116" s="1372">
        <v>38331</v>
      </c>
      <c r="C116" s="1177" t="s">
        <v>57</v>
      </c>
      <c r="D116" s="1177" t="s">
        <v>58</v>
      </c>
      <c r="E116" s="1177" t="s">
        <v>1452</v>
      </c>
      <c r="F116" s="1373">
        <v>79</v>
      </c>
    </row>
    <row r="117" spans="1:6">
      <c r="A117" s="1177"/>
      <c r="B117" s="1372">
        <v>38331</v>
      </c>
      <c r="C117" s="1177" t="s">
        <v>59</v>
      </c>
      <c r="D117" s="1177" t="s">
        <v>60</v>
      </c>
      <c r="E117" s="1177" t="s">
        <v>1452</v>
      </c>
      <c r="F117" s="1373">
        <v>79</v>
      </c>
    </row>
    <row r="118" spans="1:6">
      <c r="A118" s="1177"/>
      <c r="B118" s="1372">
        <v>38331</v>
      </c>
      <c r="C118" s="1177" t="s">
        <v>61</v>
      </c>
      <c r="D118" s="1177" t="s">
        <v>62</v>
      </c>
      <c r="E118" s="1177" t="s">
        <v>1452</v>
      </c>
      <c r="F118" s="1373">
        <v>79</v>
      </c>
    </row>
    <row r="119" spans="1:6">
      <c r="A119" s="1177"/>
      <c r="B119" s="1372">
        <v>38331</v>
      </c>
      <c r="C119" s="1177" t="s">
        <v>63</v>
      </c>
      <c r="D119" s="1177" t="s">
        <v>64</v>
      </c>
      <c r="E119" s="1177" t="s">
        <v>1452</v>
      </c>
      <c r="F119" s="1373">
        <v>79</v>
      </c>
    </row>
    <row r="120" spans="1:6">
      <c r="A120" s="1177"/>
      <c r="B120" s="1372">
        <v>38331</v>
      </c>
      <c r="C120" s="1177" t="s">
        <v>1094</v>
      </c>
      <c r="D120" s="1177" t="s">
        <v>64</v>
      </c>
      <c r="E120" s="1177" t="s">
        <v>1452</v>
      </c>
      <c r="F120" s="1373">
        <v>79</v>
      </c>
    </row>
    <row r="121" spans="1:6">
      <c r="A121" s="1177"/>
      <c r="B121" s="1372">
        <v>38331</v>
      </c>
      <c r="C121" s="1177" t="s">
        <v>1095</v>
      </c>
      <c r="D121" s="1177" t="s">
        <v>71</v>
      </c>
      <c r="E121" s="1177" t="s">
        <v>1452</v>
      </c>
      <c r="F121" s="1373">
        <v>79</v>
      </c>
    </row>
    <row r="122" spans="1:6">
      <c r="A122" s="1177"/>
      <c r="B122" s="1372">
        <v>38331</v>
      </c>
      <c r="C122" s="1177" t="s">
        <v>72</v>
      </c>
      <c r="D122" s="1177" t="s">
        <v>73</v>
      </c>
      <c r="E122" s="1177" t="s">
        <v>1452</v>
      </c>
      <c r="F122" s="1373">
        <v>79</v>
      </c>
    </row>
    <row r="123" spans="1:6">
      <c r="A123" s="1177"/>
      <c r="B123" s="1372">
        <v>38331</v>
      </c>
      <c r="C123" s="1177" t="s">
        <v>74</v>
      </c>
      <c r="D123" s="1177" t="s">
        <v>75</v>
      </c>
      <c r="E123" s="1177" t="s">
        <v>1452</v>
      </c>
      <c r="F123" s="1373">
        <v>79</v>
      </c>
    </row>
    <row r="124" spans="1:6">
      <c r="A124" s="1177"/>
      <c r="B124" s="1372">
        <v>38331</v>
      </c>
      <c r="C124" s="1177" t="s">
        <v>76</v>
      </c>
      <c r="D124" s="1177" t="s">
        <v>77</v>
      </c>
      <c r="E124" s="1177" t="s">
        <v>1452</v>
      </c>
      <c r="F124" s="1373">
        <v>79</v>
      </c>
    </row>
    <row r="125" spans="1:6">
      <c r="A125" s="1177"/>
      <c r="B125" s="1372">
        <v>38331</v>
      </c>
      <c r="C125" s="1177" t="s">
        <v>1051</v>
      </c>
      <c r="D125" s="1177" t="s">
        <v>1052</v>
      </c>
      <c r="E125" s="1177" t="s">
        <v>1452</v>
      </c>
      <c r="F125" s="1373">
        <v>79</v>
      </c>
    </row>
    <row r="126" spans="1:6">
      <c r="A126" s="1177"/>
      <c r="B126" s="1372">
        <v>38331</v>
      </c>
      <c r="C126" s="1177" t="s">
        <v>189</v>
      </c>
      <c r="D126" s="1177" t="s">
        <v>190</v>
      </c>
      <c r="E126" s="1177" t="s">
        <v>1452</v>
      </c>
      <c r="F126" s="1373">
        <v>79</v>
      </c>
    </row>
    <row r="127" spans="1:6">
      <c r="A127" s="1177"/>
      <c r="B127" s="1372">
        <v>38331</v>
      </c>
      <c r="C127" s="1177" t="s">
        <v>191</v>
      </c>
      <c r="D127" s="1177" t="s">
        <v>192</v>
      </c>
      <c r="E127" s="1177" t="s">
        <v>1452</v>
      </c>
      <c r="F127" s="1373">
        <v>79</v>
      </c>
    </row>
    <row r="128" spans="1:6">
      <c r="A128" s="1177"/>
      <c r="B128" s="1372">
        <v>38331</v>
      </c>
      <c r="C128" s="1177" t="s">
        <v>193</v>
      </c>
      <c r="D128" s="1177" t="s">
        <v>88</v>
      </c>
      <c r="E128" s="1177" t="s">
        <v>1452</v>
      </c>
      <c r="F128" s="1373">
        <v>79</v>
      </c>
    </row>
    <row r="129" spans="1:6">
      <c r="A129" s="1177"/>
      <c r="B129" s="1372">
        <v>38331</v>
      </c>
      <c r="C129" s="1177" t="s">
        <v>89</v>
      </c>
      <c r="D129" s="1177" t="s">
        <v>90</v>
      </c>
      <c r="E129" s="1177" t="s">
        <v>1452</v>
      </c>
      <c r="F129" s="1373">
        <v>79</v>
      </c>
    </row>
    <row r="130" spans="1:6">
      <c r="A130" s="1177"/>
      <c r="B130" s="1372">
        <v>38331</v>
      </c>
      <c r="C130" s="1177" t="s">
        <v>91</v>
      </c>
      <c r="D130" s="1177" t="s">
        <v>92</v>
      </c>
      <c r="E130" s="1177" t="s">
        <v>1452</v>
      </c>
      <c r="F130" s="1373">
        <v>79</v>
      </c>
    </row>
    <row r="131" spans="1:6">
      <c r="A131" s="1177"/>
      <c r="B131" s="1372">
        <v>38331</v>
      </c>
      <c r="C131" s="1177" t="s">
        <v>93</v>
      </c>
      <c r="D131" s="1177" t="s">
        <v>94</v>
      </c>
      <c r="E131" s="1177" t="s">
        <v>1452</v>
      </c>
      <c r="F131" s="1373">
        <v>79</v>
      </c>
    </row>
    <row r="132" spans="1:6">
      <c r="A132" s="1177"/>
      <c r="B132" s="1372">
        <v>38331</v>
      </c>
      <c r="C132" s="1177" t="s">
        <v>95</v>
      </c>
      <c r="D132" s="1177" t="s">
        <v>96</v>
      </c>
      <c r="E132" s="1177" t="s">
        <v>1452</v>
      </c>
      <c r="F132" s="1373">
        <v>79</v>
      </c>
    </row>
    <row r="133" spans="1:6">
      <c r="A133" s="1177"/>
      <c r="B133" s="1372">
        <v>38332</v>
      </c>
      <c r="C133" s="1177" t="s">
        <v>97</v>
      </c>
      <c r="D133" s="1177" t="s">
        <v>98</v>
      </c>
      <c r="E133" s="1177" t="s">
        <v>1452</v>
      </c>
      <c r="F133" s="1373">
        <v>80</v>
      </c>
    </row>
    <row r="134" spans="1:6">
      <c r="A134" s="1177"/>
      <c r="B134" s="1372">
        <v>38332</v>
      </c>
      <c r="C134" s="1177" t="s">
        <v>99</v>
      </c>
      <c r="D134" s="1177" t="s">
        <v>1057</v>
      </c>
      <c r="E134" s="1177" t="s">
        <v>1452</v>
      </c>
      <c r="F134" s="1373">
        <v>80</v>
      </c>
    </row>
    <row r="135" spans="1:6">
      <c r="A135" s="1177"/>
      <c r="B135" s="1372">
        <v>38332</v>
      </c>
      <c r="C135" s="1177" t="s">
        <v>1058</v>
      </c>
      <c r="D135" s="1177" t="s">
        <v>1059</v>
      </c>
      <c r="E135" s="1177" t="s">
        <v>1452</v>
      </c>
      <c r="F135" s="1373">
        <v>80</v>
      </c>
    </row>
    <row r="136" spans="1:6">
      <c r="A136" s="1177"/>
      <c r="B136" s="1372">
        <v>38332</v>
      </c>
      <c r="C136" s="1177" t="s">
        <v>1060</v>
      </c>
      <c r="D136" s="1177" t="s">
        <v>1061</v>
      </c>
      <c r="E136" s="1177" t="s">
        <v>1452</v>
      </c>
      <c r="F136" s="1373">
        <v>80</v>
      </c>
    </row>
    <row r="137" spans="1:6">
      <c r="A137" s="1177"/>
      <c r="B137" s="1372">
        <v>38332</v>
      </c>
      <c r="C137" s="1177" t="s">
        <v>1060</v>
      </c>
      <c r="D137" s="1177" t="s">
        <v>1062</v>
      </c>
      <c r="E137" s="1177" t="s">
        <v>1452</v>
      </c>
      <c r="F137" s="1373">
        <v>80</v>
      </c>
    </row>
    <row r="138" spans="1:6">
      <c r="A138" s="1177"/>
      <c r="B138" s="1372">
        <v>38332</v>
      </c>
      <c r="C138" s="1177" t="s">
        <v>1063</v>
      </c>
      <c r="D138" s="1177" t="s">
        <v>1064</v>
      </c>
      <c r="E138" s="1177" t="s">
        <v>1452</v>
      </c>
      <c r="F138" s="1373">
        <v>80</v>
      </c>
    </row>
    <row r="139" spans="1:6">
      <c r="A139" s="1177"/>
      <c r="B139" s="1372">
        <v>38332</v>
      </c>
      <c r="C139" s="1177" t="s">
        <v>143</v>
      </c>
      <c r="D139" s="1177" t="s">
        <v>144</v>
      </c>
      <c r="E139" s="1177" t="s">
        <v>1452</v>
      </c>
      <c r="F139" s="1373">
        <v>80</v>
      </c>
    </row>
    <row r="140" spans="1:6">
      <c r="A140" s="1177"/>
      <c r="B140" s="1372">
        <v>38332</v>
      </c>
      <c r="C140" s="1177" t="s">
        <v>143</v>
      </c>
      <c r="D140" s="1177" t="s">
        <v>145</v>
      </c>
      <c r="E140" s="1177" t="s">
        <v>1452</v>
      </c>
      <c r="F140" s="1373">
        <v>80</v>
      </c>
    </row>
    <row r="141" spans="1:6">
      <c r="A141" s="1177"/>
      <c r="B141" s="1372">
        <v>38332</v>
      </c>
      <c r="C141" s="1177" t="s">
        <v>146</v>
      </c>
      <c r="D141" s="1177" t="s">
        <v>252</v>
      </c>
      <c r="E141" s="1177" t="s">
        <v>1452</v>
      </c>
      <c r="F141" s="1373">
        <v>80</v>
      </c>
    </row>
    <row r="142" spans="1:6">
      <c r="A142" s="1177"/>
      <c r="B142" s="1372">
        <v>38332</v>
      </c>
      <c r="C142" s="1177" t="s">
        <v>1082</v>
      </c>
      <c r="D142" s="1177" t="s">
        <v>1083</v>
      </c>
      <c r="E142" s="1177" t="s">
        <v>1452</v>
      </c>
      <c r="F142" s="1373">
        <v>80</v>
      </c>
    </row>
    <row r="143" spans="1:6">
      <c r="A143" s="1177"/>
      <c r="B143" s="1372">
        <v>38332</v>
      </c>
      <c r="C143" s="1177" t="s">
        <v>1084</v>
      </c>
      <c r="D143" s="1177" t="s">
        <v>1052</v>
      </c>
      <c r="E143" s="1177" t="s">
        <v>1452</v>
      </c>
      <c r="F143" s="1373">
        <v>80</v>
      </c>
    </row>
    <row r="144" spans="1:6">
      <c r="A144" s="1177"/>
      <c r="B144" s="1372">
        <v>38332</v>
      </c>
      <c r="C144" s="1177" t="s">
        <v>1085</v>
      </c>
      <c r="D144" s="1177" t="s">
        <v>1086</v>
      </c>
      <c r="E144" s="1177" t="s">
        <v>1452</v>
      </c>
      <c r="F144" s="1373">
        <v>80</v>
      </c>
    </row>
    <row r="145" spans="1:6">
      <c r="A145" s="1177"/>
      <c r="B145" s="1372">
        <v>38332</v>
      </c>
      <c r="C145" s="1177" t="s">
        <v>1087</v>
      </c>
      <c r="D145" s="1177" t="s">
        <v>1088</v>
      </c>
      <c r="E145" s="1177" t="s">
        <v>1452</v>
      </c>
      <c r="F145" s="1373">
        <v>80</v>
      </c>
    </row>
    <row r="146" spans="1:6">
      <c r="A146" s="1177"/>
      <c r="B146" s="1372">
        <v>38332</v>
      </c>
      <c r="C146" s="1177" t="s">
        <v>1089</v>
      </c>
      <c r="D146" s="1177" t="s">
        <v>1090</v>
      </c>
      <c r="E146" s="1177" t="s">
        <v>1452</v>
      </c>
      <c r="F146" s="1373">
        <v>80</v>
      </c>
    </row>
    <row r="147" spans="1:6">
      <c r="A147" s="1177"/>
      <c r="B147" s="1372">
        <v>38332</v>
      </c>
      <c r="C147" s="1177" t="s">
        <v>1091</v>
      </c>
      <c r="D147" s="1177" t="s">
        <v>1065</v>
      </c>
      <c r="E147" s="1177" t="s">
        <v>1452</v>
      </c>
      <c r="F147" s="1373">
        <v>80</v>
      </c>
    </row>
    <row r="148" spans="1:6">
      <c r="A148" s="1177"/>
      <c r="B148" s="1372">
        <v>38332</v>
      </c>
      <c r="C148" s="1177" t="s">
        <v>1066</v>
      </c>
      <c r="D148" s="1177" t="s">
        <v>1067</v>
      </c>
      <c r="E148" s="1177" t="s">
        <v>1452</v>
      </c>
      <c r="F148" s="1373">
        <v>80</v>
      </c>
    </row>
    <row r="149" spans="1:6">
      <c r="A149" s="1177"/>
      <c r="B149" s="1372">
        <v>38332</v>
      </c>
      <c r="C149" s="1177" t="s">
        <v>1066</v>
      </c>
      <c r="D149" s="1177" t="s">
        <v>1068</v>
      </c>
      <c r="E149" s="1177" t="s">
        <v>1452</v>
      </c>
      <c r="F149" s="1373">
        <v>80</v>
      </c>
    </row>
    <row r="150" spans="1:6">
      <c r="A150" s="1177"/>
      <c r="B150" s="1372">
        <v>38332</v>
      </c>
      <c r="C150" s="1177" t="s">
        <v>1066</v>
      </c>
      <c r="D150" s="1177" t="s">
        <v>1069</v>
      </c>
      <c r="E150" s="1177" t="s">
        <v>1452</v>
      </c>
      <c r="F150" s="1373">
        <v>80</v>
      </c>
    </row>
    <row r="151" spans="1:6">
      <c r="A151" s="1177"/>
      <c r="B151" s="1372">
        <v>38332</v>
      </c>
      <c r="C151" s="1177" t="s">
        <v>1070</v>
      </c>
      <c r="D151" s="1177" t="s">
        <v>1052</v>
      </c>
      <c r="E151" s="1177" t="s">
        <v>1452</v>
      </c>
      <c r="F151" s="1373">
        <v>80</v>
      </c>
    </row>
    <row r="152" spans="1:6">
      <c r="A152" s="1177"/>
      <c r="B152" s="1372">
        <v>38332</v>
      </c>
      <c r="C152" s="1177" t="s">
        <v>1071</v>
      </c>
      <c r="D152" s="1177" t="s">
        <v>1052</v>
      </c>
      <c r="E152" s="1177" t="s">
        <v>1452</v>
      </c>
      <c r="F152" s="1373">
        <v>80</v>
      </c>
    </row>
    <row r="153" spans="1:6">
      <c r="A153" s="1177"/>
      <c r="B153" s="1372">
        <v>38332</v>
      </c>
      <c r="C153" s="1177" t="s">
        <v>1042</v>
      </c>
      <c r="D153" s="1177" t="s">
        <v>1052</v>
      </c>
      <c r="E153" s="1177" t="s">
        <v>1452</v>
      </c>
      <c r="F153" s="1373">
        <v>80</v>
      </c>
    </row>
    <row r="154" spans="1:6">
      <c r="A154" s="1177"/>
      <c r="B154" s="1372">
        <v>38332</v>
      </c>
      <c r="C154" s="1177" t="s">
        <v>1043</v>
      </c>
      <c r="D154" s="1177" t="s">
        <v>1052</v>
      </c>
      <c r="E154" s="1177" t="s">
        <v>1452</v>
      </c>
      <c r="F154" s="1373">
        <v>80</v>
      </c>
    </row>
    <row r="155" spans="1:6">
      <c r="A155" s="1177"/>
      <c r="B155" s="1372">
        <v>38332</v>
      </c>
      <c r="C155" s="1177" t="s">
        <v>1044</v>
      </c>
      <c r="D155" s="1177" t="s">
        <v>1052</v>
      </c>
      <c r="E155" s="1177" t="s">
        <v>1452</v>
      </c>
      <c r="F155" s="1373">
        <v>80</v>
      </c>
    </row>
    <row r="156" spans="1:6">
      <c r="A156" s="1177"/>
      <c r="B156" s="1372">
        <v>38332</v>
      </c>
      <c r="C156" s="1177" t="s">
        <v>1045</v>
      </c>
      <c r="D156" s="1177" t="s">
        <v>1052</v>
      </c>
      <c r="E156" s="1177" t="s">
        <v>1452</v>
      </c>
      <c r="F156" s="1373">
        <v>80</v>
      </c>
    </row>
    <row r="157" spans="1:6">
      <c r="A157" s="1177"/>
      <c r="B157" s="1372">
        <v>38332</v>
      </c>
      <c r="C157" s="1177" t="s">
        <v>1046</v>
      </c>
      <c r="D157" s="1177" t="s">
        <v>1047</v>
      </c>
      <c r="E157" s="1177" t="s">
        <v>1452</v>
      </c>
      <c r="F157" s="1373">
        <v>80</v>
      </c>
    </row>
    <row r="158" spans="1:6">
      <c r="A158" s="1177"/>
      <c r="B158" s="1372">
        <v>38332</v>
      </c>
      <c r="C158" s="1177" t="s">
        <v>1048</v>
      </c>
      <c r="D158" s="1177" t="s">
        <v>1049</v>
      </c>
      <c r="E158" s="1177" t="s">
        <v>1452</v>
      </c>
      <c r="F158" s="1373">
        <v>80</v>
      </c>
    </row>
    <row r="159" spans="1:6">
      <c r="A159" s="1177"/>
      <c r="B159" s="1372">
        <v>38332</v>
      </c>
      <c r="C159" s="1177" t="s">
        <v>1050</v>
      </c>
      <c r="D159" s="1177" t="s">
        <v>1052</v>
      </c>
      <c r="E159" s="1177" t="s">
        <v>1452</v>
      </c>
      <c r="F159" s="1373">
        <v>80</v>
      </c>
    </row>
    <row r="160" spans="1:6">
      <c r="A160" s="1177"/>
      <c r="B160" s="1372">
        <v>38332</v>
      </c>
      <c r="C160" s="1177" t="s">
        <v>185</v>
      </c>
      <c r="D160" s="1177" t="s">
        <v>1052</v>
      </c>
      <c r="E160" s="1177" t="s">
        <v>1452</v>
      </c>
      <c r="F160" s="1373">
        <v>80</v>
      </c>
    </row>
    <row r="161" spans="1:6">
      <c r="A161" s="1177"/>
      <c r="B161" s="1372">
        <v>38332</v>
      </c>
      <c r="C161" s="1177" t="s">
        <v>186</v>
      </c>
      <c r="D161" s="1177" t="s">
        <v>187</v>
      </c>
      <c r="E161" s="1177" t="s">
        <v>1452</v>
      </c>
      <c r="F161" s="1373">
        <v>80</v>
      </c>
    </row>
    <row r="162" spans="1:6">
      <c r="A162" s="1177"/>
      <c r="B162" s="1372">
        <v>38332</v>
      </c>
      <c r="C162" s="1177" t="s">
        <v>1112</v>
      </c>
      <c r="D162" s="1177" t="s">
        <v>1113</v>
      </c>
      <c r="E162" s="1177" t="s">
        <v>1452</v>
      </c>
      <c r="F162" s="1373">
        <v>80</v>
      </c>
    </row>
    <row r="163" spans="1:6">
      <c r="A163" s="1177"/>
      <c r="B163" s="1372">
        <v>38332</v>
      </c>
      <c r="C163" s="1177" t="s">
        <v>1114</v>
      </c>
      <c r="D163" s="1177" t="s">
        <v>1115</v>
      </c>
      <c r="E163" s="1177" t="s">
        <v>1452</v>
      </c>
      <c r="F163" s="1373">
        <v>80</v>
      </c>
    </row>
    <row r="164" spans="1:6">
      <c r="A164" s="1177"/>
      <c r="B164" s="1372">
        <v>38334</v>
      </c>
      <c r="C164" s="1177" t="s">
        <v>1116</v>
      </c>
      <c r="D164" s="1177" t="s">
        <v>330</v>
      </c>
      <c r="E164" s="1177" t="s">
        <v>1452</v>
      </c>
      <c r="F164" s="1373">
        <v>80</v>
      </c>
    </row>
    <row r="165" spans="1:6">
      <c r="A165" s="1177"/>
      <c r="B165" s="1372">
        <v>38334</v>
      </c>
      <c r="C165" s="1177" t="s">
        <v>331</v>
      </c>
      <c r="D165" s="1177" t="s">
        <v>332</v>
      </c>
      <c r="E165" s="1177" t="s">
        <v>1452</v>
      </c>
      <c r="F165" s="1373">
        <v>80</v>
      </c>
    </row>
    <row r="166" spans="1:6">
      <c r="A166" s="1177"/>
      <c r="B166" s="1372">
        <v>38334</v>
      </c>
      <c r="C166" s="1177" t="s">
        <v>333</v>
      </c>
      <c r="D166" s="1177" t="s">
        <v>389</v>
      </c>
      <c r="E166" s="1177" t="s">
        <v>1452</v>
      </c>
      <c r="F166" s="1373">
        <v>80</v>
      </c>
    </row>
    <row r="167" spans="1:6">
      <c r="A167" s="1177"/>
      <c r="B167" s="1372">
        <v>38334</v>
      </c>
      <c r="C167" s="1177" t="s">
        <v>390</v>
      </c>
      <c r="D167" s="1177" t="s">
        <v>391</v>
      </c>
      <c r="E167" s="1177" t="s">
        <v>1452</v>
      </c>
      <c r="F167" s="1373">
        <v>80</v>
      </c>
    </row>
    <row r="168" spans="1:6">
      <c r="A168" s="1177"/>
      <c r="B168" s="1372">
        <v>38334</v>
      </c>
      <c r="C168" s="1177" t="s">
        <v>392</v>
      </c>
      <c r="D168" s="1177" t="s">
        <v>1052</v>
      </c>
      <c r="E168" s="1177" t="s">
        <v>1452</v>
      </c>
      <c r="F168" s="1373">
        <v>80</v>
      </c>
    </row>
    <row r="169" spans="1:6">
      <c r="A169" s="1177"/>
      <c r="B169" s="1372">
        <v>38334</v>
      </c>
      <c r="C169" s="1177" t="s">
        <v>393</v>
      </c>
      <c r="D169" s="1177" t="s">
        <v>1052</v>
      </c>
      <c r="E169" s="1177" t="s">
        <v>1452</v>
      </c>
      <c r="F169" s="1373">
        <v>80</v>
      </c>
    </row>
    <row r="170" spans="1:6">
      <c r="A170" s="1177"/>
      <c r="B170" s="1372">
        <v>38334</v>
      </c>
      <c r="C170" s="1177" t="s">
        <v>394</v>
      </c>
      <c r="D170" s="1177" t="s">
        <v>395</v>
      </c>
      <c r="E170" s="1177" t="s">
        <v>1452</v>
      </c>
      <c r="F170" s="1373">
        <v>80</v>
      </c>
    </row>
    <row r="171" spans="1:6">
      <c r="A171" s="1177"/>
      <c r="B171" s="1372">
        <v>38334</v>
      </c>
      <c r="C171" s="1177" t="s">
        <v>396</v>
      </c>
      <c r="D171" s="1177" t="s">
        <v>397</v>
      </c>
      <c r="E171" s="1177" t="s">
        <v>1452</v>
      </c>
      <c r="F171" s="1373">
        <v>80</v>
      </c>
    </row>
    <row r="172" spans="1:6">
      <c r="A172" s="1177"/>
      <c r="B172" s="1372">
        <v>38334</v>
      </c>
      <c r="C172" s="1177" t="s">
        <v>1321</v>
      </c>
      <c r="D172" s="1177" t="s">
        <v>1052</v>
      </c>
      <c r="E172" s="1177" t="s">
        <v>1452</v>
      </c>
      <c r="F172" s="1373">
        <v>81</v>
      </c>
    </row>
    <row r="173" spans="1:6">
      <c r="A173" s="1177"/>
      <c r="B173" s="1372">
        <v>38334</v>
      </c>
      <c r="C173" s="1177" t="s">
        <v>500</v>
      </c>
      <c r="D173" s="1177" t="s">
        <v>501</v>
      </c>
      <c r="E173" s="1177" t="s">
        <v>1452</v>
      </c>
      <c r="F173" s="1373">
        <v>81</v>
      </c>
    </row>
    <row r="174" spans="1:6">
      <c r="A174" s="1177"/>
      <c r="B174" s="1372">
        <v>38334</v>
      </c>
      <c r="C174" s="1177" t="s">
        <v>502</v>
      </c>
      <c r="D174" s="1177" t="s">
        <v>1052</v>
      </c>
      <c r="E174" s="1177" t="s">
        <v>1452</v>
      </c>
      <c r="F174" s="1373">
        <v>81</v>
      </c>
    </row>
    <row r="175" spans="1:6">
      <c r="A175" s="1177"/>
      <c r="B175" s="1372">
        <v>38334</v>
      </c>
      <c r="C175" s="1177" t="s">
        <v>503</v>
      </c>
      <c r="D175" s="1177" t="s">
        <v>1052</v>
      </c>
      <c r="E175" s="1177" t="s">
        <v>1452</v>
      </c>
      <c r="F175" s="1373">
        <v>81</v>
      </c>
    </row>
    <row r="176" spans="1:6">
      <c r="A176" s="1177"/>
      <c r="B176" s="1372">
        <v>38334</v>
      </c>
      <c r="C176" s="1177" t="s">
        <v>504</v>
      </c>
      <c r="D176" s="1177" t="s">
        <v>505</v>
      </c>
      <c r="E176" s="1177" t="s">
        <v>1452</v>
      </c>
      <c r="F176" s="1373">
        <v>81</v>
      </c>
    </row>
    <row r="177" spans="1:6">
      <c r="A177" s="1177"/>
      <c r="B177" s="1372">
        <v>38334</v>
      </c>
      <c r="C177" s="1177" t="s">
        <v>1344</v>
      </c>
      <c r="D177" s="1177" t="s">
        <v>1052</v>
      </c>
      <c r="E177" s="1177" t="s">
        <v>1452</v>
      </c>
      <c r="F177" s="1373">
        <v>81</v>
      </c>
    </row>
    <row r="178" spans="1:6">
      <c r="A178" s="1177"/>
      <c r="B178" s="1372">
        <v>38334</v>
      </c>
      <c r="C178" s="1177" t="s">
        <v>1345</v>
      </c>
      <c r="D178" s="1177" t="s">
        <v>1052</v>
      </c>
      <c r="E178" s="1177" t="s">
        <v>1452</v>
      </c>
      <c r="F178" s="1373">
        <v>81</v>
      </c>
    </row>
    <row r="179" spans="1:6">
      <c r="A179" s="1177"/>
      <c r="B179" s="1372">
        <v>38334</v>
      </c>
      <c r="C179" s="1177" t="s">
        <v>1346</v>
      </c>
      <c r="D179" s="1177" t="s">
        <v>1347</v>
      </c>
      <c r="E179" s="1177" t="s">
        <v>1452</v>
      </c>
      <c r="F179" s="1373">
        <v>81</v>
      </c>
    </row>
    <row r="180" spans="1:6">
      <c r="A180" s="1177"/>
      <c r="B180" s="1372">
        <v>38334</v>
      </c>
      <c r="C180" s="1177" t="s">
        <v>1348</v>
      </c>
      <c r="D180" s="1177" t="s">
        <v>1349</v>
      </c>
      <c r="E180" s="1177" t="s">
        <v>1452</v>
      </c>
      <c r="F180" s="1373">
        <v>81</v>
      </c>
    </row>
    <row r="181" spans="1:6">
      <c r="A181" s="1177"/>
      <c r="B181" s="1372">
        <v>38336</v>
      </c>
      <c r="C181" s="1177" t="s">
        <v>1350</v>
      </c>
      <c r="D181" s="1177" t="s">
        <v>1351</v>
      </c>
      <c r="E181" s="1177" t="s">
        <v>1452</v>
      </c>
      <c r="F181" s="1373">
        <v>82</v>
      </c>
    </row>
    <row r="182" spans="1:6">
      <c r="A182" s="1177"/>
      <c r="B182" s="1372">
        <v>38336</v>
      </c>
      <c r="C182" s="1177" t="s">
        <v>1352</v>
      </c>
      <c r="D182" s="1177" t="s">
        <v>1052</v>
      </c>
      <c r="E182" s="1177" t="s">
        <v>1452</v>
      </c>
      <c r="F182" s="1373">
        <v>82</v>
      </c>
    </row>
    <row r="183" spans="1:6">
      <c r="A183" s="1177"/>
      <c r="B183" s="1372">
        <v>38336</v>
      </c>
      <c r="C183" s="1177" t="s">
        <v>422</v>
      </c>
      <c r="D183" s="1177" t="s">
        <v>423</v>
      </c>
      <c r="E183" s="1177" t="s">
        <v>1452</v>
      </c>
      <c r="F183" s="1373">
        <v>82</v>
      </c>
    </row>
    <row r="184" spans="1:6">
      <c r="A184" s="1177"/>
      <c r="B184" s="1372">
        <v>38336</v>
      </c>
      <c r="C184" s="1177" t="s">
        <v>424</v>
      </c>
      <c r="D184" s="1177" t="s">
        <v>425</v>
      </c>
      <c r="E184" s="1177" t="s">
        <v>1452</v>
      </c>
      <c r="F184" s="1373">
        <v>82</v>
      </c>
    </row>
    <row r="185" spans="1:6">
      <c r="A185" s="1177"/>
      <c r="B185" s="1372">
        <v>38336</v>
      </c>
      <c r="C185" s="1177" t="s">
        <v>426</v>
      </c>
      <c r="D185" s="1177" t="s">
        <v>427</v>
      </c>
      <c r="E185" s="1177" t="s">
        <v>1452</v>
      </c>
      <c r="F185" s="1373">
        <v>82</v>
      </c>
    </row>
    <row r="186" spans="1:6">
      <c r="A186" s="1177"/>
      <c r="B186" s="1372">
        <v>38336</v>
      </c>
      <c r="C186" s="1177" t="s">
        <v>428</v>
      </c>
      <c r="D186" s="1177" t="s">
        <v>429</v>
      </c>
      <c r="E186" s="1177" t="s">
        <v>1452</v>
      </c>
      <c r="F186" s="1373">
        <v>82</v>
      </c>
    </row>
    <row r="187" spans="1:6">
      <c r="A187" s="1177"/>
      <c r="B187" s="1372">
        <v>38336</v>
      </c>
      <c r="C187" s="1177" t="s">
        <v>430</v>
      </c>
      <c r="D187" s="1177" t="s">
        <v>435</v>
      </c>
      <c r="E187" s="1177" t="s">
        <v>1452</v>
      </c>
      <c r="F187" s="1373">
        <v>82</v>
      </c>
    </row>
    <row r="188" spans="1:6">
      <c r="A188" s="1177"/>
      <c r="B188" s="1372">
        <v>38336</v>
      </c>
      <c r="C188" s="1177" t="s">
        <v>436</v>
      </c>
      <c r="D188" s="1177" t="s">
        <v>1052</v>
      </c>
      <c r="E188" s="1177" t="s">
        <v>1452</v>
      </c>
      <c r="F188" s="1373">
        <v>82</v>
      </c>
    </row>
    <row r="189" spans="1:6">
      <c r="A189" s="1177"/>
      <c r="B189" s="1372">
        <v>38336</v>
      </c>
      <c r="C189" s="1177" t="s">
        <v>437</v>
      </c>
      <c r="D189" s="1177" t="s">
        <v>1266</v>
      </c>
      <c r="E189" s="1177" t="s">
        <v>1452</v>
      </c>
      <c r="F189" s="1373">
        <v>82</v>
      </c>
    </row>
    <row r="190" spans="1:6">
      <c r="A190" s="1177"/>
      <c r="B190" s="1372">
        <v>38336</v>
      </c>
      <c r="C190" s="1177" t="s">
        <v>1267</v>
      </c>
      <c r="D190" s="1177" t="s">
        <v>1052</v>
      </c>
      <c r="E190" s="1177" t="s">
        <v>1452</v>
      </c>
      <c r="F190" s="1373">
        <v>82</v>
      </c>
    </row>
    <row r="191" spans="1:6">
      <c r="A191" s="1177"/>
      <c r="B191" s="1372">
        <v>38336</v>
      </c>
      <c r="C191" s="1177" t="s">
        <v>1268</v>
      </c>
      <c r="D191" s="1177" t="s">
        <v>1052</v>
      </c>
      <c r="E191" s="1177" t="s">
        <v>1452</v>
      </c>
      <c r="F191" s="1373">
        <v>82</v>
      </c>
    </row>
    <row r="192" spans="1:6">
      <c r="A192" s="1177"/>
      <c r="B192" s="1372">
        <v>38336</v>
      </c>
      <c r="C192" s="1177" t="s">
        <v>1269</v>
      </c>
      <c r="D192" s="1177" t="s">
        <v>1052</v>
      </c>
      <c r="E192" s="1177" t="s">
        <v>1452</v>
      </c>
      <c r="F192" s="1373">
        <v>82</v>
      </c>
    </row>
    <row r="193" spans="1:6">
      <c r="A193" s="1177"/>
      <c r="B193" s="1372">
        <v>38336</v>
      </c>
      <c r="C193" s="1177" t="s">
        <v>1270</v>
      </c>
      <c r="D193" s="1177" t="s">
        <v>1052</v>
      </c>
      <c r="E193" s="1177" t="s">
        <v>1452</v>
      </c>
      <c r="F193" s="1373">
        <v>82</v>
      </c>
    </row>
    <row r="194" spans="1:6">
      <c r="A194" s="1177"/>
      <c r="B194" s="1372">
        <v>38336</v>
      </c>
      <c r="C194" s="1177" t="s">
        <v>438</v>
      </c>
      <c r="D194" s="1177" t="s">
        <v>439</v>
      </c>
      <c r="E194" s="1177" t="s">
        <v>1452</v>
      </c>
      <c r="F194" s="1373">
        <v>82</v>
      </c>
    </row>
    <row r="195" spans="1:6">
      <c r="A195" s="1177"/>
      <c r="B195" s="1372">
        <v>38336</v>
      </c>
      <c r="C195" s="1177" t="s">
        <v>440</v>
      </c>
      <c r="D195" s="1177" t="s">
        <v>1052</v>
      </c>
      <c r="E195" s="1177" t="s">
        <v>1452</v>
      </c>
      <c r="F195" s="1373">
        <v>82</v>
      </c>
    </row>
    <row r="196" spans="1:6">
      <c r="A196" s="1177"/>
      <c r="B196" s="1372">
        <v>38336</v>
      </c>
      <c r="C196" s="1177" t="s">
        <v>449</v>
      </c>
      <c r="D196" s="1177" t="s">
        <v>1052</v>
      </c>
      <c r="E196" s="1177" t="s">
        <v>1452</v>
      </c>
      <c r="F196" s="1373">
        <v>82</v>
      </c>
    </row>
    <row r="197" spans="1:6">
      <c r="A197" s="1177"/>
      <c r="B197" s="1372">
        <v>38336</v>
      </c>
      <c r="C197" s="1177" t="s">
        <v>450</v>
      </c>
      <c r="D197" s="1177" t="s">
        <v>1052</v>
      </c>
      <c r="E197" s="1177" t="s">
        <v>1452</v>
      </c>
      <c r="F197" s="1373">
        <v>82</v>
      </c>
    </row>
    <row r="198" spans="1:6">
      <c r="A198" s="1177"/>
      <c r="B198" s="1372">
        <v>38336</v>
      </c>
      <c r="C198" s="1177" t="s">
        <v>451</v>
      </c>
      <c r="D198" s="1177" t="s">
        <v>1052</v>
      </c>
      <c r="E198" s="1177" t="s">
        <v>1452</v>
      </c>
      <c r="F198" s="1373">
        <v>82</v>
      </c>
    </row>
    <row r="199" spans="1:6">
      <c r="A199" s="1177"/>
      <c r="B199" s="1372">
        <v>38336</v>
      </c>
      <c r="C199" s="1177" t="s">
        <v>1413</v>
      </c>
      <c r="D199" s="1177" t="s">
        <v>1052</v>
      </c>
      <c r="E199" s="1177" t="s">
        <v>1452</v>
      </c>
      <c r="F199" s="1373">
        <v>82</v>
      </c>
    </row>
    <row r="200" spans="1:6">
      <c r="A200" s="1177"/>
      <c r="B200" s="1372">
        <v>38336</v>
      </c>
      <c r="C200" s="1177" t="s">
        <v>1414</v>
      </c>
      <c r="D200" s="1177" t="s">
        <v>1052</v>
      </c>
      <c r="E200" s="1177" t="s">
        <v>1452</v>
      </c>
      <c r="F200" s="1373">
        <v>82</v>
      </c>
    </row>
    <row r="201" spans="1:6">
      <c r="A201" s="1177"/>
      <c r="B201" s="1372">
        <v>38336</v>
      </c>
      <c r="C201" s="1177" t="s">
        <v>1415</v>
      </c>
      <c r="D201" s="1177" t="s">
        <v>1052</v>
      </c>
      <c r="E201" s="1177" t="s">
        <v>1452</v>
      </c>
      <c r="F201" s="1373">
        <v>82</v>
      </c>
    </row>
    <row r="202" spans="1:6">
      <c r="A202" s="1177"/>
      <c r="B202" s="1372">
        <v>38336</v>
      </c>
      <c r="C202" s="1177" t="s">
        <v>1434</v>
      </c>
      <c r="D202" s="1177" t="s">
        <v>1052</v>
      </c>
      <c r="E202" s="1177" t="s">
        <v>1452</v>
      </c>
      <c r="F202" s="1373">
        <v>82</v>
      </c>
    </row>
    <row r="203" spans="1:6">
      <c r="A203" s="1177"/>
      <c r="B203" s="1372">
        <v>38336</v>
      </c>
      <c r="C203" s="1177" t="s">
        <v>575</v>
      </c>
      <c r="D203" s="1177" t="s">
        <v>1052</v>
      </c>
      <c r="E203" s="1177" t="s">
        <v>1452</v>
      </c>
      <c r="F203" s="1373">
        <v>82</v>
      </c>
    </row>
    <row r="204" spans="1:6">
      <c r="A204" s="1177"/>
      <c r="B204" s="1372">
        <v>38336</v>
      </c>
      <c r="C204" s="1177" t="s">
        <v>576</v>
      </c>
      <c r="D204" s="1177" t="s">
        <v>1052</v>
      </c>
      <c r="E204" s="1177" t="s">
        <v>1452</v>
      </c>
      <c r="F204" s="1373">
        <v>82</v>
      </c>
    </row>
    <row r="205" spans="1:6">
      <c r="A205" s="1177"/>
      <c r="B205" s="1372">
        <v>38336</v>
      </c>
      <c r="C205" s="1177" t="s">
        <v>0</v>
      </c>
      <c r="D205" s="1177" t="s">
        <v>1052</v>
      </c>
      <c r="E205" s="1177" t="s">
        <v>1452</v>
      </c>
      <c r="F205" s="1373">
        <v>82</v>
      </c>
    </row>
    <row r="206" spans="1:6">
      <c r="A206" s="1177"/>
      <c r="B206" s="1372">
        <v>38336</v>
      </c>
      <c r="C206" s="1177" t="s">
        <v>1</v>
      </c>
      <c r="D206" s="1177" t="s">
        <v>1052</v>
      </c>
      <c r="E206" s="1177" t="s">
        <v>1452</v>
      </c>
      <c r="F206" s="1373">
        <v>83</v>
      </c>
    </row>
    <row r="207" spans="1:6">
      <c r="A207" s="1177"/>
      <c r="B207" s="1372">
        <v>38336</v>
      </c>
      <c r="C207" s="1177" t="s">
        <v>2</v>
      </c>
      <c r="D207" s="1177" t="s">
        <v>3</v>
      </c>
      <c r="E207" s="1177" t="s">
        <v>1452</v>
      </c>
      <c r="F207" s="1373">
        <v>83</v>
      </c>
    </row>
    <row r="208" spans="1:6">
      <c r="A208" s="1177"/>
      <c r="B208" s="1372">
        <v>38336</v>
      </c>
      <c r="C208" s="1177" t="s">
        <v>2</v>
      </c>
      <c r="D208" s="1177" t="s">
        <v>934</v>
      </c>
      <c r="E208" s="1177" t="s">
        <v>1452</v>
      </c>
      <c r="F208" s="1373">
        <v>83</v>
      </c>
    </row>
    <row r="209" spans="1:6">
      <c r="A209" s="1177"/>
      <c r="B209" s="1372">
        <v>38336</v>
      </c>
      <c r="C209" s="1177" t="s">
        <v>2</v>
      </c>
      <c r="D209" s="1177" t="s">
        <v>577</v>
      </c>
      <c r="E209" s="1177" t="s">
        <v>1452</v>
      </c>
      <c r="F209" s="1373">
        <v>83</v>
      </c>
    </row>
    <row r="210" spans="1:6">
      <c r="A210" s="1177"/>
      <c r="B210" s="1372">
        <v>38337</v>
      </c>
      <c r="C210" s="1177" t="s">
        <v>578</v>
      </c>
      <c r="D210" s="1177" t="s">
        <v>1422</v>
      </c>
      <c r="E210" s="1177" t="s">
        <v>1452</v>
      </c>
      <c r="F210" s="1373">
        <v>83</v>
      </c>
    </row>
    <row r="211" spans="1:6">
      <c r="A211" s="1177"/>
      <c r="B211" s="1372">
        <v>38337</v>
      </c>
      <c r="C211" s="1177" t="s">
        <v>962</v>
      </c>
      <c r="D211" s="1177" t="s">
        <v>963</v>
      </c>
      <c r="E211" s="1177" t="s">
        <v>1452</v>
      </c>
      <c r="F211" s="1373">
        <v>83</v>
      </c>
    </row>
    <row r="212" spans="1:6">
      <c r="A212" s="1177"/>
      <c r="B212" s="1372">
        <v>38337</v>
      </c>
      <c r="C212" s="1177" t="s">
        <v>964</v>
      </c>
      <c r="D212" s="1177" t="s">
        <v>1052</v>
      </c>
      <c r="E212" s="1177" t="s">
        <v>1452</v>
      </c>
      <c r="F212" s="1373">
        <v>83</v>
      </c>
    </row>
    <row r="213" spans="1:6">
      <c r="A213" s="1177"/>
      <c r="B213" s="1372">
        <v>38337</v>
      </c>
      <c r="C213" s="1177" t="s">
        <v>898</v>
      </c>
      <c r="D213" s="1177" t="s">
        <v>1052</v>
      </c>
      <c r="E213" s="1177" t="s">
        <v>1452</v>
      </c>
      <c r="F213" s="1373">
        <v>83</v>
      </c>
    </row>
    <row r="214" spans="1:6">
      <c r="A214" s="1177"/>
      <c r="B214" s="1372">
        <v>38337</v>
      </c>
      <c r="C214" s="1177" t="s">
        <v>899</v>
      </c>
      <c r="D214" s="1177" t="s">
        <v>1052</v>
      </c>
      <c r="E214" s="1177" t="s">
        <v>1452</v>
      </c>
      <c r="F214" s="1373">
        <v>83</v>
      </c>
    </row>
    <row r="215" spans="1:6">
      <c r="A215" s="1177"/>
      <c r="B215" s="1372">
        <v>38337</v>
      </c>
      <c r="C215" s="1177" t="s">
        <v>900</v>
      </c>
      <c r="D215" s="1177" t="s">
        <v>901</v>
      </c>
      <c r="E215" s="1177" t="s">
        <v>1452</v>
      </c>
      <c r="F215" s="1373">
        <v>83</v>
      </c>
    </row>
    <row r="216" spans="1:6">
      <c r="A216" s="1177"/>
      <c r="B216" s="1372">
        <v>38337</v>
      </c>
      <c r="C216" s="1177" t="s">
        <v>902</v>
      </c>
      <c r="D216" s="1177" t="s">
        <v>1052</v>
      </c>
      <c r="E216" s="1177" t="s">
        <v>1452</v>
      </c>
      <c r="F216" s="1373">
        <v>82</v>
      </c>
    </row>
    <row r="217" spans="1:6">
      <c r="A217" s="1177"/>
      <c r="B217" s="1372">
        <v>38337</v>
      </c>
      <c r="C217" s="1177" t="s">
        <v>65</v>
      </c>
      <c r="D217" s="1177" t="s">
        <v>1052</v>
      </c>
      <c r="E217" s="1177" t="s">
        <v>1452</v>
      </c>
      <c r="F217" s="1373">
        <v>82</v>
      </c>
    </row>
    <row r="218" spans="1:6">
      <c r="A218" s="1177"/>
      <c r="B218" s="1372">
        <v>38337</v>
      </c>
      <c r="C218" s="1177" t="s">
        <v>66</v>
      </c>
      <c r="D218" s="1177" t="s">
        <v>1052</v>
      </c>
      <c r="E218" s="1177" t="s">
        <v>1452</v>
      </c>
      <c r="F218" s="1373">
        <v>83</v>
      </c>
    </row>
    <row r="219" spans="1:6">
      <c r="A219" s="1177"/>
      <c r="B219" s="1372">
        <v>38337</v>
      </c>
      <c r="C219" s="1177" t="s">
        <v>67</v>
      </c>
      <c r="D219" s="1177" t="s">
        <v>908</v>
      </c>
      <c r="E219" s="1177" t="s">
        <v>1452</v>
      </c>
      <c r="F219" s="1373">
        <v>83</v>
      </c>
    </row>
    <row r="220" spans="1:6">
      <c r="A220" s="1177"/>
      <c r="B220" s="1372">
        <v>38343</v>
      </c>
      <c r="C220" s="1177" t="s">
        <v>987</v>
      </c>
      <c r="D220" s="1177" t="s">
        <v>988</v>
      </c>
      <c r="E220" s="1177" t="s">
        <v>1452</v>
      </c>
      <c r="F220" s="1373">
        <v>84</v>
      </c>
    </row>
    <row r="221" spans="1:6">
      <c r="A221" s="1177"/>
      <c r="B221" s="1372">
        <v>38343</v>
      </c>
      <c r="C221" s="1177" t="s">
        <v>989</v>
      </c>
      <c r="D221" s="1177" t="s">
        <v>990</v>
      </c>
      <c r="E221" s="1177" t="s">
        <v>1452</v>
      </c>
      <c r="F221" s="1373">
        <v>84</v>
      </c>
    </row>
    <row r="222" spans="1:6">
      <c r="A222" s="1177"/>
      <c r="B222" s="1372">
        <v>38343</v>
      </c>
      <c r="C222" s="1177" t="s">
        <v>991</v>
      </c>
      <c r="D222" s="1177" t="s">
        <v>992</v>
      </c>
      <c r="E222" s="1177" t="s">
        <v>1452</v>
      </c>
      <c r="F222" s="1373">
        <v>84</v>
      </c>
    </row>
    <row r="223" spans="1:6">
      <c r="A223" s="1177"/>
      <c r="B223" s="1372">
        <v>38343</v>
      </c>
      <c r="C223" s="1177" t="s">
        <v>914</v>
      </c>
      <c r="D223" s="1177" t="s">
        <v>915</v>
      </c>
      <c r="E223" s="1177" t="s">
        <v>1452</v>
      </c>
      <c r="F223" s="1373">
        <v>84</v>
      </c>
    </row>
    <row r="224" spans="1:6">
      <c r="A224" s="1177"/>
      <c r="B224" s="1372">
        <v>38343</v>
      </c>
      <c r="C224" s="1177" t="s">
        <v>916</v>
      </c>
      <c r="D224" s="1177" t="s">
        <v>1052</v>
      </c>
      <c r="E224" s="1177" t="s">
        <v>1452</v>
      </c>
      <c r="F224" s="1373">
        <v>84</v>
      </c>
    </row>
    <row r="225" spans="1:6">
      <c r="A225" s="1177"/>
      <c r="B225" s="1372">
        <v>38343</v>
      </c>
      <c r="C225" s="1177" t="s">
        <v>917</v>
      </c>
      <c r="D225" s="1177" t="s">
        <v>1052</v>
      </c>
      <c r="E225" s="1177" t="s">
        <v>1452</v>
      </c>
      <c r="F225" s="1373">
        <v>84</v>
      </c>
    </row>
    <row r="226" spans="1:6">
      <c r="A226" s="1177"/>
      <c r="B226" s="1372">
        <v>38343</v>
      </c>
      <c r="C226" s="1177" t="s">
        <v>918</v>
      </c>
      <c r="D226" s="1177" t="s">
        <v>1052</v>
      </c>
      <c r="E226" s="1177" t="s">
        <v>1452</v>
      </c>
      <c r="F226" s="1373">
        <v>84</v>
      </c>
    </row>
    <row r="227" spans="1:6">
      <c r="A227" s="1177"/>
      <c r="B227" s="1372">
        <v>38343</v>
      </c>
      <c r="C227" s="1177" t="s">
        <v>919</v>
      </c>
      <c r="D227" s="1177" t="s">
        <v>1052</v>
      </c>
      <c r="E227" s="1177" t="s">
        <v>1452</v>
      </c>
      <c r="F227" s="1373">
        <v>84</v>
      </c>
    </row>
    <row r="228" spans="1:6">
      <c r="A228" s="1177"/>
      <c r="B228" s="1372">
        <v>38343</v>
      </c>
      <c r="C228" s="1177" t="s">
        <v>920</v>
      </c>
      <c r="D228" s="1177" t="s">
        <v>1052</v>
      </c>
      <c r="E228" s="1177" t="s">
        <v>1452</v>
      </c>
      <c r="F228" s="1373">
        <v>84</v>
      </c>
    </row>
    <row r="229" spans="1:6">
      <c r="A229" s="1177"/>
      <c r="B229" s="1372">
        <v>38343</v>
      </c>
      <c r="C229" s="1177" t="s">
        <v>921</v>
      </c>
      <c r="D229" s="1177" t="s">
        <v>1052</v>
      </c>
      <c r="E229" s="1177" t="s">
        <v>1452</v>
      </c>
      <c r="F229" s="1373">
        <v>84</v>
      </c>
    </row>
    <row r="230" spans="1:6">
      <c r="A230" s="1177"/>
      <c r="B230" s="1372">
        <v>38343</v>
      </c>
      <c r="C230" s="1177" t="s">
        <v>922</v>
      </c>
      <c r="D230" s="1177" t="s">
        <v>1052</v>
      </c>
      <c r="E230" s="1177" t="s">
        <v>1452</v>
      </c>
      <c r="F230" s="1373">
        <v>84</v>
      </c>
    </row>
    <row r="231" spans="1:6">
      <c r="A231" s="1177"/>
      <c r="B231" s="1372">
        <v>38343</v>
      </c>
      <c r="C231" s="1177" t="s">
        <v>923</v>
      </c>
      <c r="D231" s="1177" t="s">
        <v>924</v>
      </c>
      <c r="E231" s="1177" t="s">
        <v>1452</v>
      </c>
      <c r="F231" s="1373">
        <v>84</v>
      </c>
    </row>
    <row r="232" spans="1:6">
      <c r="A232" s="1177"/>
      <c r="B232" s="1372">
        <v>38343</v>
      </c>
      <c r="C232" s="1177" t="s">
        <v>925</v>
      </c>
      <c r="D232" s="1177" t="s">
        <v>1052</v>
      </c>
      <c r="E232" s="1177" t="s">
        <v>1452</v>
      </c>
      <c r="F232" s="1373">
        <v>84</v>
      </c>
    </row>
    <row r="233" spans="1:6">
      <c r="A233" s="1177"/>
      <c r="B233" s="1372">
        <v>38345</v>
      </c>
      <c r="C233" s="1177" t="s">
        <v>78</v>
      </c>
      <c r="D233" s="1177" t="s">
        <v>79</v>
      </c>
      <c r="E233" s="1177" t="s">
        <v>1452</v>
      </c>
      <c r="F233" s="1373">
        <v>84</v>
      </c>
    </row>
    <row r="234" spans="1:6">
      <c r="A234" s="1177"/>
      <c r="B234" s="1372">
        <v>38345</v>
      </c>
      <c r="C234" s="1177" t="s">
        <v>80</v>
      </c>
      <c r="D234" s="1177" t="s">
        <v>1052</v>
      </c>
      <c r="E234" s="1177" t="s">
        <v>1452</v>
      </c>
      <c r="F234" s="1373">
        <v>84</v>
      </c>
    </row>
    <row r="235" spans="1:6">
      <c r="A235" s="1177"/>
      <c r="B235" s="1372">
        <v>38345</v>
      </c>
      <c r="C235" s="1177" t="s">
        <v>81</v>
      </c>
      <c r="D235" s="1177" t="s">
        <v>1052</v>
      </c>
      <c r="E235" s="1177" t="s">
        <v>1452</v>
      </c>
      <c r="F235" s="1373">
        <v>84</v>
      </c>
    </row>
    <row r="236" spans="1:6">
      <c r="A236" s="1177"/>
      <c r="B236" s="1372">
        <v>38345</v>
      </c>
      <c r="C236" s="1177" t="s">
        <v>82</v>
      </c>
      <c r="D236" s="1177" t="s">
        <v>83</v>
      </c>
      <c r="E236" s="1177" t="s">
        <v>1452</v>
      </c>
      <c r="F236" s="1373">
        <v>84</v>
      </c>
    </row>
    <row r="237" spans="1:6">
      <c r="A237" s="1177"/>
      <c r="B237" s="1372">
        <v>38345</v>
      </c>
      <c r="C237" s="1177" t="s">
        <v>84</v>
      </c>
      <c r="D237" s="1177" t="s">
        <v>85</v>
      </c>
      <c r="E237" s="1177" t="s">
        <v>1452</v>
      </c>
      <c r="F237" s="1373">
        <v>84</v>
      </c>
    </row>
    <row r="238" spans="1:6">
      <c r="A238" s="1177"/>
      <c r="B238" s="1372">
        <v>38345</v>
      </c>
      <c r="C238" s="1177" t="s">
        <v>86</v>
      </c>
      <c r="D238" s="1177" t="s">
        <v>87</v>
      </c>
      <c r="E238" s="1177" t="s">
        <v>1452</v>
      </c>
      <c r="F238" s="1373">
        <v>84</v>
      </c>
    </row>
    <row r="239" spans="1:6">
      <c r="A239" s="1177"/>
      <c r="B239" s="1372">
        <v>38345</v>
      </c>
      <c r="C239" s="1177" t="s">
        <v>139</v>
      </c>
      <c r="D239" s="1177" t="s">
        <v>140</v>
      </c>
      <c r="E239" s="1177" t="s">
        <v>1452</v>
      </c>
      <c r="F239" s="1373">
        <v>84</v>
      </c>
    </row>
    <row r="240" spans="1:6">
      <c r="A240" s="1177"/>
      <c r="B240" s="1372">
        <v>38345</v>
      </c>
      <c r="C240" s="1177" t="s">
        <v>141</v>
      </c>
      <c r="D240" s="1177" t="s">
        <v>142</v>
      </c>
      <c r="E240" s="1177" t="s">
        <v>1452</v>
      </c>
      <c r="F240" s="1373">
        <v>84</v>
      </c>
    </row>
    <row r="241" spans="1:6">
      <c r="A241" s="1177"/>
      <c r="B241" s="1372">
        <v>38345</v>
      </c>
      <c r="C241" s="1177" t="s">
        <v>972</v>
      </c>
      <c r="D241" s="1177" t="s">
        <v>973</v>
      </c>
      <c r="E241" s="1177" t="s">
        <v>1452</v>
      </c>
      <c r="F241" s="1373">
        <v>84</v>
      </c>
    </row>
    <row r="242" spans="1:6">
      <c r="A242" s="1177"/>
      <c r="B242" s="1372">
        <v>38345</v>
      </c>
      <c r="C242" s="1177" t="s">
        <v>974</v>
      </c>
      <c r="D242" s="1177" t="s">
        <v>1052</v>
      </c>
      <c r="E242" s="1177" t="s">
        <v>1452</v>
      </c>
      <c r="F242" s="1373">
        <v>84</v>
      </c>
    </row>
    <row r="243" spans="1:6">
      <c r="A243" s="1177"/>
      <c r="B243" s="1372">
        <v>38345</v>
      </c>
      <c r="C243" s="1177" t="s">
        <v>975</v>
      </c>
      <c r="D243" s="1177" t="s">
        <v>1052</v>
      </c>
      <c r="E243" s="1177" t="s">
        <v>1452</v>
      </c>
      <c r="F243" s="1373">
        <v>84</v>
      </c>
    </row>
    <row r="244" spans="1:6">
      <c r="A244" s="1177"/>
      <c r="B244" s="1372">
        <v>38345</v>
      </c>
      <c r="C244" s="1177" t="s">
        <v>976</v>
      </c>
      <c r="D244" s="1177" t="s">
        <v>1052</v>
      </c>
      <c r="E244" s="1177" t="s">
        <v>1452</v>
      </c>
      <c r="F244" s="1373">
        <v>84</v>
      </c>
    </row>
    <row r="245" spans="1:6">
      <c r="A245" s="1177"/>
      <c r="B245" s="1372">
        <v>38345</v>
      </c>
      <c r="C245" s="1177" t="s">
        <v>977</v>
      </c>
      <c r="D245" s="1177" t="s">
        <v>1052</v>
      </c>
      <c r="E245" s="1177" t="s">
        <v>1452</v>
      </c>
      <c r="F245" s="1373">
        <v>84</v>
      </c>
    </row>
    <row r="246" spans="1:6">
      <c r="A246" s="1177"/>
      <c r="B246" s="1372">
        <v>38345</v>
      </c>
      <c r="C246" s="1177" t="s">
        <v>978</v>
      </c>
      <c r="D246" s="1177" t="s">
        <v>1052</v>
      </c>
      <c r="E246" s="1177" t="s">
        <v>1452</v>
      </c>
      <c r="F246" s="1373">
        <v>85</v>
      </c>
    </row>
    <row r="247" spans="1:6">
      <c r="A247" s="1177"/>
      <c r="B247" s="1372">
        <v>38345</v>
      </c>
      <c r="C247" s="1177" t="s">
        <v>979</v>
      </c>
      <c r="D247" s="1177" t="s">
        <v>980</v>
      </c>
      <c r="E247" s="1177" t="s">
        <v>1452</v>
      </c>
      <c r="F247" s="1373">
        <v>85</v>
      </c>
    </row>
    <row r="248" spans="1:6">
      <c r="A248" s="1177"/>
      <c r="B248" s="1372">
        <v>38345</v>
      </c>
      <c r="C248" s="1177" t="s">
        <v>981</v>
      </c>
      <c r="D248" s="1177" t="s">
        <v>982</v>
      </c>
      <c r="E248" s="1177" t="s">
        <v>1452</v>
      </c>
      <c r="F248" s="1373">
        <v>85</v>
      </c>
    </row>
    <row r="249" spans="1:6">
      <c r="A249" s="1177"/>
      <c r="B249" s="1372">
        <v>38345</v>
      </c>
      <c r="C249" s="1177" t="s">
        <v>983</v>
      </c>
      <c r="D249" s="1177" t="s">
        <v>1052</v>
      </c>
      <c r="E249" s="1177" t="s">
        <v>1452</v>
      </c>
      <c r="F249" s="1373">
        <v>85</v>
      </c>
    </row>
    <row r="250" spans="1:6">
      <c r="A250" s="1177"/>
      <c r="B250" s="1372">
        <v>38345</v>
      </c>
      <c r="C250" s="1177" t="s">
        <v>984</v>
      </c>
      <c r="D250" s="1177" t="s">
        <v>985</v>
      </c>
      <c r="E250" s="1177" t="s">
        <v>1452</v>
      </c>
      <c r="F250" s="1373">
        <v>85</v>
      </c>
    </row>
    <row r="251" spans="1:6">
      <c r="A251" s="1177"/>
      <c r="B251" s="1372">
        <v>38359</v>
      </c>
      <c r="C251" s="1177" t="s">
        <v>147</v>
      </c>
      <c r="D251" s="1177" t="s">
        <v>148</v>
      </c>
      <c r="E251" s="1177" t="s">
        <v>1452</v>
      </c>
      <c r="F251" s="1373">
        <v>86</v>
      </c>
    </row>
    <row r="252" spans="1:6">
      <c r="A252" s="1177"/>
      <c r="B252" s="1372">
        <v>38359</v>
      </c>
      <c r="C252" s="1177" t="s">
        <v>147</v>
      </c>
      <c r="D252" s="1177" t="s">
        <v>149</v>
      </c>
      <c r="E252" s="1177" t="s">
        <v>1452</v>
      </c>
      <c r="F252" s="1373">
        <v>86</v>
      </c>
    </row>
    <row r="253" spans="1:6" s="1177" customFormat="1">
      <c r="B253" s="1372">
        <v>38363</v>
      </c>
      <c r="C253" s="1177" t="s">
        <v>1294</v>
      </c>
      <c r="D253" s="1177" t="s">
        <v>1295</v>
      </c>
      <c r="E253" s="1177" t="s">
        <v>1452</v>
      </c>
      <c r="F253" s="1373">
        <v>87</v>
      </c>
    </row>
    <row r="254" spans="1:6" s="1177" customFormat="1">
      <c r="B254" s="1372">
        <v>38364</v>
      </c>
      <c r="C254" s="1177" t="s">
        <v>1134</v>
      </c>
      <c r="D254" s="1177" t="s">
        <v>1052</v>
      </c>
      <c r="E254" s="1177" t="s">
        <v>1452</v>
      </c>
      <c r="F254" s="1373">
        <v>88</v>
      </c>
    </row>
    <row r="255" spans="1:6" s="1177" customFormat="1">
      <c r="B255" s="1372">
        <v>38364</v>
      </c>
      <c r="C255" s="1177" t="s">
        <v>1135</v>
      </c>
      <c r="D255" s="1177" t="s">
        <v>1052</v>
      </c>
      <c r="E255" s="1177" t="s">
        <v>1452</v>
      </c>
      <c r="F255" s="1373">
        <v>88</v>
      </c>
    </row>
    <row r="256" spans="1:6" s="1177" customFormat="1">
      <c r="B256" s="1372">
        <v>38373</v>
      </c>
      <c r="C256" s="1177" t="s">
        <v>1220</v>
      </c>
      <c r="D256" s="1177" t="s">
        <v>1222</v>
      </c>
      <c r="E256" s="1177" t="s">
        <v>1452</v>
      </c>
      <c r="F256" s="1373">
        <v>89</v>
      </c>
    </row>
    <row r="257" spans="2:6" s="1177" customFormat="1">
      <c r="B257" s="1372">
        <v>38374</v>
      </c>
      <c r="C257" s="1177" t="s">
        <v>664</v>
      </c>
      <c r="D257" s="1177" t="s">
        <v>31</v>
      </c>
      <c r="E257" s="1177" t="s">
        <v>1452</v>
      </c>
      <c r="F257" s="1373">
        <v>90</v>
      </c>
    </row>
    <row r="258" spans="2:6" s="1177" customFormat="1">
      <c r="B258" s="1372">
        <v>38374</v>
      </c>
      <c r="C258" s="1177" t="s">
        <v>419</v>
      </c>
      <c r="D258" s="1177" t="s">
        <v>1052</v>
      </c>
      <c r="E258" s="1177" t="s">
        <v>1452</v>
      </c>
      <c r="F258" s="1373">
        <v>90</v>
      </c>
    </row>
    <row r="259" spans="2:6" s="1177" customFormat="1">
      <c r="B259" s="1372">
        <v>38376</v>
      </c>
      <c r="C259" s="1177" t="s">
        <v>256</v>
      </c>
      <c r="D259" s="1177" t="s">
        <v>1093</v>
      </c>
      <c r="E259" s="1177" t="s">
        <v>1452</v>
      </c>
      <c r="F259" s="1373">
        <v>91</v>
      </c>
    </row>
    <row r="260" spans="2:6" s="1177" customFormat="1">
      <c r="B260" s="1372">
        <v>38382</v>
      </c>
      <c r="C260" s="1177" t="s">
        <v>1431</v>
      </c>
      <c r="D260" s="1177" t="s">
        <v>1430</v>
      </c>
      <c r="E260" s="1177" t="s">
        <v>1452</v>
      </c>
      <c r="F260" s="1373">
        <v>92</v>
      </c>
    </row>
    <row r="261" spans="2:6" s="1177" customFormat="1">
      <c r="B261" s="1372">
        <v>38382</v>
      </c>
      <c r="C261" s="1177" t="s">
        <v>1432</v>
      </c>
      <c r="D261" s="1177" t="s">
        <v>1433</v>
      </c>
      <c r="E261" s="1177" t="s">
        <v>1452</v>
      </c>
      <c r="F261" s="1373">
        <v>92</v>
      </c>
    </row>
    <row r="262" spans="2:6" s="1177" customFormat="1">
      <c r="B262" s="1372">
        <v>38409</v>
      </c>
      <c r="C262" s="1177" t="s">
        <v>1416</v>
      </c>
      <c r="D262" s="1177" t="s">
        <v>1052</v>
      </c>
      <c r="E262" s="1177" t="s">
        <v>1452</v>
      </c>
      <c r="F262" s="1373">
        <v>93</v>
      </c>
    </row>
    <row r="263" spans="2:6">
      <c r="B263" s="1372">
        <v>39086</v>
      </c>
      <c r="C263" s="1177" t="s">
        <v>431</v>
      </c>
      <c r="D263" s="1177" t="s">
        <v>432</v>
      </c>
      <c r="E263" s="1177" t="s">
        <v>1452</v>
      </c>
      <c r="F263" s="1373">
        <v>94</v>
      </c>
    </row>
    <row r="264" spans="2:6">
      <c r="B264" s="1372">
        <v>39086</v>
      </c>
      <c r="C264" s="1177" t="s">
        <v>433</v>
      </c>
      <c r="D264" s="1177" t="s">
        <v>434</v>
      </c>
      <c r="E264" s="1177" t="s">
        <v>1452</v>
      </c>
      <c r="F264" s="1373">
        <v>94</v>
      </c>
    </row>
    <row r="265" spans="2:6">
      <c r="B265" s="1372">
        <v>39104</v>
      </c>
      <c r="C265" s="1177" t="s">
        <v>851</v>
      </c>
      <c r="D265" s="1177" t="s">
        <v>1052</v>
      </c>
      <c r="E265" s="1177" t="s">
        <v>852</v>
      </c>
      <c r="F265" s="1373">
        <v>94</v>
      </c>
    </row>
    <row r="266" spans="2:6">
      <c r="B266" s="1372">
        <v>39104</v>
      </c>
      <c r="C266" s="1177" t="s">
        <v>1726</v>
      </c>
      <c r="D266" s="1177" t="s">
        <v>1727</v>
      </c>
      <c r="E266" s="1177" t="s">
        <v>852</v>
      </c>
      <c r="F266" s="1373">
        <v>94</v>
      </c>
    </row>
    <row r="267" spans="2:6">
      <c r="B267" s="1372">
        <v>39104</v>
      </c>
      <c r="C267" s="1177" t="s">
        <v>1728</v>
      </c>
      <c r="D267" s="1177" t="s">
        <v>1729</v>
      </c>
      <c r="E267" s="1177" t="s">
        <v>852</v>
      </c>
      <c r="F267" s="1373">
        <v>94</v>
      </c>
    </row>
    <row r="268" spans="2:6">
      <c r="B268" s="1372">
        <v>39104</v>
      </c>
      <c r="C268" s="1177" t="s">
        <v>1092</v>
      </c>
      <c r="D268" s="1177" t="s">
        <v>1052</v>
      </c>
      <c r="E268" s="1177" t="s">
        <v>852</v>
      </c>
      <c r="F268" s="1373">
        <v>94</v>
      </c>
    </row>
    <row r="269" spans="2:6">
      <c r="B269" s="1372">
        <v>39105</v>
      </c>
      <c r="C269" s="1177" t="s">
        <v>506</v>
      </c>
      <c r="D269" s="1177" t="s">
        <v>1052</v>
      </c>
      <c r="E269" s="1177" t="s">
        <v>852</v>
      </c>
      <c r="F269" s="1373">
        <v>94</v>
      </c>
    </row>
    <row r="270" spans="2:6">
      <c r="B270" s="1372">
        <v>39106</v>
      </c>
      <c r="C270" s="1177" t="s">
        <v>129</v>
      </c>
      <c r="D270" s="1177" t="s">
        <v>130</v>
      </c>
      <c r="E270" s="1177" t="s">
        <v>852</v>
      </c>
      <c r="F270" s="1373">
        <v>94</v>
      </c>
    </row>
    <row r="271" spans="2:6">
      <c r="B271" s="1372">
        <v>39107</v>
      </c>
      <c r="C271" s="1177" t="s">
        <v>131</v>
      </c>
      <c r="D271" s="1177" t="s">
        <v>1052</v>
      </c>
      <c r="E271" s="1177" t="s">
        <v>852</v>
      </c>
      <c r="F271" s="1373">
        <v>94</v>
      </c>
    </row>
    <row r="272" spans="2:6">
      <c r="B272" s="1372">
        <v>39107</v>
      </c>
      <c r="C272" s="1177" t="s">
        <v>138</v>
      </c>
      <c r="D272" s="1177" t="s">
        <v>1052</v>
      </c>
      <c r="E272" s="1177" t="s">
        <v>852</v>
      </c>
      <c r="F272" s="1373">
        <v>94</v>
      </c>
    </row>
    <row r="273" spans="2:6">
      <c r="B273" s="1372">
        <v>39107</v>
      </c>
      <c r="C273" s="1177" t="s">
        <v>353</v>
      </c>
      <c r="D273" s="1177" t="s">
        <v>1052</v>
      </c>
      <c r="E273" s="1177" t="s">
        <v>852</v>
      </c>
      <c r="F273" s="1373">
        <v>94</v>
      </c>
    </row>
    <row r="274" spans="2:6">
      <c r="B274" s="1372">
        <v>39107</v>
      </c>
      <c r="C274" s="1177" t="s">
        <v>612</v>
      </c>
      <c r="D274" s="1177" t="s">
        <v>1052</v>
      </c>
      <c r="E274" s="1177" t="s">
        <v>852</v>
      </c>
      <c r="F274" s="1373">
        <v>94</v>
      </c>
    </row>
    <row r="275" spans="2:6">
      <c r="B275" s="1372">
        <v>39111</v>
      </c>
      <c r="C275" s="1177" t="s">
        <v>30</v>
      </c>
      <c r="D275" s="1177" t="s">
        <v>909</v>
      </c>
      <c r="E275" s="1177" t="s">
        <v>852</v>
      </c>
      <c r="F275" s="1373">
        <v>94</v>
      </c>
    </row>
    <row r="276" spans="2:6">
      <c r="B276" s="1372">
        <v>39111</v>
      </c>
      <c r="C276" s="1177" t="s">
        <v>910</v>
      </c>
      <c r="D276" s="1177" t="s">
        <v>911</v>
      </c>
      <c r="E276" s="1177" t="s">
        <v>852</v>
      </c>
      <c r="F276" s="1373">
        <v>94</v>
      </c>
    </row>
    <row r="277" spans="2:6">
      <c r="B277" s="1372">
        <v>39111</v>
      </c>
      <c r="C277" s="1177" t="s">
        <v>912</v>
      </c>
      <c r="D277" s="1177" t="s">
        <v>1052</v>
      </c>
      <c r="E277" s="1177" t="s">
        <v>852</v>
      </c>
      <c r="F277" s="1373">
        <v>94</v>
      </c>
    </row>
    <row r="278" spans="2:6">
      <c r="B278" s="1372">
        <v>39112</v>
      </c>
      <c r="C278" s="1177" t="s">
        <v>281</v>
      </c>
      <c r="D278" s="1177" t="s">
        <v>283</v>
      </c>
      <c r="E278" s="1177" t="s">
        <v>852</v>
      </c>
      <c r="F278" s="1373">
        <v>94</v>
      </c>
    </row>
    <row r="279" spans="2:6">
      <c r="B279" s="1372">
        <v>39112</v>
      </c>
      <c r="C279" s="1177" t="s">
        <v>284</v>
      </c>
      <c r="D279" s="1177" t="s">
        <v>1052</v>
      </c>
      <c r="E279" s="1177" t="s">
        <v>852</v>
      </c>
      <c r="F279" s="1373">
        <v>94</v>
      </c>
    </row>
    <row r="280" spans="2:6">
      <c r="B280" s="1372">
        <v>39112</v>
      </c>
      <c r="C280" s="1177" t="s">
        <v>1625</v>
      </c>
      <c r="D280" s="1177" t="s">
        <v>1052</v>
      </c>
      <c r="E280" s="1177" t="s">
        <v>852</v>
      </c>
      <c r="F280" s="1373">
        <v>94</v>
      </c>
    </row>
    <row r="281" spans="2:6">
      <c r="B281" s="1372">
        <v>39112</v>
      </c>
      <c r="C281" s="1177" t="s">
        <v>1626</v>
      </c>
      <c r="D281" s="1177" t="s">
        <v>555</v>
      </c>
      <c r="E281" s="1177" t="s">
        <v>852</v>
      </c>
      <c r="F281" s="1373">
        <v>94</v>
      </c>
    </row>
    <row r="282" spans="2:6">
      <c r="B282" s="1372">
        <v>39114</v>
      </c>
      <c r="C282" s="1177" t="s">
        <v>561</v>
      </c>
      <c r="D282" s="1177" t="s">
        <v>562</v>
      </c>
      <c r="E282" s="1177" t="s">
        <v>852</v>
      </c>
      <c r="F282" s="1373">
        <v>94</v>
      </c>
    </row>
    <row r="283" spans="2:6">
      <c r="B283" s="1372">
        <v>39120</v>
      </c>
      <c r="C283" s="1177" t="s">
        <v>1735</v>
      </c>
      <c r="D283" s="1177" t="s">
        <v>1052</v>
      </c>
      <c r="E283" s="1177" t="s">
        <v>852</v>
      </c>
      <c r="F283" s="1373">
        <v>94</v>
      </c>
    </row>
    <row r="284" spans="2:6">
      <c r="B284" s="1372">
        <v>39120</v>
      </c>
      <c r="C284" s="1177" t="s">
        <v>49</v>
      </c>
      <c r="D284" s="1177" t="s">
        <v>50</v>
      </c>
      <c r="E284" s="1177" t="s">
        <v>852</v>
      </c>
      <c r="F284" s="1373">
        <v>94</v>
      </c>
    </row>
    <row r="285" spans="2:6">
      <c r="B285" s="1372">
        <v>39127</v>
      </c>
      <c r="C285" s="1177" t="s">
        <v>986</v>
      </c>
      <c r="D285" s="1177" t="s">
        <v>1052</v>
      </c>
      <c r="E285" s="1177" t="s">
        <v>852</v>
      </c>
      <c r="F285" s="1373">
        <v>94</v>
      </c>
    </row>
    <row r="286" spans="2:6">
      <c r="B286" s="867">
        <v>39342</v>
      </c>
      <c r="C286" s="1177" t="s">
        <v>969</v>
      </c>
      <c r="D286" s="1177" t="s">
        <v>1052</v>
      </c>
      <c r="E286" s="1177" t="s">
        <v>1452</v>
      </c>
      <c r="F286" s="1373">
        <v>94</v>
      </c>
    </row>
    <row r="287" spans="2:6">
      <c r="B287" s="867">
        <v>39360</v>
      </c>
      <c r="C287" s="1177" t="s">
        <v>970</v>
      </c>
      <c r="D287" s="1177" t="s">
        <v>1052</v>
      </c>
      <c r="E287" s="1177" t="s">
        <v>852</v>
      </c>
      <c r="F287" s="1373">
        <v>94</v>
      </c>
    </row>
    <row r="288" spans="2:6">
      <c r="B288" s="867">
        <v>39360</v>
      </c>
      <c r="C288" s="1177" t="s">
        <v>897</v>
      </c>
      <c r="D288" s="1177" t="s">
        <v>1052</v>
      </c>
      <c r="E288" s="1177" t="s">
        <v>852</v>
      </c>
      <c r="F288" s="873">
        <v>94</v>
      </c>
    </row>
    <row r="289" spans="1:6">
      <c r="B289" s="867">
        <v>39360</v>
      </c>
      <c r="C289" s="1177" t="s">
        <v>68</v>
      </c>
      <c r="D289" s="1177" t="s">
        <v>1052</v>
      </c>
      <c r="E289" s="1177" t="s">
        <v>852</v>
      </c>
      <c r="F289" s="873">
        <v>94</v>
      </c>
    </row>
    <row r="290" spans="1:6">
      <c r="B290" s="867">
        <v>39360</v>
      </c>
      <c r="C290" s="1177" t="s">
        <v>69</v>
      </c>
      <c r="D290" s="1177" t="s">
        <v>1052</v>
      </c>
      <c r="E290" s="1177" t="s">
        <v>852</v>
      </c>
      <c r="F290" s="873">
        <v>94</v>
      </c>
    </row>
    <row r="291" spans="1:6">
      <c r="B291" s="1372">
        <v>39364</v>
      </c>
      <c r="C291" s="1177" t="s">
        <v>282</v>
      </c>
      <c r="D291" s="1177" t="s">
        <v>1052</v>
      </c>
      <c r="E291" s="1177" t="s">
        <v>852</v>
      </c>
      <c r="F291" s="873">
        <v>94</v>
      </c>
    </row>
    <row r="292" spans="1:6">
      <c r="B292" s="1372">
        <v>39364</v>
      </c>
      <c r="C292" s="1177" t="s">
        <v>415</v>
      </c>
      <c r="D292" s="1177" t="s">
        <v>1052</v>
      </c>
      <c r="E292" s="1177" t="s">
        <v>852</v>
      </c>
      <c r="F292" s="873">
        <v>94</v>
      </c>
    </row>
    <row r="293" spans="1:6">
      <c r="A293" s="1523"/>
      <c r="B293" s="1524">
        <v>39364</v>
      </c>
      <c r="C293" s="1523" t="s">
        <v>1228</v>
      </c>
      <c r="D293" s="1523" t="s">
        <v>1052</v>
      </c>
      <c r="E293" s="1177" t="s">
        <v>852</v>
      </c>
      <c r="F293" s="873">
        <v>94</v>
      </c>
    </row>
    <row r="294" spans="1:6">
      <c r="A294" s="1177"/>
      <c r="B294" s="1372">
        <v>39443</v>
      </c>
      <c r="C294" s="1177" t="s">
        <v>250</v>
      </c>
      <c r="D294" s="1177" t="s">
        <v>1052</v>
      </c>
      <c r="E294" s="1177" t="s">
        <v>1452</v>
      </c>
      <c r="F294" s="873">
        <v>98</v>
      </c>
    </row>
    <row r="295" spans="1:6">
      <c r="A295" s="1177"/>
      <c r="B295" s="1372">
        <v>39443</v>
      </c>
      <c r="C295" s="1177" t="s">
        <v>251</v>
      </c>
      <c r="D295" s="1177" t="s">
        <v>1052</v>
      </c>
      <c r="E295" s="1177" t="s">
        <v>1452</v>
      </c>
      <c r="F295" s="873">
        <v>98</v>
      </c>
    </row>
    <row r="296" spans="1:6">
      <c r="A296" s="1177"/>
      <c r="B296" s="1372">
        <v>39443</v>
      </c>
      <c r="C296" s="1177" t="s">
        <v>1118</v>
      </c>
      <c r="D296" s="1177" t="s">
        <v>1052</v>
      </c>
      <c r="E296" s="1177" t="s">
        <v>1452</v>
      </c>
      <c r="F296" s="873">
        <v>98</v>
      </c>
    </row>
    <row r="297" spans="1:6">
      <c r="A297" s="1177"/>
      <c r="B297" s="1372">
        <v>39444</v>
      </c>
      <c r="C297" s="1177" t="s">
        <v>1119</v>
      </c>
      <c r="D297" s="1177" t="s">
        <v>1052</v>
      </c>
      <c r="E297" s="1177" t="s">
        <v>1452</v>
      </c>
      <c r="F297" s="873">
        <v>98</v>
      </c>
    </row>
    <row r="298" spans="1:6">
      <c r="A298" s="1177"/>
      <c r="B298" s="1372">
        <v>39444</v>
      </c>
      <c r="C298" s="1177" t="s">
        <v>1120</v>
      </c>
      <c r="D298" s="1177" t="s">
        <v>1052</v>
      </c>
      <c r="E298" s="1177" t="s">
        <v>1452</v>
      </c>
      <c r="F298" s="873">
        <v>98</v>
      </c>
    </row>
    <row r="299" spans="1:6">
      <c r="A299" s="1177"/>
      <c r="B299" s="1372">
        <v>39445</v>
      </c>
      <c r="C299" s="1177" t="s">
        <v>1121</v>
      </c>
      <c r="D299" s="1177" t="s">
        <v>1052</v>
      </c>
      <c r="E299" s="1177" t="s">
        <v>1452</v>
      </c>
      <c r="F299" s="873">
        <v>98</v>
      </c>
    </row>
    <row r="300" spans="1:6">
      <c r="A300" s="1177"/>
      <c r="B300" s="1372">
        <v>39449</v>
      </c>
      <c r="C300" s="1177" t="s">
        <v>1122</v>
      </c>
      <c r="D300" s="1177" t="s">
        <v>1123</v>
      </c>
      <c r="E300" s="1177" t="s">
        <v>1452</v>
      </c>
      <c r="F300" s="873">
        <v>98</v>
      </c>
    </row>
    <row r="301" spans="1:6">
      <c r="A301" s="1177"/>
      <c r="B301" s="1372">
        <v>39449</v>
      </c>
      <c r="C301" s="1177" t="s">
        <v>1124</v>
      </c>
      <c r="D301" s="1177" t="s">
        <v>1125</v>
      </c>
      <c r="E301" s="1177" t="s">
        <v>1452</v>
      </c>
      <c r="F301" s="873">
        <v>98</v>
      </c>
    </row>
    <row r="302" spans="1:6">
      <c r="A302" s="1177"/>
      <c r="B302" s="1372">
        <v>39449</v>
      </c>
      <c r="C302" s="1177" t="s">
        <v>1126</v>
      </c>
      <c r="D302" s="1177" t="s">
        <v>1052</v>
      </c>
      <c r="E302" s="1177" t="s">
        <v>1452</v>
      </c>
      <c r="F302" s="873">
        <v>98</v>
      </c>
    </row>
    <row r="303" spans="1:6">
      <c r="A303" s="1177"/>
      <c r="B303" s="1372">
        <v>39449</v>
      </c>
      <c r="C303" s="1177" t="s">
        <v>1127</v>
      </c>
      <c r="D303" s="1177" t="s">
        <v>1052</v>
      </c>
      <c r="E303" s="1177" t="s">
        <v>1452</v>
      </c>
      <c r="F303" s="873">
        <v>98</v>
      </c>
    </row>
    <row r="304" spans="1:6">
      <c r="A304" s="1177"/>
      <c r="B304" s="1372">
        <v>39449</v>
      </c>
      <c r="C304" s="1177" t="s">
        <v>1128</v>
      </c>
      <c r="D304" s="1177" t="s">
        <v>1052</v>
      </c>
      <c r="E304" s="1177" t="s">
        <v>1452</v>
      </c>
      <c r="F304" s="873">
        <v>98</v>
      </c>
    </row>
    <row r="305" spans="1:6">
      <c r="A305" s="1177"/>
      <c r="B305" s="1372">
        <v>39450</v>
      </c>
      <c r="C305" s="1177" t="s">
        <v>1129</v>
      </c>
      <c r="D305" s="1177" t="s">
        <v>1130</v>
      </c>
      <c r="E305" s="1177" t="s">
        <v>1452</v>
      </c>
      <c r="F305" s="873">
        <v>98</v>
      </c>
    </row>
    <row r="306" spans="1:6">
      <c r="A306" s="1177"/>
      <c r="B306" s="1372">
        <v>39450</v>
      </c>
      <c r="C306" s="1177" t="s">
        <v>1131</v>
      </c>
      <c r="D306" s="1177" t="s">
        <v>1052</v>
      </c>
      <c r="E306" s="1177" t="s">
        <v>1452</v>
      </c>
      <c r="F306" s="873">
        <v>98</v>
      </c>
    </row>
    <row r="307" spans="1:6">
      <c r="A307" s="1177"/>
      <c r="B307" s="1372">
        <v>39450</v>
      </c>
      <c r="C307" s="1177" t="s">
        <v>1132</v>
      </c>
      <c r="D307" s="1177" t="s">
        <v>1052</v>
      </c>
      <c r="E307" s="1177" t="s">
        <v>1452</v>
      </c>
      <c r="F307" s="873">
        <v>98</v>
      </c>
    </row>
    <row r="308" spans="1:6">
      <c r="A308" s="1177"/>
      <c r="B308" s="1372">
        <v>39451</v>
      </c>
      <c r="C308" s="1177" t="s">
        <v>1133</v>
      </c>
      <c r="D308" s="1177" t="s">
        <v>1052</v>
      </c>
      <c r="E308" s="1177" t="s">
        <v>1452</v>
      </c>
      <c r="F308" s="873">
        <v>98</v>
      </c>
    </row>
    <row r="309" spans="1:6">
      <c r="A309" s="1177"/>
      <c r="B309" s="1372">
        <v>39451</v>
      </c>
      <c r="C309" s="1177" t="s">
        <v>253</v>
      </c>
      <c r="D309" s="1177" t="s">
        <v>1052</v>
      </c>
      <c r="E309" s="1177" t="s">
        <v>1452</v>
      </c>
      <c r="F309" s="873">
        <v>98</v>
      </c>
    </row>
    <row r="310" spans="1:6">
      <c r="A310" s="1177"/>
      <c r="B310" s="1372">
        <v>39458</v>
      </c>
      <c r="C310" s="1177" t="s">
        <v>1073</v>
      </c>
      <c r="D310" s="1177" t="s">
        <v>1074</v>
      </c>
      <c r="E310" s="1177" t="s">
        <v>1452</v>
      </c>
      <c r="F310" s="873">
        <v>98</v>
      </c>
    </row>
    <row r="311" spans="1:6">
      <c r="A311" s="1177"/>
      <c r="B311" s="1372">
        <v>39458</v>
      </c>
      <c r="C311" s="1177" t="s">
        <v>1075</v>
      </c>
      <c r="D311" s="1177" t="s">
        <v>1076</v>
      </c>
      <c r="E311" s="1177" t="s">
        <v>1452</v>
      </c>
      <c r="F311" s="873">
        <v>99</v>
      </c>
    </row>
    <row r="312" spans="1:6">
      <c r="A312" s="1177"/>
      <c r="B312" s="1372">
        <v>39458</v>
      </c>
      <c r="C312" s="1177" t="s">
        <v>1077</v>
      </c>
      <c r="D312" s="1177" t="s">
        <v>1078</v>
      </c>
      <c r="E312" s="1177" t="s">
        <v>1452</v>
      </c>
      <c r="F312" s="873">
        <v>99</v>
      </c>
    </row>
    <row r="313" spans="1:6">
      <c r="A313" s="1177"/>
      <c r="B313" s="1372">
        <v>39458</v>
      </c>
      <c r="C313" s="1177" t="s">
        <v>1079</v>
      </c>
      <c r="D313" s="1177" t="s">
        <v>1080</v>
      </c>
      <c r="E313" s="1177" t="s">
        <v>1452</v>
      </c>
      <c r="F313" s="873">
        <v>99</v>
      </c>
    </row>
    <row r="314" spans="1:6">
      <c r="A314" s="1177"/>
      <c r="B314" s="1372">
        <v>39459</v>
      </c>
      <c r="C314" s="1177" t="s">
        <v>1081</v>
      </c>
      <c r="D314" s="1177" t="s">
        <v>1052</v>
      </c>
      <c r="E314" s="1177" t="s">
        <v>1452</v>
      </c>
      <c r="F314" s="873">
        <v>100</v>
      </c>
    </row>
    <row r="315" spans="1:6">
      <c r="A315" s="1177"/>
      <c r="B315" s="1372">
        <v>39459</v>
      </c>
      <c r="C315" s="1177" t="s">
        <v>156</v>
      </c>
      <c r="D315" s="1177" t="s">
        <v>157</v>
      </c>
      <c r="E315" s="1177" t="s">
        <v>1452</v>
      </c>
      <c r="F315" s="873">
        <v>100</v>
      </c>
    </row>
    <row r="316" spans="1:6">
      <c r="A316" s="1177"/>
      <c r="B316" s="1372">
        <v>39459</v>
      </c>
      <c r="C316" s="1177" t="s">
        <v>158</v>
      </c>
      <c r="D316" s="1177" t="s">
        <v>159</v>
      </c>
      <c r="E316" s="1177" t="s">
        <v>1452</v>
      </c>
      <c r="F316" s="873">
        <v>100</v>
      </c>
    </row>
    <row r="317" spans="1:6">
      <c r="A317" s="1177"/>
      <c r="B317" s="1372">
        <v>39459</v>
      </c>
      <c r="C317" s="1177" t="s">
        <v>160</v>
      </c>
      <c r="D317" s="1177" t="s">
        <v>1052</v>
      </c>
      <c r="E317" s="1177" t="s">
        <v>1452</v>
      </c>
      <c r="F317" s="873">
        <v>100</v>
      </c>
    </row>
    <row r="318" spans="1:6">
      <c r="A318" s="1177"/>
      <c r="B318" s="1372">
        <v>39459</v>
      </c>
      <c r="C318" s="1177" t="s">
        <v>160</v>
      </c>
      <c r="D318" s="1177" t="s">
        <v>1052</v>
      </c>
      <c r="E318" s="1177" t="s">
        <v>1452</v>
      </c>
      <c r="F318" s="873">
        <v>100</v>
      </c>
    </row>
    <row r="319" spans="1:6">
      <c r="A319" s="1177"/>
      <c r="B319" s="1372">
        <v>39459</v>
      </c>
      <c r="C319" s="1177" t="s">
        <v>161</v>
      </c>
      <c r="D319" s="1177" t="s">
        <v>1052</v>
      </c>
      <c r="E319" s="1177" t="s">
        <v>1452</v>
      </c>
      <c r="F319" s="873">
        <v>100</v>
      </c>
    </row>
    <row r="320" spans="1:6">
      <c r="A320" s="1177"/>
      <c r="B320" s="1372">
        <v>39459</v>
      </c>
      <c r="C320" s="1177" t="s">
        <v>162</v>
      </c>
      <c r="D320" s="1177" t="s">
        <v>1052</v>
      </c>
      <c r="E320" s="1177" t="s">
        <v>1452</v>
      </c>
      <c r="F320" s="873">
        <v>100</v>
      </c>
    </row>
    <row r="321" spans="1:6">
      <c r="A321" s="1177"/>
      <c r="B321" s="1372">
        <v>39459</v>
      </c>
      <c r="C321" s="1177" t="s">
        <v>163</v>
      </c>
      <c r="D321" s="1177" t="s">
        <v>1052</v>
      </c>
      <c r="E321" s="1177" t="s">
        <v>1452</v>
      </c>
      <c r="F321" s="873">
        <v>100</v>
      </c>
    </row>
    <row r="322" spans="1:6">
      <c r="A322" s="1177"/>
      <c r="B322" s="1372">
        <v>39459</v>
      </c>
      <c r="C322" s="1177" t="s">
        <v>164</v>
      </c>
      <c r="D322" s="1177" t="s">
        <v>1052</v>
      </c>
      <c r="E322" s="1177" t="s">
        <v>1452</v>
      </c>
      <c r="F322" s="873">
        <v>100</v>
      </c>
    </row>
    <row r="323" spans="1:6">
      <c r="A323" s="1177"/>
      <c r="B323" s="1372">
        <v>39459</v>
      </c>
      <c r="C323" s="1177" t="s">
        <v>165</v>
      </c>
      <c r="D323" s="1177" t="s">
        <v>1052</v>
      </c>
      <c r="E323" s="1177" t="s">
        <v>1452</v>
      </c>
      <c r="F323" s="873">
        <v>100</v>
      </c>
    </row>
    <row r="324" spans="1:6">
      <c r="A324" s="1177"/>
      <c r="B324" s="1372">
        <v>39459</v>
      </c>
      <c r="C324" s="1177" t="s">
        <v>166</v>
      </c>
      <c r="D324" s="1177" t="s">
        <v>1052</v>
      </c>
      <c r="E324" s="1177" t="s">
        <v>1452</v>
      </c>
      <c r="F324" s="873">
        <v>100</v>
      </c>
    </row>
    <row r="325" spans="1:6">
      <c r="B325" s="867">
        <v>39901</v>
      </c>
      <c r="C325" s="1177" t="s">
        <v>608</v>
      </c>
      <c r="D325" s="1177" t="s">
        <v>1052</v>
      </c>
      <c r="E325" s="1177" t="s">
        <v>607</v>
      </c>
      <c r="F325" s="873">
        <v>126</v>
      </c>
    </row>
    <row r="326" spans="1:6">
      <c r="B326" s="867">
        <v>39901</v>
      </c>
      <c r="C326" s="1177" t="s">
        <v>609</v>
      </c>
      <c r="D326" s="1177" t="s">
        <v>1052</v>
      </c>
      <c r="E326" s="1177" t="s">
        <v>607</v>
      </c>
      <c r="F326" s="873">
        <v>126</v>
      </c>
    </row>
    <row r="327" spans="1:6">
      <c r="B327" s="867">
        <v>39901</v>
      </c>
      <c r="C327" s="1177" t="s">
        <v>610</v>
      </c>
      <c r="D327" s="1177" t="s">
        <v>1052</v>
      </c>
      <c r="E327" s="1177" t="s">
        <v>607</v>
      </c>
      <c r="F327" s="873">
        <v>126</v>
      </c>
    </row>
    <row r="328" spans="1:6">
      <c r="B328" s="867">
        <v>40008</v>
      </c>
      <c r="C328" s="1177" t="s">
        <v>563</v>
      </c>
      <c r="D328" s="1177" t="s">
        <v>1052</v>
      </c>
      <c r="E328" s="1177" t="s">
        <v>607</v>
      </c>
      <c r="F328" s="873">
        <v>126</v>
      </c>
    </row>
    <row r="329" spans="1:6">
      <c r="B329" s="867">
        <v>40046</v>
      </c>
      <c r="C329" s="1177" t="s">
        <v>592</v>
      </c>
      <c r="D329" s="1177" t="s">
        <v>1052</v>
      </c>
      <c r="E329" s="1177" t="s">
        <v>607</v>
      </c>
      <c r="F329" s="873">
        <v>126</v>
      </c>
    </row>
    <row r="330" spans="1:6">
      <c r="B330" s="867">
        <v>40046</v>
      </c>
      <c r="C330" s="1177" t="s">
        <v>594</v>
      </c>
      <c r="D330" s="1177" t="s">
        <v>1052</v>
      </c>
      <c r="E330" s="1177" t="s">
        <v>607</v>
      </c>
      <c r="F330" s="873">
        <v>126</v>
      </c>
    </row>
    <row r="331" spans="1:6">
      <c r="B331" s="867">
        <v>40046</v>
      </c>
      <c r="C331" s="1177" t="s">
        <v>591</v>
      </c>
      <c r="D331" t="s">
        <v>590</v>
      </c>
      <c r="E331" s="1177" t="s">
        <v>607</v>
      </c>
      <c r="F331" s="873">
        <v>126</v>
      </c>
    </row>
    <row r="332" spans="1:6">
      <c r="B332" s="867">
        <v>40046</v>
      </c>
      <c r="C332" s="1177" t="s">
        <v>595</v>
      </c>
      <c r="D332" t="s">
        <v>1052</v>
      </c>
      <c r="E332" s="1177" t="s">
        <v>607</v>
      </c>
      <c r="F332" s="873">
        <v>126</v>
      </c>
    </row>
    <row r="333" spans="1:6">
      <c r="B333" s="1372">
        <v>40211</v>
      </c>
      <c r="C333" s="1177" t="s">
        <v>782</v>
      </c>
      <c r="D333" s="1177" t="s">
        <v>1052</v>
      </c>
      <c r="E333" s="1177" t="s">
        <v>607</v>
      </c>
      <c r="F333" s="1373">
        <v>139</v>
      </c>
    </row>
    <row r="334" spans="1:6">
      <c r="B334" s="1372">
        <v>40520</v>
      </c>
      <c r="C334" s="1177" t="s">
        <v>1435</v>
      </c>
      <c r="D334" s="1177"/>
      <c r="E334" s="1177"/>
      <c r="F334" s="1373">
        <v>140</v>
      </c>
    </row>
    <row r="335" spans="1:6">
      <c r="B335" s="1372">
        <v>40520</v>
      </c>
      <c r="C335" s="1177" t="s">
        <v>1436</v>
      </c>
      <c r="D335" s="1177"/>
      <c r="E335" s="1177"/>
      <c r="F335" s="1373">
        <v>140</v>
      </c>
    </row>
    <row r="336" spans="1:6">
      <c r="B336" s="1372">
        <v>40520</v>
      </c>
      <c r="C336" s="1177" t="s">
        <v>1437</v>
      </c>
      <c r="D336" s="1177"/>
      <c r="E336" s="1177"/>
      <c r="F336" s="1373">
        <v>140</v>
      </c>
    </row>
    <row r="337" spans="2:6">
      <c r="B337" s="1372">
        <v>40520</v>
      </c>
      <c r="C337" s="1177" t="s">
        <v>1438</v>
      </c>
      <c r="D337" s="1177"/>
      <c r="E337" s="1177"/>
      <c r="F337" s="1373">
        <v>140</v>
      </c>
    </row>
    <row r="338" spans="2:6">
      <c r="B338" s="1372">
        <v>40520</v>
      </c>
      <c r="C338" s="1177" t="s">
        <v>1439</v>
      </c>
      <c r="D338" s="1177"/>
      <c r="E338" s="1177"/>
      <c r="F338" s="1373">
        <v>140</v>
      </c>
    </row>
    <row r="339" spans="2:6">
      <c r="B339" s="1524">
        <v>40520</v>
      </c>
      <c r="C339" s="1523" t="s">
        <v>1440</v>
      </c>
      <c r="D339" s="1523"/>
      <c r="E339" s="1523"/>
      <c r="F339" s="1705">
        <v>140</v>
      </c>
    </row>
    <row r="340" spans="2:6">
      <c r="B340" s="1372">
        <v>40642</v>
      </c>
      <c r="C340" s="27" t="s">
        <v>188</v>
      </c>
      <c r="D340" s="1177"/>
      <c r="E340" s="1177" t="s">
        <v>1452</v>
      </c>
      <c r="F340" s="1373">
        <v>151</v>
      </c>
    </row>
    <row r="341" spans="2:6">
      <c r="B341" s="1372">
        <v>40653</v>
      </c>
      <c r="C341" s="27" t="s">
        <v>1053</v>
      </c>
      <c r="D341" s="27" t="s">
        <v>1054</v>
      </c>
      <c r="E341" s="1177" t="s">
        <v>1452</v>
      </c>
      <c r="F341" s="1373">
        <v>152</v>
      </c>
    </row>
    <row r="342" spans="2:6">
      <c r="B342" s="1372">
        <v>40653</v>
      </c>
      <c r="C342" s="1177" t="s">
        <v>1055</v>
      </c>
      <c r="D342" s="27" t="s">
        <v>1056</v>
      </c>
      <c r="E342" s="1177" t="s">
        <v>1452</v>
      </c>
      <c r="F342" s="1373">
        <v>152</v>
      </c>
    </row>
    <row r="343" spans="2:6" s="1177" customFormat="1">
      <c r="B343" s="1372">
        <v>40666</v>
      </c>
      <c r="C343" s="1177" t="s">
        <v>100</v>
      </c>
      <c r="D343" s="27" t="s">
        <v>1054</v>
      </c>
      <c r="E343" s="1177" t="s">
        <v>1452</v>
      </c>
      <c r="F343" s="1373">
        <v>153</v>
      </c>
    </row>
    <row r="344" spans="2:6">
      <c r="B344" s="1372">
        <v>40785</v>
      </c>
      <c r="C344" s="1177" t="s">
        <v>44</v>
      </c>
      <c r="D344" s="27" t="s">
        <v>45</v>
      </c>
      <c r="E344" s="1177" t="s">
        <v>1452</v>
      </c>
      <c r="F344" s="1373">
        <v>155</v>
      </c>
    </row>
    <row r="345" spans="2:6">
      <c r="B345" s="1372">
        <v>40863</v>
      </c>
      <c r="C345" s="1177" t="s">
        <v>1791</v>
      </c>
      <c r="D345" s="1177"/>
      <c r="E345" s="1177"/>
      <c r="F345" s="1373">
        <v>156</v>
      </c>
    </row>
    <row r="346" spans="2:6">
      <c r="B346" s="1372">
        <v>40863</v>
      </c>
      <c r="C346" s="1177" t="s">
        <v>1792</v>
      </c>
      <c r="D346" s="1177"/>
      <c r="E346" s="1177"/>
      <c r="F346" s="1373">
        <v>157</v>
      </c>
    </row>
    <row r="347" spans="2:6">
      <c r="B347" s="1372">
        <v>40863</v>
      </c>
      <c r="C347" s="1177" t="s">
        <v>1793</v>
      </c>
      <c r="D347" s="1177"/>
      <c r="E347" s="1177"/>
      <c r="F347" s="1373">
        <v>158</v>
      </c>
    </row>
    <row r="348" spans="2:6">
      <c r="B348" s="1372">
        <v>40863</v>
      </c>
      <c r="C348" s="1177" t="s">
        <v>1794</v>
      </c>
      <c r="D348" s="1177"/>
      <c r="E348" s="1177"/>
      <c r="F348" s="1373">
        <v>159</v>
      </c>
    </row>
    <row r="349" spans="2:6">
      <c r="B349" s="1372">
        <v>40877</v>
      </c>
      <c r="C349" s="1177" t="s">
        <v>1795</v>
      </c>
      <c r="D349" s="1177" t="s">
        <v>1796</v>
      </c>
      <c r="E349" s="1177"/>
      <c r="F349" s="1373">
        <v>160</v>
      </c>
    </row>
    <row r="350" spans="2:6">
      <c r="B350" s="1372">
        <v>40877</v>
      </c>
      <c r="C350" s="1177" t="s">
        <v>1797</v>
      </c>
      <c r="D350" s="1177" t="s">
        <v>1796</v>
      </c>
      <c r="E350" s="1177"/>
      <c r="F350" s="1373">
        <v>161</v>
      </c>
    </row>
    <row r="351" spans="2:6">
      <c r="B351" s="1372">
        <v>41213</v>
      </c>
      <c r="C351" s="1177" t="s">
        <v>1807</v>
      </c>
      <c r="D351" s="1177" t="s">
        <v>1808</v>
      </c>
      <c r="E351" s="1177" t="s">
        <v>1809</v>
      </c>
      <c r="F351" s="1373">
        <v>162</v>
      </c>
    </row>
    <row r="352" spans="2:6">
      <c r="B352" s="1372">
        <v>41213</v>
      </c>
      <c r="C352" s="1177" t="s">
        <v>1810</v>
      </c>
      <c r="D352" s="1177" t="s">
        <v>1811</v>
      </c>
      <c r="E352" s="1177" t="s">
        <v>1809</v>
      </c>
      <c r="F352" s="1373">
        <v>163</v>
      </c>
    </row>
    <row r="353" spans="2:6">
      <c r="B353" s="1372">
        <v>41255</v>
      </c>
      <c r="C353" s="1732" t="s">
        <v>1813</v>
      </c>
      <c r="D353" s="1733" t="s">
        <v>1814</v>
      </c>
      <c r="E353" s="1177" t="s">
        <v>1809</v>
      </c>
      <c r="F353" s="1373">
        <v>164</v>
      </c>
    </row>
    <row r="354" spans="2:6">
      <c r="B354" s="1372">
        <v>41255</v>
      </c>
      <c r="C354" s="1733" t="s">
        <v>1815</v>
      </c>
      <c r="D354" s="1733" t="s">
        <v>1816</v>
      </c>
      <c r="E354" s="1732" t="s">
        <v>1809</v>
      </c>
      <c r="F354" s="1373">
        <v>165</v>
      </c>
    </row>
    <row r="355" spans="2:6">
      <c r="B355" s="1740">
        <v>41619</v>
      </c>
      <c r="C355" s="1733" t="s">
        <v>1834</v>
      </c>
      <c r="D355" s="1733"/>
      <c r="E355" s="1732" t="s">
        <v>1809</v>
      </c>
      <c r="F355" s="1373">
        <v>166</v>
      </c>
    </row>
    <row r="356" spans="2:6">
      <c r="B356" s="1740">
        <v>41619</v>
      </c>
      <c r="C356" s="1733" t="s">
        <v>1835</v>
      </c>
      <c r="D356" s="1733"/>
      <c r="E356" s="1732" t="s">
        <v>1809</v>
      </c>
      <c r="F356" s="1373">
        <v>167</v>
      </c>
    </row>
    <row r="357" spans="2:6">
      <c r="B357" s="1740">
        <v>41619</v>
      </c>
      <c r="C357" s="1733" t="s">
        <v>1836</v>
      </c>
      <c r="D357" s="1733"/>
      <c r="E357" s="1732" t="s">
        <v>1809</v>
      </c>
      <c r="F357" s="1373">
        <v>168</v>
      </c>
    </row>
    <row r="358" spans="2:6">
      <c r="B358" s="1740">
        <v>41619</v>
      </c>
      <c r="C358" s="1733" t="s">
        <v>1837</v>
      </c>
      <c r="D358" s="1733"/>
      <c r="E358" s="1732" t="s">
        <v>1809</v>
      </c>
      <c r="F358" s="1373">
        <v>169</v>
      </c>
    </row>
    <row r="359" spans="2:6">
      <c r="B359" s="1740">
        <v>41619</v>
      </c>
      <c r="C359" s="1733" t="s">
        <v>1838</v>
      </c>
      <c r="D359" s="1733"/>
      <c r="E359" s="1732" t="s">
        <v>1809</v>
      </c>
      <c r="F359" s="1373">
        <v>170</v>
      </c>
    </row>
    <row r="360" spans="2:6">
      <c r="B360" s="1740">
        <v>41619</v>
      </c>
      <c r="C360" s="1733" t="s">
        <v>1839</v>
      </c>
      <c r="D360" s="1733"/>
      <c r="E360" s="1732" t="s">
        <v>1809</v>
      </c>
      <c r="F360" s="1373">
        <v>171</v>
      </c>
    </row>
    <row r="361" spans="2:6">
      <c r="B361" s="1740">
        <v>41619</v>
      </c>
      <c r="C361" s="1733" t="s">
        <v>1840</v>
      </c>
      <c r="D361" s="1733"/>
      <c r="E361" s="1732" t="s">
        <v>1809</v>
      </c>
      <c r="F361" s="1373">
        <v>172</v>
      </c>
    </row>
    <row r="362" spans="2:6">
      <c r="B362" s="1740">
        <v>41619</v>
      </c>
      <c r="C362" s="1733" t="s">
        <v>1841</v>
      </c>
      <c r="D362" s="1733"/>
      <c r="E362" s="1732" t="s">
        <v>1809</v>
      </c>
      <c r="F362" s="1373">
        <v>173</v>
      </c>
    </row>
    <row r="363" spans="2:6">
      <c r="B363" s="1740">
        <v>41619</v>
      </c>
      <c r="C363" s="1733" t="s">
        <v>1842</v>
      </c>
      <c r="D363" s="1733"/>
      <c r="E363" s="1732" t="s">
        <v>1809</v>
      </c>
      <c r="F363" s="1373">
        <v>174</v>
      </c>
    </row>
    <row r="364" spans="2:6">
      <c r="B364" s="1372">
        <v>41619</v>
      </c>
      <c r="C364" s="1733" t="s">
        <v>1843</v>
      </c>
      <c r="D364" s="1177"/>
      <c r="E364" s="1732" t="s">
        <v>1809</v>
      </c>
      <c r="F364" s="1373">
        <v>175</v>
      </c>
    </row>
    <row r="365" spans="2:6">
      <c r="B365" s="867">
        <v>41940</v>
      </c>
      <c r="C365" t="s">
        <v>1845</v>
      </c>
      <c r="D365" t="s">
        <v>1846</v>
      </c>
      <c r="E365" t="s">
        <v>1809</v>
      </c>
      <c r="F365" s="873">
        <v>176</v>
      </c>
    </row>
    <row r="366" spans="2:6">
      <c r="B366" s="867">
        <v>41940</v>
      </c>
      <c r="C366" t="s">
        <v>1847</v>
      </c>
      <c r="D366" t="s">
        <v>1846</v>
      </c>
      <c r="E366" t="s">
        <v>1809</v>
      </c>
      <c r="F366" s="873">
        <v>177</v>
      </c>
    </row>
    <row r="367" spans="2:6">
      <c r="B367" s="867">
        <v>41940</v>
      </c>
      <c r="C367" t="s">
        <v>1848</v>
      </c>
      <c r="D367" t="s">
        <v>1849</v>
      </c>
      <c r="E367" t="s">
        <v>1809</v>
      </c>
      <c r="F367" s="873">
        <v>178</v>
      </c>
    </row>
  </sheetData>
  <sheetProtection algorithmName="SHA-512" hashValue="C+2cmLtFZsaK+lj+E/Biil4iyFInn7yP1oXA/wbu2xyQGwK7ZdxiSYgCud2oci/aDQ5IfMLozVv1LMa9UGKQMg==" saltValue="dRf8Ty30YL4kkVHYDTOabg==" spinCount="100000" sheet="1" objects="1" scenarios="1"/>
  <phoneticPr fontId="5"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311</vt:i4>
      </vt:variant>
    </vt:vector>
  </HeadingPairs>
  <TitlesOfParts>
    <vt:vector size="322" baseType="lpstr">
      <vt:lpstr>Domanda</vt:lpstr>
      <vt:lpstr>Dati</vt:lpstr>
      <vt:lpstr>Estate</vt:lpstr>
      <vt:lpstr>Aerazione</vt:lpstr>
      <vt:lpstr>Produzione</vt:lpstr>
      <vt:lpstr>Verifica</vt:lpstr>
      <vt:lpstr>Rechnung</vt:lpstr>
      <vt:lpstr>Standardwerte</vt:lpstr>
      <vt:lpstr>Input</vt:lpstr>
      <vt:lpstr>Schnittstelle380</vt:lpstr>
      <vt:lpstr>Prüflog</vt:lpstr>
      <vt:lpstr>_EBF1</vt:lpstr>
      <vt:lpstr>_EBF2</vt:lpstr>
      <vt:lpstr>_EBF3</vt:lpstr>
      <vt:lpstr>_EBF4</vt:lpstr>
      <vt:lpstr>_gew1</vt:lpstr>
      <vt:lpstr>_gew2</vt:lpstr>
      <vt:lpstr>_gew3</vt:lpstr>
      <vt:lpstr>_gew4</vt:lpstr>
      <vt:lpstr>_gew5</vt:lpstr>
      <vt:lpstr>_LER1</vt:lpstr>
      <vt:lpstr>_LER2</vt:lpstr>
      <vt:lpstr>_LER3</vt:lpstr>
      <vt:lpstr>_LER4</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_typ1</vt:lpstr>
      <vt:lpstr>_typ2</vt:lpstr>
      <vt:lpstr>_typ3</vt:lpstr>
      <vt:lpstr>_typ4</vt:lpstr>
      <vt:lpstr>_Vth1</vt:lpstr>
      <vt:lpstr>_Vth2</vt:lpstr>
      <vt:lpstr>_Vth3</vt:lpstr>
      <vt:lpstr>_Vth4</vt:lpstr>
      <vt:lpstr>_WRG1</vt:lpstr>
      <vt:lpstr>_WRG2</vt:lpstr>
      <vt:lpstr>_WRG3</vt:lpstr>
      <vt:lpstr>_WRG4</vt:lpstr>
      <vt:lpstr>_WW1</vt:lpstr>
      <vt:lpstr>_WW2</vt:lpstr>
      <vt:lpstr>_WW3</vt:lpstr>
      <vt:lpstr>_WW4</vt:lpstr>
      <vt:lpstr>abgabe1</vt:lpstr>
      <vt:lpstr>abgabe2</vt:lpstr>
      <vt:lpstr>abgabe3</vt:lpstr>
      <vt:lpstr>abgabe4</vt:lpstr>
      <vt:lpstr>AbluftWP</vt:lpstr>
      <vt:lpstr>ACDC1</vt:lpstr>
      <vt:lpstr>ACDC2</vt:lpstr>
      <vt:lpstr>ACDC3</vt:lpstr>
      <vt:lpstr>ACDC4</vt:lpstr>
      <vt:lpstr>ACDCeff1</vt:lpstr>
      <vt:lpstr>ACDCeff2</vt:lpstr>
      <vt:lpstr>ACDCeff3</vt:lpstr>
      <vt:lpstr>ACDCeff4</vt:lpstr>
      <vt:lpstr>AEBF</vt:lpstr>
      <vt:lpstr>AEBF1</vt:lpstr>
      <vt:lpstr>AEBF2</vt:lpstr>
      <vt:lpstr>AEBF3</vt:lpstr>
      <vt:lpstr>AEBF4</vt:lpstr>
      <vt:lpstr>Anetto_AEBF1</vt:lpstr>
      <vt:lpstr>Anetto_AEBF2</vt:lpstr>
      <vt:lpstr>Anetto_AEBF3</vt:lpstr>
      <vt:lpstr>Anetto_AEBF4</vt:lpstr>
      <vt:lpstr>Ausk_Lueftung1</vt:lpstr>
      <vt:lpstr>Ausk_Lueftung2</vt:lpstr>
      <vt:lpstr>Ausk_Lueftung3</vt:lpstr>
      <vt:lpstr>Ausk_Lueftung4</vt:lpstr>
      <vt:lpstr>Ausk_Motor1</vt:lpstr>
      <vt:lpstr>Ausk_Motor2</vt:lpstr>
      <vt:lpstr>Ausk_Motor3</vt:lpstr>
      <vt:lpstr>Ausk_Motor4</vt:lpstr>
      <vt:lpstr>Ausw_Druckverl1</vt:lpstr>
      <vt:lpstr>Ausw_Lueftung</vt:lpstr>
      <vt:lpstr>Ausw_Lueftung1</vt:lpstr>
      <vt:lpstr>Ausw_Lueftung2</vt:lpstr>
      <vt:lpstr>Ausw_Lueftung3</vt:lpstr>
      <vt:lpstr>Ausw_Lueftung4</vt:lpstr>
      <vt:lpstr>auswahl1</vt:lpstr>
      <vt:lpstr>auswahl2</vt:lpstr>
      <vt:lpstr>auswahl3</vt:lpstr>
      <vt:lpstr>auswahl4</vt:lpstr>
      <vt:lpstr>auswahl5</vt:lpstr>
      <vt:lpstr>auswahl6</vt:lpstr>
      <vt:lpstr>auswahl7</vt:lpstr>
      <vt:lpstr>auswahl8</vt:lpstr>
      <vt:lpstr>BadMisch</vt:lpstr>
      <vt:lpstr>beta</vt:lpstr>
      <vt:lpstr>beta1</vt:lpstr>
      <vt:lpstr>beta2</vt:lpstr>
      <vt:lpstr>beta3</vt:lpstr>
      <vt:lpstr>beta4</vt:lpstr>
      <vt:lpstr>BioSolar</vt:lpstr>
      <vt:lpstr>Bueronutzung</vt:lpstr>
      <vt:lpstr>DeckungsgradHeizung</vt:lpstr>
      <vt:lpstr>DeckungsgradWW</vt:lpstr>
      <vt:lpstr>Aerazione!Druckbereich</vt:lpstr>
      <vt:lpstr>Dati!Druckbereich</vt:lpstr>
      <vt:lpstr>Domanda!Druckbereich</vt:lpstr>
      <vt:lpstr>Estate!Druckbereich</vt:lpstr>
      <vt:lpstr>Produzione!Druckbereich</vt:lpstr>
      <vt:lpstr>Standardwerte!Druckbereich</vt:lpstr>
      <vt:lpstr>Verifica!Druckbereich</vt:lpstr>
      <vt:lpstr>Aerazione!Drucktitel</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EBFo</vt:lpstr>
      <vt:lpstr>EBFo1</vt:lpstr>
      <vt:lpstr>EBFo2</vt:lpstr>
      <vt:lpstr>EBFo3</vt:lpstr>
      <vt:lpstr>EBFo4</vt:lpstr>
      <vt:lpstr>EFH</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F_s1</vt:lpstr>
      <vt:lpstr>F_s2</vt:lpstr>
      <vt:lpstr>F_s3</vt:lpstr>
      <vt:lpstr>F_s4</vt:lpstr>
      <vt:lpstr>Fehler_Neuzertifizierung</vt:lpstr>
      <vt:lpstr>FehlerLüftung1</vt:lpstr>
      <vt:lpstr>FehlerLüftung2</vt:lpstr>
      <vt:lpstr>FehlerLüftung3</vt:lpstr>
      <vt:lpstr>Gebuehr</vt:lpstr>
      <vt:lpstr>Grau</vt:lpstr>
      <vt:lpstr>Grau_Grenz</vt:lpstr>
      <vt:lpstr>GrenzwertMINERGIE</vt:lpstr>
      <vt:lpstr>hlicht1</vt:lpstr>
      <vt:lpstr>hlicht2</vt:lpstr>
      <vt:lpstr>hlicht3</vt:lpstr>
      <vt:lpstr>hlicht4</vt:lpstr>
      <vt:lpstr>Hoehe</vt:lpstr>
      <vt:lpstr>Industrienutzung</vt:lpstr>
      <vt:lpstr>Kanton</vt:lpstr>
      <vt:lpstr>Kategorie1</vt:lpstr>
      <vt:lpstr>Kategorie2</vt:lpstr>
      <vt:lpstr>Kategorie3</vt:lpstr>
      <vt:lpstr>Kategorie4</vt:lpstr>
      <vt:lpstr>Klima</vt:lpstr>
      <vt:lpstr>klima1</vt:lpstr>
      <vt:lpstr>klima2</vt:lpstr>
      <vt:lpstr>klima3</vt:lpstr>
      <vt:lpstr>klima4</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LueftungsWP</vt:lpstr>
      <vt:lpstr>Luftheizung</vt:lpstr>
      <vt:lpstr>Lüftngstyp4</vt:lpstr>
      <vt:lpstr>Lüftung1</vt:lpstr>
      <vt:lpstr>Lüftung2</vt:lpstr>
      <vt:lpstr>Lüftung3</vt:lpstr>
      <vt:lpstr>Lüftung4</vt:lpstr>
      <vt:lpstr>Lüftungstyp1</vt:lpstr>
      <vt:lpstr>Lüftungstyp2</vt:lpstr>
      <vt:lpstr>Lüftungstyp3</vt:lpstr>
      <vt:lpstr>mehr1</vt:lpstr>
      <vt:lpstr>Mehrfachanwendung</vt:lpstr>
      <vt:lpstr>mineco</vt:lpstr>
      <vt:lpstr>MINERGIE_Wert</vt:lpstr>
      <vt:lpstr>minergiea</vt:lpstr>
      <vt:lpstr>minergiep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Schulnutzung</vt:lpstr>
      <vt:lpstr>Standardlüftung</vt:lpstr>
      <vt:lpstr>Standardlüftung1</vt:lpstr>
      <vt:lpstr>Standardlüftung2</vt:lpstr>
      <vt:lpstr>Standardlüftung3</vt:lpstr>
      <vt:lpstr>Standardlüftung4</vt:lpstr>
      <vt:lpstr>StrombedarfE</vt:lpstr>
      <vt:lpstr>Thetaea</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Waermeschutz</vt:lpstr>
      <vt:lpstr>Warmwasser</vt:lpstr>
      <vt:lpstr>WirkungsgradA</vt:lpstr>
      <vt:lpstr>WirkungsgradB</vt:lpstr>
      <vt:lpstr>WirkungsgradC</vt:lpstr>
      <vt:lpstr>WirkungsgradD</vt:lpstr>
      <vt:lpstr>Wochen</vt:lpstr>
      <vt:lpstr>wohnnutzung</vt:lpstr>
      <vt:lpstr>WRG</vt:lpstr>
      <vt:lpstr>WRG0</vt:lpstr>
      <vt:lpstr>WRGtEff1</vt:lpstr>
      <vt:lpstr>WRGtEff2</vt:lpstr>
      <vt:lpstr>WRGtEff3</vt:lpstr>
      <vt:lpstr>WRGtEff4</vt:lpstr>
      <vt:lpstr>WRGtyp1</vt:lpstr>
      <vt:lpstr>WRGtyp2</vt:lpstr>
      <vt:lpstr>WRGtyp3</vt:lpstr>
      <vt:lpstr>WRGtyp4</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Zonen</vt:lpstr>
      <vt:lpstr>Zonen_vollständig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NachweisVers2013it.xlt</dc:title>
  <dc:subject>MINERGIE-Nachweis, italienische Version</dc:subject>
  <dc:creator>Fuchs Daniel</dc:creator>
  <cp:keywords>MINERGIE-Nachweis, Version 2013/Minergie-A, Vers 1a</cp:keywords>
  <dc:description>Version 161, 8.12.2011</dc:description>
  <cp:lastModifiedBy>Christian Stünzi</cp:lastModifiedBy>
  <cp:lastPrinted>2011-03-06T10:05:50Z</cp:lastPrinted>
  <dcterms:created xsi:type="dcterms:W3CDTF">1998-04-16T12:19:12Z</dcterms:created>
  <dcterms:modified xsi:type="dcterms:W3CDTF">2015-11-23T14:42:05Z</dcterms:modified>
</cp:coreProperties>
</file>