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codeName="DieseArbeitsmappe"/>
  <mc:AlternateContent xmlns:mc="http://schemas.openxmlformats.org/markup-compatibility/2006">
    <mc:Choice Requires="x15">
      <x15ac:absPath xmlns:x15ac="http://schemas.microsoft.com/office/spreadsheetml/2010/11/ac" url="P:\1004_MINERGIE-ECO\1004-13_MINERGIE-ECO_Version_2021\0000_12_Berechnungen_Tabellen\"/>
    </mc:Choice>
  </mc:AlternateContent>
  <xr:revisionPtr revIDLastSave="0" documentId="8_{CFE201AE-9EEA-4CD1-BCF3-5381BB859A6C}" xr6:coauthVersionLast="46" xr6:coauthVersionMax="46" xr10:uidLastSave="{00000000-0000-0000-0000-000000000000}"/>
  <workbookProtection workbookAlgorithmName="SHA-512" workbookHashValue="8TbHZa7ILaw8Yiv8w1/+U8JafDa7NGTT+VIoEc8D1KW3chMhyobYKMKZob94df3g4f1s8OmiRmnkvfXAhBJE8A==" workbookSaltValue="DczmO21bRwEGmacBB/gCPw==" workbookSpinCount="100000" lockStructure="1"/>
  <bookViews>
    <workbookView xWindow="-120" yWindow="-120" windowWidth="38640" windowHeight="21240" tabRatio="703" xr2:uid="{00000000-000D-0000-FFFF-FFFF00000000}"/>
  </bookViews>
  <sheets>
    <sheet name="Riassunto" sheetId="12" r:id="rId1"/>
    <sheet name="Calcolo" sheetId="29" r:id="rId2"/>
    <sheet name="Questionario_ammodernamento" sheetId="28" r:id="rId3"/>
    <sheet name="Constants" sheetId="27" state="hidden" r:id="rId4"/>
    <sheet name="Texte" sheetId="31" state="hidden" r:id="rId5"/>
    <sheet name="Bauteile" sheetId="34" state="hidden" r:id="rId6"/>
    <sheet name="Versionierung" sheetId="35" state="hidden" r:id="rId7"/>
  </sheets>
  <definedNames>
    <definedName name="_xlnm._FilterDatabase" localSheetId="5" hidden="1">Bauteile!$H$8:$U$151</definedName>
    <definedName name="Antwort_simp">Questionario_ammodernamento!$A$21</definedName>
    <definedName name="AusmAushub">Calcolo!$U$20</definedName>
    <definedName name="AusmDecke">Calcolo!$U$19</definedName>
    <definedName name="AusmIW">Calcolo!$U$18</definedName>
    <definedName name="AusmSonde">Calcolo!$U$22</definedName>
    <definedName name="AusmTech">Calcolo!$U$21</definedName>
    <definedName name="BauteileNew">Bauteile!$B$9:$B$151</definedName>
    <definedName name="BauteileRen">Bauteile!$B$157:$B$288</definedName>
    <definedName name="Befriedigend">Constants!$C$157</definedName>
    <definedName name="BKPshort">Constants!$B$136:$K$146</definedName>
    <definedName name="BodenUnbeh">Calcolo!$E$7</definedName>
    <definedName name="Cert">Riassunto!$B$11</definedName>
    <definedName name="CmpltElements">Constants!$M$147</definedName>
    <definedName name="CmpltTech">Constants!$E$175</definedName>
    <definedName name="CmpltTextElements">Constants!$N$147</definedName>
    <definedName name="CmpltTextTech">Constants!$F$175</definedName>
    <definedName name="_xlnm.Print_Area" localSheetId="1">Calcolo!$A$1:$M$52</definedName>
    <definedName name="_xlnm.Print_Area" localSheetId="2">Questionario_ammodernamento!$A$1:$E$21</definedName>
    <definedName name="_xlnm.Print_Area" localSheetId="0">Riassunto!$A$1:$E$35</definedName>
    <definedName name="_xlnm.Print_Area" localSheetId="6">Versionierung!$A$1:$D$29</definedName>
    <definedName name="EBF">Calcolo!$E$6</definedName>
    <definedName name="ECO">Constants!$B$21</definedName>
    <definedName name="EcoGW1_M">Calcolo!$U$29</definedName>
    <definedName name="EcoGW1_N">Calcolo!$U$27</definedName>
    <definedName name="EcoGW2_M">Calcolo!$U$30</definedName>
    <definedName name="EcoGW2_N">Calcolo!$U$28</definedName>
    <definedName name="EcoGWTH1_M">Calcolo!$U$33</definedName>
    <definedName name="EcoGWTH1_N">Calcolo!$U$31</definedName>
    <definedName name="EcoGWTH2_M">Calcolo!$U$34</definedName>
    <definedName name="EcoGWTH2_N">Calcolo!$U$32</definedName>
    <definedName name="EffiPfad">Constants!$B$23</definedName>
    <definedName name="EffiPfadGWpe">Calcolo!$U$35</definedName>
    <definedName name="EffiPfadGWth">Calcolo!$U$36</definedName>
    <definedName name="ElNeu">Calcolo!$E$14</definedName>
    <definedName name="EnStandard">Calcolo!$E$5</definedName>
    <definedName name="ErdSonde">Calcolo!$E$11</definedName>
    <definedName name="ErrText">Texte!$B$141</definedName>
    <definedName name="FaktorMEP">Constants!$C$99</definedName>
    <definedName name="FaktorMEP_WE">Constants!$C$100</definedName>
    <definedName name="FaktorPE_TH_ECO_M">Constants!$C$103</definedName>
    <definedName name="FaktorPE_TH_ECO_N">Constants!$C$102</definedName>
    <definedName name="FaktorPE_TH_SNBS">Constants!$C$101</definedName>
    <definedName name="FaktorSondenME">Constants!$C$104</definedName>
    <definedName name="Fehler">Constants!$B$12</definedName>
    <definedName name="GebKat">Riassunto!$B$13</definedName>
    <definedName name="GF">Calcolo!$K$6</definedName>
    <definedName name="GF_UG">Calcolo!$K$7</definedName>
    <definedName name="GT_PE_M">Calcolo!$P$14</definedName>
    <definedName name="GT_TH_M">Calcolo!$T$14</definedName>
    <definedName name="Gut">Constants!$C$156</definedName>
    <definedName name="GWPE1unbeh">Constants!$C$65</definedName>
    <definedName name="GWPE2unbeh">Constants!$C$66</definedName>
    <definedName name="GWPEerdsonde1">Constants!$C$57</definedName>
    <definedName name="GWPEerdsonde2">Constants!$C$58</definedName>
    <definedName name="GWPEpv">Constants!$C$55</definedName>
    <definedName name="GWPEthermie">Constants!$C$56</definedName>
    <definedName name="GWTH1unbeh">Constants!$C$67</definedName>
    <definedName name="GWTH2unbeh">Constants!$C$68</definedName>
    <definedName name="GWTHerdsonde1">Constants!$C$61</definedName>
    <definedName name="GWTHerdsonde2">Constants!$C$62</definedName>
    <definedName name="GWTHpv">Constants!$C$59</definedName>
    <definedName name="GWTHthermie">Constants!$C$60</definedName>
    <definedName name="IWtyp">Calcolo!$K$5</definedName>
    <definedName name="Ja">Constants!$B$9</definedName>
    <definedName name="JaNein">Constants!$B$9:$B$10</definedName>
    <definedName name="LCAdata_New">Bauteile!$H$9:$P$151</definedName>
    <definedName name="LCAdata_Ren">Bauteile!$H$157:$P$288</definedName>
    <definedName name="ListBauteileNew">Bauteile!$B$9:$T$151</definedName>
    <definedName name="ListBauteileRen">Bauteile!$B$157:$T$288</definedName>
    <definedName name="ListBKP">Constants!$B$136:$B$146</definedName>
    <definedName name="ListCert">Constants!$B$21:$B$24</definedName>
    <definedName name="ListEcoKat">Constants!$B$28:$B$38</definedName>
    <definedName name="ListEffiPfadKat">Constants!$B$119:$B$124</definedName>
    <definedName name="ListEnStandard">Constants!$B$18:$B$19</definedName>
    <definedName name="ListGebaeudekat">Texte!$B$113:$B$124</definedName>
    <definedName name="ListIWtyp">Constants!$B$149:$B$151</definedName>
    <definedName name="ListNewElem">Calcolo!$X$21:$X$23</definedName>
    <definedName name="ListProjekttyp">Constants!$B$15:$B$16</definedName>
    <definedName name="ListSNBSkat">Constants!$B$109:$B$111</definedName>
    <definedName name="ListSprache">Texte!$C$4:$F$4</definedName>
    <definedName name="ListWindow">OFFSET(Calcolo!$B$18,,,COUNTIF(Calcolo!$B$18:$B$42,"&gt;"""),)</definedName>
    <definedName name="MatrixBeleuchtung">Constants!$B$28:$E$57</definedName>
    <definedName name="MatrixTexteT1">Texte!$A$5:$B$40</definedName>
    <definedName name="MatrixTexteT2">Texte!$A$44:$B$84</definedName>
    <definedName name="MatrixTexteT4">Texte!$A$88:$B$109</definedName>
    <definedName name="MatrixWindow">Calcolo!$B$18:$T$42</definedName>
    <definedName name="ME">Constants!$B$19</definedName>
    <definedName name="MEP">Constants!$B$18</definedName>
    <definedName name="MEP_New">Bauteile!$Q$9:$Q$151</definedName>
    <definedName name="MEP_Ren">Bauteile!$Q$157:$Q$288</definedName>
    <definedName name="MxBauteilgruppe">Constants!$B$164:$C$174</definedName>
    <definedName name="MxCert">Constants!$B$21:$C$24</definedName>
    <definedName name="MxEcoGWPE_M">Constants!$B$72:$R$82</definedName>
    <definedName name="MxEcoGWPE_N">Constants!$B$28:$D$38</definedName>
    <definedName name="MxEcoGWTH_M">Constants!$B$86:$R$96</definedName>
    <definedName name="MxEcoGWTH_N">Constants!$B$42:$D$52</definedName>
    <definedName name="MxEffiPfad_GWPE">Constants!$B$119:$D$124</definedName>
    <definedName name="MxEffiPfad_GWTH">Constants!$B$127:$D$132</definedName>
    <definedName name="MxIWausmass">Constants!$B$149:$C$151</definedName>
    <definedName name="N_BKP_B">Bauteile!$B$9:$B$17</definedName>
    <definedName name="N_BKP_C1">Bauteile!$B$18:$B$22</definedName>
    <definedName name="N_BKP_C211">Bauteile!$B$23:$B$27</definedName>
    <definedName name="N_BKP_C212">Bauteile!$B$28:$B$51</definedName>
    <definedName name="N_BKP_C22">Bauteile!$B$52:$B$62</definedName>
    <definedName name="N_BKP_C41">Bauteile!$B$63:$B$83</definedName>
    <definedName name="N_BKP_C43">Bauteile!$B$84</definedName>
    <definedName name="N_BKP_C44">Bauteile!$B$85:$B$101</definedName>
    <definedName name="N_BKP_D">Bauteile!$B$102:$B$141</definedName>
    <definedName name="N_BKP_E3">Bauteile!$B$142:$B$147</definedName>
    <definedName name="N_BKP_G">Bauteile!$B$148:$B$151</definedName>
    <definedName name="Nein">Constants!$B$10</definedName>
    <definedName name="NewConstruction">Constants!$B$15</definedName>
    <definedName name="NoStandard">Constants!$B$24</definedName>
    <definedName name="OK">Constants!$B$13</definedName>
    <definedName name="Password">Constants!$B$7</definedName>
    <definedName name="Projektbez">Riassunto!$B$5</definedName>
    <definedName name="PVflaeche">Calcolo!$E$10</definedName>
    <definedName name="QuestComplete">Questionario_ammodernamento!$D$19</definedName>
    <definedName name="R_BKP_B">Bauteile!$B$157:$B$163</definedName>
    <definedName name="R_BKP_C1">Bauteile!$B$164:$B$166</definedName>
    <definedName name="R_BKP_C211">Bauteile!$B$167:$B$168</definedName>
    <definedName name="R_BKP_C212">Bauteile!$B$169:$B$187</definedName>
    <definedName name="R_BKP_C22">Bauteile!$B$188:$B$198</definedName>
    <definedName name="R_BKP_C41">Bauteile!$B$199:$B$224</definedName>
    <definedName name="R_BKP_C43">Bauteile!$B$225</definedName>
    <definedName name="R_BKP_C44">Bauteile!$B$226:$B$238</definedName>
    <definedName name="R_BKP_D">Bauteile!$B$239:$B$278</definedName>
    <definedName name="R_BKP_E3">Bauteile!$B$279:$B$284</definedName>
    <definedName name="R_BKP_G">Bauteile!$B$285:$B$288</definedName>
    <definedName name="Raumhoehe">Calcolo!$E$9</definedName>
    <definedName name="Renovation">Constants!$B$16</definedName>
    <definedName name="ResQuest">Questionario_ammodernamento!$E$19</definedName>
    <definedName name="SanNeu">Calcolo!$K$13</definedName>
    <definedName name="SheetBuildgData">Texte!$B$382</definedName>
    <definedName name="SheetOverview">Texte!$B$381</definedName>
    <definedName name="SheetQuestionaire">Texte!$B$383</definedName>
    <definedName name="SNBS">Constants!$B$22</definedName>
    <definedName name="SNBS_GWPE">Constants!$C$109:$H$111</definedName>
    <definedName name="SNBS_GWTH">Constants!$C$114:$H$116</definedName>
    <definedName name="SNBS_Note">Texte!$B$143</definedName>
    <definedName name="SNBSnoten">Constants!$C$108:$H$108</definedName>
    <definedName name="Sprachwahl">Constants!$B$5</definedName>
    <definedName name="StockwerkeUH">Calcolo!$E$8</definedName>
    <definedName name="StockwerkeUT">Calcolo!$K$8</definedName>
    <definedName name="SumPE">Calcolo!$L$44</definedName>
    <definedName name="SumTHGE">Calcolo!$M$44</definedName>
    <definedName name="TableNames">Texte!$B$381:$B$383</definedName>
    <definedName name="ThermieFlaeche">Calcolo!$K$10</definedName>
    <definedName name="Typ">Riassunto!$B$8</definedName>
    <definedName name="VentNeu">Calcolo!$E$13</definedName>
    <definedName name="Version">Constants!$B$160</definedName>
    <definedName name="WAneu">Calcolo!$K$12</definedName>
    <definedName name="WEneu">Calcolo!$K$11</definedName>
    <definedName name="WVneu">Calcolo!$E$12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3" i="31" l="1"/>
  <c r="C166" i="27" s="1"/>
  <c r="B164" i="31"/>
  <c r="C167" i="27" s="1"/>
  <c r="B165" i="31"/>
  <c r="C168" i="27" s="1"/>
  <c r="B166" i="31"/>
  <c r="C169" i="27" s="1"/>
  <c r="B167" i="31"/>
  <c r="C170" i="27" s="1"/>
  <c r="B168" i="31"/>
  <c r="C171" i="27" s="1"/>
  <c r="B169" i="31"/>
  <c r="C172" i="27" s="1"/>
  <c r="B170" i="31"/>
  <c r="C173" i="27" s="1"/>
  <c r="B171" i="31"/>
  <c r="C174" i="27" s="1"/>
  <c r="B173" i="31"/>
  <c r="B174" i="31"/>
  <c r="B175" i="31"/>
  <c r="B176" i="31"/>
  <c r="B178" i="31"/>
  <c r="B179" i="31"/>
  <c r="B180" i="31"/>
  <c r="B181" i="31"/>
  <c r="J26" i="29"/>
  <c r="J27" i="29"/>
  <c r="J28" i="29"/>
  <c r="J29" i="29"/>
  <c r="J30" i="29"/>
  <c r="J31" i="29"/>
  <c r="J32" i="29"/>
  <c r="J33" i="29"/>
  <c r="J34" i="29"/>
  <c r="J35" i="29"/>
  <c r="J36" i="29"/>
  <c r="J37" i="29"/>
  <c r="J38" i="29"/>
  <c r="J39" i="29"/>
  <c r="J40" i="29"/>
  <c r="J41" i="29"/>
  <c r="J42" i="29"/>
  <c r="C61" i="27"/>
  <c r="F362" i="31"/>
  <c r="E362" i="31"/>
  <c r="D362" i="31"/>
  <c r="C362" i="31"/>
  <c r="F184" i="31"/>
  <c r="E184" i="31"/>
  <c r="D184" i="31"/>
  <c r="C184" i="31"/>
  <c r="W167" i="34"/>
  <c r="W168" i="34"/>
  <c r="W169" i="34"/>
  <c r="W170" i="34"/>
  <c r="W171" i="34"/>
  <c r="W172" i="34"/>
  <c r="W173" i="34"/>
  <c r="W174" i="34"/>
  <c r="W175" i="34"/>
  <c r="W176" i="34"/>
  <c r="W177" i="34"/>
  <c r="W178" i="34"/>
  <c r="W179" i="34"/>
  <c r="W180" i="34"/>
  <c r="W181" i="34"/>
  <c r="W182" i="34"/>
  <c r="W183" i="34"/>
  <c r="W184" i="34"/>
  <c r="W185" i="34"/>
  <c r="W186" i="34"/>
  <c r="W187" i="34"/>
  <c r="W188" i="34"/>
  <c r="W189" i="34"/>
  <c r="W190" i="34"/>
  <c r="W191" i="34"/>
  <c r="W192" i="34"/>
  <c r="W193" i="34"/>
  <c r="W194" i="34"/>
  <c r="W195" i="34"/>
  <c r="W196" i="34"/>
  <c r="W197" i="34"/>
  <c r="W198" i="34"/>
  <c r="W199" i="34"/>
  <c r="W200" i="34"/>
  <c r="W201" i="34"/>
  <c r="W202" i="34"/>
  <c r="W203" i="34"/>
  <c r="W204" i="34"/>
  <c r="W205" i="34"/>
  <c r="W206" i="34"/>
  <c r="W207" i="34"/>
  <c r="W208" i="34"/>
  <c r="W209" i="34"/>
  <c r="W210" i="34"/>
  <c r="W211" i="34"/>
  <c r="W212" i="34"/>
  <c r="W213" i="34"/>
  <c r="W214" i="34"/>
  <c r="W215" i="34"/>
  <c r="W216" i="34"/>
  <c r="W217" i="34"/>
  <c r="W218" i="34"/>
  <c r="W219" i="34"/>
  <c r="W220" i="34"/>
  <c r="W221" i="34"/>
  <c r="W222" i="34"/>
  <c r="W223" i="34"/>
  <c r="W224" i="34"/>
  <c r="W225" i="34"/>
  <c r="W226" i="34"/>
  <c r="W227" i="34"/>
  <c r="W228" i="34"/>
  <c r="W229" i="34"/>
  <c r="W230" i="34"/>
  <c r="W231" i="34"/>
  <c r="W232" i="34"/>
  <c r="W233" i="34"/>
  <c r="W234" i="34"/>
  <c r="W235" i="34"/>
  <c r="W236" i="34"/>
  <c r="W237" i="34"/>
  <c r="W238" i="34"/>
  <c r="W239" i="34"/>
  <c r="W240" i="34"/>
  <c r="W241" i="34"/>
  <c r="W242" i="34"/>
  <c r="W243" i="34"/>
  <c r="W244" i="34"/>
  <c r="W245" i="34"/>
  <c r="W246" i="34"/>
  <c r="W247" i="34"/>
  <c r="W248" i="34"/>
  <c r="W249" i="34"/>
  <c r="W250" i="34"/>
  <c r="W251" i="34"/>
  <c r="W252" i="34"/>
  <c r="W253" i="34"/>
  <c r="W254" i="34"/>
  <c r="W255" i="34"/>
  <c r="W256" i="34"/>
  <c r="W257" i="34"/>
  <c r="W258" i="34"/>
  <c r="W259" i="34"/>
  <c r="W260" i="34"/>
  <c r="W261" i="34"/>
  <c r="W262" i="34"/>
  <c r="W263" i="34"/>
  <c r="W264" i="34"/>
  <c r="W265" i="34"/>
  <c r="W266" i="34"/>
  <c r="W267" i="34"/>
  <c r="W268" i="34"/>
  <c r="W269" i="34"/>
  <c r="W270" i="34"/>
  <c r="W271" i="34"/>
  <c r="W272" i="34"/>
  <c r="W273" i="34"/>
  <c r="W274" i="34"/>
  <c r="W275" i="34"/>
  <c r="W276" i="34"/>
  <c r="W277" i="34"/>
  <c r="W278" i="34"/>
  <c r="W279" i="34"/>
  <c r="W280" i="34"/>
  <c r="W281" i="34"/>
  <c r="W282" i="34"/>
  <c r="W283" i="34"/>
  <c r="W284" i="34"/>
  <c r="W285" i="34"/>
  <c r="W286" i="34"/>
  <c r="W287" i="34"/>
  <c r="W288" i="34"/>
  <c r="W164" i="34"/>
  <c r="W165" i="34"/>
  <c r="W166" i="34"/>
  <c r="W158" i="34"/>
  <c r="W159" i="34"/>
  <c r="W160" i="34"/>
  <c r="W161" i="34"/>
  <c r="W162" i="34"/>
  <c r="W163" i="34"/>
  <c r="W157" i="34"/>
  <c r="Y158" i="34"/>
  <c r="Z158" i="34" s="1"/>
  <c r="Y159" i="34"/>
  <c r="Y160" i="34"/>
  <c r="Z160" i="34" s="1"/>
  <c r="Y161" i="34"/>
  <c r="Y162" i="34"/>
  <c r="Y163" i="34"/>
  <c r="Z163" i="34" s="1"/>
  <c r="Y164" i="34"/>
  <c r="Z164" i="34" s="1"/>
  <c r="Y165" i="34"/>
  <c r="Z165" i="34" s="1"/>
  <c r="Y166" i="34"/>
  <c r="Z166" i="34" s="1"/>
  <c r="Y167" i="34"/>
  <c r="Z167" i="34" s="1"/>
  <c r="Y168" i="34"/>
  <c r="Z168" i="34" s="1"/>
  <c r="Y169" i="34"/>
  <c r="Z169" i="34" s="1"/>
  <c r="Y170" i="34"/>
  <c r="Z170" i="34" s="1"/>
  <c r="Y171" i="34"/>
  <c r="Y172" i="34"/>
  <c r="Z172" i="34" s="1"/>
  <c r="Y173" i="34"/>
  <c r="Z173" i="34" s="1"/>
  <c r="Y174" i="34"/>
  <c r="Z174" i="34" s="1"/>
  <c r="Y175" i="34"/>
  <c r="Z175" i="34" s="1"/>
  <c r="Y176" i="34"/>
  <c r="Z176" i="34" s="1"/>
  <c r="Y177" i="34"/>
  <c r="Z177" i="34" s="1"/>
  <c r="Y178" i="34"/>
  <c r="Z178" i="34" s="1"/>
  <c r="Y179" i="34"/>
  <c r="Z179" i="34" s="1"/>
  <c r="Y180" i="34"/>
  <c r="Z180" i="34" s="1"/>
  <c r="Y181" i="34"/>
  <c r="Z181" i="34" s="1"/>
  <c r="Y182" i="34"/>
  <c r="Z182" i="34" s="1"/>
  <c r="Y183" i="34"/>
  <c r="Z183" i="34" s="1"/>
  <c r="Y184" i="34"/>
  <c r="Z184" i="34" s="1"/>
  <c r="Y185" i="34"/>
  <c r="Z185" i="34" s="1"/>
  <c r="Y186" i="34"/>
  <c r="Z186" i="34" s="1"/>
  <c r="Y187" i="34"/>
  <c r="Z187" i="34" s="1"/>
  <c r="Y188" i="34"/>
  <c r="Z188" i="34" s="1"/>
  <c r="Y189" i="34"/>
  <c r="Z189" i="34" s="1"/>
  <c r="Y190" i="34"/>
  <c r="Z190" i="34" s="1"/>
  <c r="Y191" i="34"/>
  <c r="Z191" i="34" s="1"/>
  <c r="Y192" i="34"/>
  <c r="Z192" i="34" s="1"/>
  <c r="Y193" i="34"/>
  <c r="Z193" i="34" s="1"/>
  <c r="Y194" i="34"/>
  <c r="Z194" i="34" s="1"/>
  <c r="Y195" i="34"/>
  <c r="Y196" i="34"/>
  <c r="Z196" i="34" s="1"/>
  <c r="Y197" i="34"/>
  <c r="Z197" i="34" s="1"/>
  <c r="Y198" i="34"/>
  <c r="Z198" i="34" s="1"/>
  <c r="Y199" i="34"/>
  <c r="Z199" i="34" s="1"/>
  <c r="Y200" i="34"/>
  <c r="Z200" i="34" s="1"/>
  <c r="Y201" i="34"/>
  <c r="Z201" i="34" s="1"/>
  <c r="Y202" i="34"/>
  <c r="Z202" i="34" s="1"/>
  <c r="Y203" i="34"/>
  <c r="Y204" i="34"/>
  <c r="Z204" i="34" s="1"/>
  <c r="Y205" i="34"/>
  <c r="Z205" i="34" s="1"/>
  <c r="Y206" i="34"/>
  <c r="Z206" i="34" s="1"/>
  <c r="Y207" i="34"/>
  <c r="Z207" i="34" s="1"/>
  <c r="Y208" i="34"/>
  <c r="Z208" i="34" s="1"/>
  <c r="Y209" i="34"/>
  <c r="Z209" i="34" s="1"/>
  <c r="Y210" i="34"/>
  <c r="Z210" i="34" s="1"/>
  <c r="Y211" i="34"/>
  <c r="Y212" i="34"/>
  <c r="Z212" i="34" s="1"/>
  <c r="Y213" i="34"/>
  <c r="Z213" i="34" s="1"/>
  <c r="Y214" i="34"/>
  <c r="Z214" i="34" s="1"/>
  <c r="Y215" i="34"/>
  <c r="Z215" i="34" s="1"/>
  <c r="Y216" i="34"/>
  <c r="Z216" i="34" s="1"/>
  <c r="Y217" i="34"/>
  <c r="Z217" i="34" s="1"/>
  <c r="Y218" i="34"/>
  <c r="Z218" i="34" s="1"/>
  <c r="Y219" i="34"/>
  <c r="Y220" i="34"/>
  <c r="Z220" i="34" s="1"/>
  <c r="Y221" i="34"/>
  <c r="Z221" i="34" s="1"/>
  <c r="Y222" i="34"/>
  <c r="Z222" i="34" s="1"/>
  <c r="Y223" i="34"/>
  <c r="Z223" i="34" s="1"/>
  <c r="Y224" i="34"/>
  <c r="Z224" i="34" s="1"/>
  <c r="Y225" i="34"/>
  <c r="Z225" i="34" s="1"/>
  <c r="Y226" i="34"/>
  <c r="Z226" i="34" s="1"/>
  <c r="Y227" i="34"/>
  <c r="Y228" i="34"/>
  <c r="Z228" i="34" s="1"/>
  <c r="Y229" i="34"/>
  <c r="Z229" i="34" s="1"/>
  <c r="Y230" i="34"/>
  <c r="Z230" i="34" s="1"/>
  <c r="Y231" i="34"/>
  <c r="Z231" i="34" s="1"/>
  <c r="Y232" i="34"/>
  <c r="Z232" i="34" s="1"/>
  <c r="Y233" i="34"/>
  <c r="Z233" i="34" s="1"/>
  <c r="Y234" i="34"/>
  <c r="Z234" i="34" s="1"/>
  <c r="Y235" i="34"/>
  <c r="Z235" i="34" s="1"/>
  <c r="Y236" i="34"/>
  <c r="Z236" i="34" s="1"/>
  <c r="Y237" i="34"/>
  <c r="Z237" i="34" s="1"/>
  <c r="Y238" i="34"/>
  <c r="Z238" i="34" s="1"/>
  <c r="Y239" i="34"/>
  <c r="Z239" i="34" s="1"/>
  <c r="Y240" i="34"/>
  <c r="Z240" i="34" s="1"/>
  <c r="Y241" i="34"/>
  <c r="Z241" i="34" s="1"/>
  <c r="Y242" i="34"/>
  <c r="Z242" i="34" s="1"/>
  <c r="Y243" i="34"/>
  <c r="Y244" i="34"/>
  <c r="Z244" i="34" s="1"/>
  <c r="Y245" i="34"/>
  <c r="Z245" i="34" s="1"/>
  <c r="Y246" i="34"/>
  <c r="Z246" i="34" s="1"/>
  <c r="Y247" i="34"/>
  <c r="Z247" i="34" s="1"/>
  <c r="Y248" i="34"/>
  <c r="Z248" i="34" s="1"/>
  <c r="Y249" i="34"/>
  <c r="Z249" i="34" s="1"/>
  <c r="Y250" i="34"/>
  <c r="Z250" i="34" s="1"/>
  <c r="Y251" i="34"/>
  <c r="Y252" i="34"/>
  <c r="Z252" i="34" s="1"/>
  <c r="Y253" i="34"/>
  <c r="Z253" i="34" s="1"/>
  <c r="Y254" i="34"/>
  <c r="Z254" i="34" s="1"/>
  <c r="Y255" i="34"/>
  <c r="Z255" i="34" s="1"/>
  <c r="Y256" i="34"/>
  <c r="Z256" i="34" s="1"/>
  <c r="Y257" i="34"/>
  <c r="Z257" i="34" s="1"/>
  <c r="Y258" i="34"/>
  <c r="Z258" i="34" s="1"/>
  <c r="Y259" i="34"/>
  <c r="Y260" i="34"/>
  <c r="Z260" i="34" s="1"/>
  <c r="Y261" i="34"/>
  <c r="Z261" i="34" s="1"/>
  <c r="Y262" i="34"/>
  <c r="Z262" i="34" s="1"/>
  <c r="Y263" i="34"/>
  <c r="Z263" i="34" s="1"/>
  <c r="Y264" i="34"/>
  <c r="Z264" i="34" s="1"/>
  <c r="Y265" i="34"/>
  <c r="Z265" i="34" s="1"/>
  <c r="Y266" i="34"/>
  <c r="Z266" i="34" s="1"/>
  <c r="Y267" i="34"/>
  <c r="Y268" i="34"/>
  <c r="Z268" i="34" s="1"/>
  <c r="Y269" i="34"/>
  <c r="Z269" i="34" s="1"/>
  <c r="Y270" i="34"/>
  <c r="Z270" i="34" s="1"/>
  <c r="Y271" i="34"/>
  <c r="Z271" i="34" s="1"/>
  <c r="Y272" i="34"/>
  <c r="Z272" i="34" s="1"/>
  <c r="Y273" i="34"/>
  <c r="Z273" i="34" s="1"/>
  <c r="Y274" i="34"/>
  <c r="Z274" i="34" s="1"/>
  <c r="Y275" i="34"/>
  <c r="Y276" i="34"/>
  <c r="Z276" i="34" s="1"/>
  <c r="Y277" i="34"/>
  <c r="Z277" i="34" s="1"/>
  <c r="Y278" i="34"/>
  <c r="Z278" i="34" s="1"/>
  <c r="Y279" i="34"/>
  <c r="Z279" i="34" s="1"/>
  <c r="Y280" i="34"/>
  <c r="Z280" i="34" s="1"/>
  <c r="Y281" i="34"/>
  <c r="Z281" i="34" s="1"/>
  <c r="Y282" i="34"/>
  <c r="Z282" i="34" s="1"/>
  <c r="Y283" i="34"/>
  <c r="Y284" i="34"/>
  <c r="Z284" i="34" s="1"/>
  <c r="Y285" i="34"/>
  <c r="Z285" i="34" s="1"/>
  <c r="Y286" i="34"/>
  <c r="Z286" i="34" s="1"/>
  <c r="Y287" i="34"/>
  <c r="Z287" i="34" s="1"/>
  <c r="Y288" i="34"/>
  <c r="Z288" i="34" s="1"/>
  <c r="Y157" i="34"/>
  <c r="Z157" i="34" s="1"/>
  <c r="Y9" i="34"/>
  <c r="Z9" i="34"/>
  <c r="Y10" i="34"/>
  <c r="Z10" i="34"/>
  <c r="Y11" i="34"/>
  <c r="Z11" i="34"/>
  <c r="Y12" i="34"/>
  <c r="Z12" i="34"/>
  <c r="Y13" i="34"/>
  <c r="Z13" i="34"/>
  <c r="Y14" i="34"/>
  <c r="Z14" i="34"/>
  <c r="Y15" i="34"/>
  <c r="Z15" i="34"/>
  <c r="Y16" i="34"/>
  <c r="Z16" i="34"/>
  <c r="Y17" i="34"/>
  <c r="Z17" i="34"/>
  <c r="Y18" i="34"/>
  <c r="Z18" i="34"/>
  <c r="Y19" i="34"/>
  <c r="Z19" i="34"/>
  <c r="Y20" i="34"/>
  <c r="Z20" i="34"/>
  <c r="Y21" i="34"/>
  <c r="Z21" i="34"/>
  <c r="Y22" i="34"/>
  <c r="Z22" i="34"/>
  <c r="Y23" i="34"/>
  <c r="Z23" i="34"/>
  <c r="Y24" i="34"/>
  <c r="Z24" i="34"/>
  <c r="Y25" i="34"/>
  <c r="Z25" i="34"/>
  <c r="Y26" i="34"/>
  <c r="Z26" i="34"/>
  <c r="Y27" i="34"/>
  <c r="Z27" i="34"/>
  <c r="Y28" i="34"/>
  <c r="Z28" i="34"/>
  <c r="Y29" i="34"/>
  <c r="Z29" i="34"/>
  <c r="Y30" i="34"/>
  <c r="Z30" i="34"/>
  <c r="Y31" i="34"/>
  <c r="Z31" i="34"/>
  <c r="Y32" i="34"/>
  <c r="Z32" i="34"/>
  <c r="Y33" i="34"/>
  <c r="Z33" i="34"/>
  <c r="Y34" i="34"/>
  <c r="Z34" i="34"/>
  <c r="Y35" i="34"/>
  <c r="Z35" i="34"/>
  <c r="Y36" i="34"/>
  <c r="Z36" i="34"/>
  <c r="Y37" i="34"/>
  <c r="Z37" i="34"/>
  <c r="Y38" i="34"/>
  <c r="Z38" i="34"/>
  <c r="Y39" i="34"/>
  <c r="Z39" i="34"/>
  <c r="Y40" i="34"/>
  <c r="Z40" i="34"/>
  <c r="Y41" i="34"/>
  <c r="Z41" i="34"/>
  <c r="Y42" i="34"/>
  <c r="Z42" i="34"/>
  <c r="Y43" i="34"/>
  <c r="Z43" i="34"/>
  <c r="Y44" i="34"/>
  <c r="Z44" i="34"/>
  <c r="Y45" i="34"/>
  <c r="Z45" i="34"/>
  <c r="Y46" i="34"/>
  <c r="Z46" i="34"/>
  <c r="Y47" i="34"/>
  <c r="Z47" i="34"/>
  <c r="Y48" i="34"/>
  <c r="Z48" i="34"/>
  <c r="Y49" i="34"/>
  <c r="Z49" i="34"/>
  <c r="Y50" i="34"/>
  <c r="Z50" i="34"/>
  <c r="Y51" i="34"/>
  <c r="Z51" i="34"/>
  <c r="Y52" i="34"/>
  <c r="Z52" i="34"/>
  <c r="Y53" i="34"/>
  <c r="Z53" i="34"/>
  <c r="Y54" i="34"/>
  <c r="Z54" i="34"/>
  <c r="Y55" i="34"/>
  <c r="Z55" i="34"/>
  <c r="Y56" i="34"/>
  <c r="Z56" i="34"/>
  <c r="Y57" i="34"/>
  <c r="Z57" i="34"/>
  <c r="Y58" i="34"/>
  <c r="Z58" i="34"/>
  <c r="Y59" i="34"/>
  <c r="Z59" i="34"/>
  <c r="Y60" i="34"/>
  <c r="Z60" i="34"/>
  <c r="Y61" i="34"/>
  <c r="Z61" i="34"/>
  <c r="Y62" i="34"/>
  <c r="Z62" i="34"/>
  <c r="Y63" i="34"/>
  <c r="Z63" i="34"/>
  <c r="Y64" i="34"/>
  <c r="Z64" i="34"/>
  <c r="Y65" i="34"/>
  <c r="Z65" i="34"/>
  <c r="Y66" i="34"/>
  <c r="Z66" i="34"/>
  <c r="Y67" i="34"/>
  <c r="Z67" i="34"/>
  <c r="Y68" i="34"/>
  <c r="Z68" i="34"/>
  <c r="Y69" i="34"/>
  <c r="Z69" i="34"/>
  <c r="Y70" i="34"/>
  <c r="Z70" i="34"/>
  <c r="Y71" i="34"/>
  <c r="Z71" i="34"/>
  <c r="Y72" i="34"/>
  <c r="Z72" i="34"/>
  <c r="Y73" i="34"/>
  <c r="Z73" i="34"/>
  <c r="Y74" i="34"/>
  <c r="Z74" i="34"/>
  <c r="Y75" i="34"/>
  <c r="Z75" i="34"/>
  <c r="Y76" i="34"/>
  <c r="Z76" i="34"/>
  <c r="Y77" i="34"/>
  <c r="Z77" i="34"/>
  <c r="Y78" i="34"/>
  <c r="Z78" i="34"/>
  <c r="Y79" i="34"/>
  <c r="Z79" i="34"/>
  <c r="Y80" i="34"/>
  <c r="Z80" i="34"/>
  <c r="Y81" i="34"/>
  <c r="Z81" i="34"/>
  <c r="Y82" i="34"/>
  <c r="Z82" i="34"/>
  <c r="Y83" i="34"/>
  <c r="Z83" i="34"/>
  <c r="Y84" i="34"/>
  <c r="Z84" i="34"/>
  <c r="Y85" i="34"/>
  <c r="Z85" i="34"/>
  <c r="AD85" i="34"/>
  <c r="Y86" i="34"/>
  <c r="Z86" i="34"/>
  <c r="AD86" i="34"/>
  <c r="Y87" i="34"/>
  <c r="Z87" i="34"/>
  <c r="Y88" i="34"/>
  <c r="Z88" i="34"/>
  <c r="Y89" i="34"/>
  <c r="Z89" i="34"/>
  <c r="Y90" i="34"/>
  <c r="Z90" i="34"/>
  <c r="Y91" i="34"/>
  <c r="Z91" i="34"/>
  <c r="Y92" i="34"/>
  <c r="Z92" i="34"/>
  <c r="Y93" i="34"/>
  <c r="Z93" i="34"/>
  <c r="Y94" i="34"/>
  <c r="Z94" i="34"/>
  <c r="Y95" i="34"/>
  <c r="Z95" i="34"/>
  <c r="Y96" i="34"/>
  <c r="Z96" i="34"/>
  <c r="AD96" i="34"/>
  <c r="Y97" i="34"/>
  <c r="Z97" i="34"/>
  <c r="Y98" i="34"/>
  <c r="Z98" i="34"/>
  <c r="Y99" i="34"/>
  <c r="Z99" i="34"/>
  <c r="AD99" i="34"/>
  <c r="Y100" i="34"/>
  <c r="Z100" i="34"/>
  <c r="Y101" i="34"/>
  <c r="Z101" i="34"/>
  <c r="Y102" i="34"/>
  <c r="Z102" i="34"/>
  <c r="Y103" i="34"/>
  <c r="Z103" i="34"/>
  <c r="Y104" i="34"/>
  <c r="Z104" i="34"/>
  <c r="Y105" i="34"/>
  <c r="Z105" i="34"/>
  <c r="Y106" i="34"/>
  <c r="Z106" i="34"/>
  <c r="Y107" i="34"/>
  <c r="Z107" i="34"/>
  <c r="Y108" i="34"/>
  <c r="Z108" i="34"/>
  <c r="Y109" i="34"/>
  <c r="Z109" i="34"/>
  <c r="Y110" i="34"/>
  <c r="Z110" i="34"/>
  <c r="Y111" i="34"/>
  <c r="Z111" i="34"/>
  <c r="Y112" i="34"/>
  <c r="Z112" i="34"/>
  <c r="Y113" i="34"/>
  <c r="Z113" i="34"/>
  <c r="Y114" i="34"/>
  <c r="Z114" i="34"/>
  <c r="Y115" i="34"/>
  <c r="Z115" i="34"/>
  <c r="Y116" i="34"/>
  <c r="Z116" i="34"/>
  <c r="Y117" i="34"/>
  <c r="Z117" i="34"/>
  <c r="Y118" i="34"/>
  <c r="Z118" i="34"/>
  <c r="Y119" i="34"/>
  <c r="Z119" i="34"/>
  <c r="Y120" i="34"/>
  <c r="Z120" i="34"/>
  <c r="Y121" i="34"/>
  <c r="Z121" i="34"/>
  <c r="Y122" i="34"/>
  <c r="Z122" i="34"/>
  <c r="Y123" i="34"/>
  <c r="Z123" i="34"/>
  <c r="Y124" i="34"/>
  <c r="Z124" i="34"/>
  <c r="Y125" i="34"/>
  <c r="Z125" i="34"/>
  <c r="Y126" i="34"/>
  <c r="Z126" i="34"/>
  <c r="Y127" i="34"/>
  <c r="Z127" i="34"/>
  <c r="Y128" i="34"/>
  <c r="Z128" i="34"/>
  <c r="Y129" i="34"/>
  <c r="Z129" i="34"/>
  <c r="Y130" i="34"/>
  <c r="Z130" i="34"/>
  <c r="Y131" i="34"/>
  <c r="Z131" i="34"/>
  <c r="Y132" i="34"/>
  <c r="Z132" i="34"/>
  <c r="Y133" i="34"/>
  <c r="Z133" i="34"/>
  <c r="Y134" i="34"/>
  <c r="Z134" i="34"/>
  <c r="Y135" i="34"/>
  <c r="Z135" i="34"/>
  <c r="Y136" i="34"/>
  <c r="Z136" i="34"/>
  <c r="Y137" i="34"/>
  <c r="Z137" i="34"/>
  <c r="Y138" i="34"/>
  <c r="Z138" i="34"/>
  <c r="Y139" i="34"/>
  <c r="Z139" i="34"/>
  <c r="Y140" i="34"/>
  <c r="Z140" i="34"/>
  <c r="Y141" i="34"/>
  <c r="Z141" i="34"/>
  <c r="Y142" i="34"/>
  <c r="Z142" i="34"/>
  <c r="Y143" i="34"/>
  <c r="Z143" i="34"/>
  <c r="Y144" i="34"/>
  <c r="Z144" i="34"/>
  <c r="Y145" i="34"/>
  <c r="Z145" i="34"/>
  <c r="Y146" i="34"/>
  <c r="Z146" i="34"/>
  <c r="Y147" i="34"/>
  <c r="Z147" i="34"/>
  <c r="Y148" i="34"/>
  <c r="Z148" i="34"/>
  <c r="Y149" i="34"/>
  <c r="Z149" i="34"/>
  <c r="Y150" i="34"/>
  <c r="Z150" i="34"/>
  <c r="Y151" i="34"/>
  <c r="Z151" i="34"/>
  <c r="B186" i="31"/>
  <c r="B187" i="31"/>
  <c r="B188" i="31"/>
  <c r="B189" i="31"/>
  <c r="B190" i="31"/>
  <c r="B191" i="31"/>
  <c r="B192" i="31"/>
  <c r="B193" i="31"/>
  <c r="B194" i="31"/>
  <c r="B195" i="31"/>
  <c r="B196" i="31"/>
  <c r="B197" i="31"/>
  <c r="B198" i="31"/>
  <c r="B199" i="31"/>
  <c r="B200" i="31"/>
  <c r="B201" i="31"/>
  <c r="B202" i="31"/>
  <c r="B203" i="31"/>
  <c r="B204" i="31"/>
  <c r="B205" i="31"/>
  <c r="B206" i="31"/>
  <c r="B207" i="31"/>
  <c r="B208" i="31"/>
  <c r="B209" i="31"/>
  <c r="B210" i="31"/>
  <c r="B211" i="31"/>
  <c r="B212" i="31"/>
  <c r="B213" i="31"/>
  <c r="B214" i="31"/>
  <c r="B215" i="31"/>
  <c r="B216" i="31"/>
  <c r="B217" i="31"/>
  <c r="B218" i="31"/>
  <c r="B219" i="31"/>
  <c r="B220" i="31"/>
  <c r="B221" i="31"/>
  <c r="B222" i="31"/>
  <c r="B223" i="31"/>
  <c r="B224" i="31"/>
  <c r="B225" i="31"/>
  <c r="B226" i="31"/>
  <c r="B227" i="31"/>
  <c r="B228" i="31"/>
  <c r="B229" i="31"/>
  <c r="B230" i="31"/>
  <c r="B231" i="31"/>
  <c r="B232" i="31"/>
  <c r="B233" i="31"/>
  <c r="B234" i="31"/>
  <c r="B235" i="31"/>
  <c r="B236" i="31"/>
  <c r="B237" i="31"/>
  <c r="B238" i="31"/>
  <c r="B239" i="31"/>
  <c r="B240" i="31"/>
  <c r="B241" i="31"/>
  <c r="B242" i="31"/>
  <c r="B243" i="31"/>
  <c r="B244" i="31"/>
  <c r="B245" i="31"/>
  <c r="B246" i="31"/>
  <c r="B247" i="31"/>
  <c r="B248" i="31"/>
  <c r="B249" i="31"/>
  <c r="B250" i="31"/>
  <c r="B251" i="31"/>
  <c r="B252" i="31"/>
  <c r="B253" i="31"/>
  <c r="B254" i="31"/>
  <c r="B255" i="31"/>
  <c r="B256" i="31"/>
  <c r="B257" i="31"/>
  <c r="B258" i="31"/>
  <c r="B259" i="31"/>
  <c r="B260" i="31"/>
  <c r="B261" i="31"/>
  <c r="B262" i="31"/>
  <c r="B263" i="31"/>
  <c r="B264" i="31"/>
  <c r="B265" i="31"/>
  <c r="B279" i="34" s="1"/>
  <c r="B266" i="31"/>
  <c r="B280" i="34" s="1"/>
  <c r="B267" i="31"/>
  <c r="B281" i="34" s="1"/>
  <c r="B268" i="31"/>
  <c r="B282" i="34" s="1"/>
  <c r="B269" i="31"/>
  <c r="B283" i="34" s="1"/>
  <c r="B270" i="31"/>
  <c r="B271" i="31"/>
  <c r="B272" i="31"/>
  <c r="B273" i="31"/>
  <c r="B274" i="31"/>
  <c r="B161" i="34" s="1"/>
  <c r="B275" i="31"/>
  <c r="B162" i="34" s="1"/>
  <c r="B276" i="31"/>
  <c r="B163" i="34" s="1"/>
  <c r="B277" i="31"/>
  <c r="B166" i="34" s="1"/>
  <c r="B278" i="31"/>
  <c r="B165" i="34" s="1"/>
  <c r="B279" i="31"/>
  <c r="B168" i="34" s="1"/>
  <c r="B280" i="31"/>
  <c r="B167" i="34" s="1"/>
  <c r="B281" i="31"/>
  <c r="B282" i="31"/>
  <c r="B283" i="31"/>
  <c r="B284" i="31"/>
  <c r="B36" i="34" s="1"/>
  <c r="B179" i="34" s="1"/>
  <c r="B285" i="31"/>
  <c r="B37" i="34" s="1"/>
  <c r="B180" i="34" s="1"/>
  <c r="B286" i="31"/>
  <c r="B38" i="34" s="1"/>
  <c r="B181" i="34" s="1"/>
  <c r="B287" i="31"/>
  <c r="B288" i="31"/>
  <c r="B31" i="34" s="1"/>
  <c r="B174" i="34" s="1"/>
  <c r="B289" i="31"/>
  <c r="B32" i="34" s="1"/>
  <c r="B175" i="34" s="1"/>
  <c r="B290" i="31"/>
  <c r="B33" i="34" s="1"/>
  <c r="B176" i="34" s="1"/>
  <c r="B291" i="31"/>
  <c r="B34" i="34" s="1"/>
  <c r="B177" i="34" s="1"/>
  <c r="B292" i="31"/>
  <c r="B41" i="34" s="1"/>
  <c r="B293" i="31"/>
  <c r="B42" i="34" s="1"/>
  <c r="B294" i="31"/>
  <c r="B43" i="34" s="1"/>
  <c r="B295" i="31"/>
  <c r="B39" i="34" s="1"/>
  <c r="B296" i="31"/>
  <c r="B40" i="34" s="1"/>
  <c r="B297" i="31"/>
  <c r="B44" i="34" s="1"/>
  <c r="B298" i="31"/>
  <c r="B284" i="34" s="1"/>
  <c r="B299" i="31"/>
  <c r="B300" i="31"/>
  <c r="B301" i="31"/>
  <c r="B302" i="31"/>
  <c r="B303" i="31"/>
  <c r="B304" i="31"/>
  <c r="B198" i="34" s="1"/>
  <c r="B305" i="31"/>
  <c r="B197" i="34" s="1"/>
  <c r="B306" i="31"/>
  <c r="B222" i="34" s="1"/>
  <c r="B307" i="31"/>
  <c r="B224" i="34" s="1"/>
  <c r="B308" i="31"/>
  <c r="B223" i="34" s="1"/>
  <c r="B309" i="31"/>
  <c r="B287" i="34" s="1"/>
  <c r="B310" i="31"/>
  <c r="B288" i="34" s="1"/>
  <c r="B311" i="31"/>
  <c r="B286" i="34" s="1"/>
  <c r="B312" i="31"/>
  <c r="B285" i="34" s="1"/>
  <c r="B313" i="31"/>
  <c r="B225" i="34" s="1"/>
  <c r="B314" i="31"/>
  <c r="B268" i="34" s="1"/>
  <c r="B315" i="31"/>
  <c r="B267" i="34" s="1"/>
  <c r="B316" i="31"/>
  <c r="B275" i="34" s="1"/>
  <c r="B317" i="31"/>
  <c r="B276" i="34" s="1"/>
  <c r="B318" i="31"/>
  <c r="B278" i="34" s="1"/>
  <c r="B319" i="31"/>
  <c r="B277" i="34" s="1"/>
  <c r="B320" i="31"/>
  <c r="B269" i="34" s="1"/>
  <c r="B321" i="31"/>
  <c r="B274" i="34" s="1"/>
  <c r="B322" i="31"/>
  <c r="B266" i="34" s="1"/>
  <c r="B323" i="31"/>
  <c r="B271" i="34" s="1"/>
  <c r="B324" i="31"/>
  <c r="B270" i="34" s="1"/>
  <c r="B325" i="31"/>
  <c r="B273" i="34" s="1"/>
  <c r="B326" i="31"/>
  <c r="B272" i="34" s="1"/>
  <c r="B327" i="31"/>
  <c r="B185" i="31"/>
  <c r="E235" i="34"/>
  <c r="F235" i="34"/>
  <c r="G235" i="34"/>
  <c r="H235" i="34"/>
  <c r="I235" i="34"/>
  <c r="J235" i="34"/>
  <c r="K235" i="34"/>
  <c r="L235" i="34"/>
  <c r="M235" i="34"/>
  <c r="N235" i="34"/>
  <c r="O235" i="34"/>
  <c r="P235" i="34"/>
  <c r="Q235" i="34"/>
  <c r="E236" i="34"/>
  <c r="F236" i="34"/>
  <c r="G236" i="34"/>
  <c r="H236" i="34"/>
  <c r="I236" i="34"/>
  <c r="J236" i="34"/>
  <c r="K236" i="34"/>
  <c r="L236" i="34"/>
  <c r="M236" i="34"/>
  <c r="N236" i="34"/>
  <c r="O236" i="34"/>
  <c r="P236" i="34"/>
  <c r="Q236" i="34"/>
  <c r="E237" i="34"/>
  <c r="F237" i="34"/>
  <c r="G237" i="34"/>
  <c r="H237" i="34"/>
  <c r="I237" i="34"/>
  <c r="J237" i="34"/>
  <c r="K237" i="34"/>
  <c r="L237" i="34"/>
  <c r="M237" i="34"/>
  <c r="N237" i="34"/>
  <c r="O237" i="34"/>
  <c r="P237" i="34"/>
  <c r="Q237" i="34"/>
  <c r="E238" i="34"/>
  <c r="F238" i="34"/>
  <c r="G238" i="34"/>
  <c r="H238" i="34"/>
  <c r="I238" i="34"/>
  <c r="J238" i="34"/>
  <c r="K238" i="34"/>
  <c r="L238" i="34"/>
  <c r="M238" i="34"/>
  <c r="N238" i="34"/>
  <c r="O238" i="34"/>
  <c r="P238" i="34"/>
  <c r="Q238" i="34"/>
  <c r="E231" i="34"/>
  <c r="F231" i="34"/>
  <c r="G231" i="34"/>
  <c r="H231" i="34"/>
  <c r="I231" i="34"/>
  <c r="J231" i="34"/>
  <c r="K231" i="34"/>
  <c r="L231" i="34"/>
  <c r="M231" i="34"/>
  <c r="N231" i="34"/>
  <c r="O231" i="34"/>
  <c r="P231" i="34"/>
  <c r="E232" i="34"/>
  <c r="F232" i="34"/>
  <c r="G232" i="34"/>
  <c r="H232" i="34"/>
  <c r="I232" i="34"/>
  <c r="J232" i="34"/>
  <c r="K232" i="34"/>
  <c r="L232" i="34"/>
  <c r="M232" i="34"/>
  <c r="N232" i="34"/>
  <c r="O232" i="34"/>
  <c r="P232" i="34"/>
  <c r="E187" i="34"/>
  <c r="F187" i="34"/>
  <c r="G187" i="34"/>
  <c r="H187" i="34"/>
  <c r="I187" i="34"/>
  <c r="J187" i="34"/>
  <c r="K187" i="34"/>
  <c r="L187" i="34"/>
  <c r="M187" i="34"/>
  <c r="N187" i="34"/>
  <c r="O187" i="34"/>
  <c r="P187" i="34"/>
  <c r="Q187" i="34"/>
  <c r="E184" i="34"/>
  <c r="F184" i="34"/>
  <c r="G184" i="34"/>
  <c r="H184" i="34"/>
  <c r="I184" i="34"/>
  <c r="J184" i="34"/>
  <c r="K184" i="34"/>
  <c r="L184" i="34"/>
  <c r="M184" i="34"/>
  <c r="N184" i="34"/>
  <c r="O184" i="34"/>
  <c r="P184" i="34"/>
  <c r="Q184" i="34"/>
  <c r="E185" i="34"/>
  <c r="F185" i="34"/>
  <c r="G185" i="34"/>
  <c r="H185" i="34"/>
  <c r="I185" i="34"/>
  <c r="J185" i="34"/>
  <c r="K185" i="34"/>
  <c r="L185" i="34"/>
  <c r="M185" i="34"/>
  <c r="N185" i="34"/>
  <c r="O185" i="34"/>
  <c r="P185" i="34"/>
  <c r="Q185" i="34"/>
  <c r="E186" i="34"/>
  <c r="F186" i="34"/>
  <c r="G186" i="34"/>
  <c r="H186" i="34"/>
  <c r="I186" i="34"/>
  <c r="J186" i="34"/>
  <c r="K186" i="34"/>
  <c r="L186" i="34"/>
  <c r="M186" i="34"/>
  <c r="N186" i="34"/>
  <c r="O186" i="34"/>
  <c r="P186" i="34"/>
  <c r="Q186" i="34"/>
  <c r="E182" i="34"/>
  <c r="F182" i="34"/>
  <c r="G182" i="34"/>
  <c r="H182" i="34"/>
  <c r="I182" i="34"/>
  <c r="J182" i="34"/>
  <c r="K182" i="34"/>
  <c r="L182" i="34"/>
  <c r="M182" i="34"/>
  <c r="N182" i="34"/>
  <c r="O182" i="34"/>
  <c r="P182" i="34"/>
  <c r="Q182" i="34"/>
  <c r="E183" i="34"/>
  <c r="F183" i="34"/>
  <c r="G183" i="34"/>
  <c r="H183" i="34"/>
  <c r="I183" i="34"/>
  <c r="J183" i="34"/>
  <c r="K183" i="34"/>
  <c r="L183" i="34"/>
  <c r="M183" i="34"/>
  <c r="N183" i="34"/>
  <c r="O183" i="34"/>
  <c r="P183" i="34"/>
  <c r="Q183" i="34"/>
  <c r="E174" i="34"/>
  <c r="E175" i="34"/>
  <c r="E176" i="34"/>
  <c r="E177" i="34"/>
  <c r="E178" i="34"/>
  <c r="E179" i="34"/>
  <c r="E180" i="34"/>
  <c r="E181" i="34"/>
  <c r="F178" i="34"/>
  <c r="G178" i="34"/>
  <c r="H178" i="34"/>
  <c r="I178" i="34"/>
  <c r="J178" i="34"/>
  <c r="K178" i="34"/>
  <c r="L178" i="34"/>
  <c r="M178" i="34"/>
  <c r="N178" i="34"/>
  <c r="O178" i="34"/>
  <c r="P178" i="34"/>
  <c r="Q178" i="34"/>
  <c r="F179" i="34"/>
  <c r="G179" i="34"/>
  <c r="H179" i="34"/>
  <c r="I179" i="34"/>
  <c r="J179" i="34"/>
  <c r="K179" i="34"/>
  <c r="L179" i="34"/>
  <c r="M179" i="34"/>
  <c r="N179" i="34"/>
  <c r="O179" i="34"/>
  <c r="P179" i="34"/>
  <c r="Q179" i="34"/>
  <c r="F180" i="34"/>
  <c r="G180" i="34"/>
  <c r="H180" i="34"/>
  <c r="I180" i="34"/>
  <c r="J180" i="34"/>
  <c r="K180" i="34"/>
  <c r="L180" i="34"/>
  <c r="M180" i="34"/>
  <c r="N180" i="34"/>
  <c r="O180" i="34"/>
  <c r="P180" i="34"/>
  <c r="Q180" i="34"/>
  <c r="F181" i="34"/>
  <c r="G181" i="34"/>
  <c r="H181" i="34"/>
  <c r="I181" i="34"/>
  <c r="J181" i="34"/>
  <c r="K181" i="34"/>
  <c r="L181" i="34"/>
  <c r="M181" i="34"/>
  <c r="N181" i="34"/>
  <c r="O181" i="34"/>
  <c r="P181" i="34"/>
  <c r="Q181" i="34"/>
  <c r="E173" i="34"/>
  <c r="F173" i="34"/>
  <c r="G173" i="34"/>
  <c r="H173" i="34"/>
  <c r="I173" i="34"/>
  <c r="J173" i="34"/>
  <c r="K173" i="34"/>
  <c r="L173" i="34"/>
  <c r="M173" i="34"/>
  <c r="N173" i="34"/>
  <c r="O173" i="34"/>
  <c r="P173" i="34"/>
  <c r="Q173" i="34"/>
  <c r="S173" i="34"/>
  <c r="U173" i="34"/>
  <c r="F174" i="34"/>
  <c r="G174" i="34"/>
  <c r="H174" i="34"/>
  <c r="I174" i="34"/>
  <c r="J174" i="34"/>
  <c r="K174" i="34"/>
  <c r="L174" i="34"/>
  <c r="M174" i="34"/>
  <c r="N174" i="34"/>
  <c r="O174" i="34"/>
  <c r="P174" i="34"/>
  <c r="Q174" i="34"/>
  <c r="S174" i="34"/>
  <c r="U174" i="34"/>
  <c r="F175" i="34"/>
  <c r="G175" i="34"/>
  <c r="H175" i="34"/>
  <c r="I175" i="34"/>
  <c r="J175" i="34"/>
  <c r="K175" i="34"/>
  <c r="L175" i="34"/>
  <c r="M175" i="34"/>
  <c r="N175" i="34"/>
  <c r="O175" i="34"/>
  <c r="P175" i="34"/>
  <c r="Q175" i="34"/>
  <c r="S175" i="34"/>
  <c r="U175" i="34"/>
  <c r="F176" i="34"/>
  <c r="G176" i="34"/>
  <c r="H176" i="34"/>
  <c r="I176" i="34"/>
  <c r="J176" i="34"/>
  <c r="K176" i="34"/>
  <c r="L176" i="34"/>
  <c r="M176" i="34"/>
  <c r="N176" i="34"/>
  <c r="O176" i="34"/>
  <c r="P176" i="34"/>
  <c r="Q176" i="34"/>
  <c r="S176" i="34"/>
  <c r="U176" i="34"/>
  <c r="F177" i="34"/>
  <c r="G177" i="34"/>
  <c r="H177" i="34"/>
  <c r="I177" i="34"/>
  <c r="J177" i="34"/>
  <c r="K177" i="34"/>
  <c r="L177" i="34"/>
  <c r="M177" i="34"/>
  <c r="N177" i="34"/>
  <c r="O177" i="34"/>
  <c r="P177" i="34"/>
  <c r="Q177" i="34"/>
  <c r="S177" i="34"/>
  <c r="U177" i="34"/>
  <c r="C29" i="35"/>
  <c r="Z283" i="34" l="1"/>
  <c r="Z275" i="34"/>
  <c r="Z267" i="34"/>
  <c r="Z259" i="34"/>
  <c r="Z251" i="34"/>
  <c r="Z243" i="34"/>
  <c r="Z227" i="34"/>
  <c r="Z219" i="34"/>
  <c r="Z211" i="34"/>
  <c r="Z203" i="34"/>
  <c r="Z195" i="34"/>
  <c r="Z171" i="34"/>
  <c r="Z162" i="34"/>
  <c r="Z161" i="34"/>
  <c r="Z159" i="34"/>
  <c r="B186" i="34"/>
  <c r="B185" i="34"/>
  <c r="B183" i="34"/>
  <c r="C495" i="31"/>
  <c r="C496" i="31"/>
  <c r="C497" i="31"/>
  <c r="C498" i="31"/>
  <c r="C100" i="27" l="1"/>
  <c r="C104" i="27"/>
  <c r="U22" i="29" s="1"/>
  <c r="B67" i="31"/>
  <c r="J17" i="29" s="1"/>
  <c r="C62" i="27" l="1"/>
  <c r="U19" i="29"/>
  <c r="N160" i="34"/>
  <c r="K160" i="34"/>
  <c r="N159" i="34"/>
  <c r="K159" i="34"/>
  <c r="N158" i="34"/>
  <c r="K158" i="34"/>
  <c r="N157" i="34"/>
  <c r="K157" i="34"/>
  <c r="D386" i="31"/>
  <c r="H386" i="31"/>
  <c r="K386" i="31"/>
  <c r="J386" i="31"/>
  <c r="I386" i="31"/>
  <c r="H391" i="31"/>
  <c r="I391" i="31"/>
  <c r="J391" i="31"/>
  <c r="K391" i="31"/>
  <c r="H392" i="31"/>
  <c r="I392" i="31"/>
  <c r="J392" i="31"/>
  <c r="K392" i="31"/>
  <c r="H393" i="31"/>
  <c r="I393" i="31"/>
  <c r="J393" i="31"/>
  <c r="K393" i="31"/>
  <c r="H394" i="31"/>
  <c r="I394" i="31"/>
  <c r="J394" i="31"/>
  <c r="K394" i="31"/>
  <c r="H395" i="31"/>
  <c r="I395" i="31"/>
  <c r="J395" i="31"/>
  <c r="K395" i="31"/>
  <c r="H396" i="31"/>
  <c r="I396" i="31"/>
  <c r="J396" i="31"/>
  <c r="K396" i="31"/>
  <c r="H397" i="31"/>
  <c r="I397" i="31"/>
  <c r="J397" i="31"/>
  <c r="K397" i="31"/>
  <c r="H398" i="31"/>
  <c r="I398" i="31"/>
  <c r="J398" i="31"/>
  <c r="K398" i="31"/>
  <c r="H399" i="31"/>
  <c r="I399" i="31"/>
  <c r="J399" i="31"/>
  <c r="K399" i="31"/>
  <c r="H400" i="31"/>
  <c r="I400" i="31"/>
  <c r="J400" i="31"/>
  <c r="K400" i="31"/>
  <c r="H401" i="31"/>
  <c r="I401" i="31"/>
  <c r="J401" i="31"/>
  <c r="K401" i="31"/>
  <c r="H402" i="31"/>
  <c r="I402" i="31"/>
  <c r="J402" i="31"/>
  <c r="K402" i="31"/>
  <c r="H403" i="31"/>
  <c r="I403" i="31"/>
  <c r="J403" i="31"/>
  <c r="K403" i="31"/>
  <c r="H404" i="31"/>
  <c r="I404" i="31"/>
  <c r="J404" i="31"/>
  <c r="K404" i="31"/>
  <c r="H405" i="31"/>
  <c r="I405" i="31"/>
  <c r="J405" i="31"/>
  <c r="K405" i="31"/>
  <c r="H406" i="31"/>
  <c r="I406" i="31"/>
  <c r="J406" i="31"/>
  <c r="K406" i="31"/>
  <c r="H407" i="31"/>
  <c r="I407" i="31"/>
  <c r="J407" i="31"/>
  <c r="K407" i="31"/>
  <c r="H408" i="31"/>
  <c r="I408" i="31"/>
  <c r="J408" i="31"/>
  <c r="K408" i="31"/>
  <c r="H409" i="31"/>
  <c r="I409" i="31"/>
  <c r="J409" i="31"/>
  <c r="K409" i="31"/>
  <c r="H410" i="31"/>
  <c r="I410" i="31"/>
  <c r="J410" i="31"/>
  <c r="K410" i="31"/>
  <c r="H411" i="31"/>
  <c r="I411" i="31"/>
  <c r="J411" i="31"/>
  <c r="K411" i="31"/>
  <c r="H412" i="31"/>
  <c r="I412" i="31"/>
  <c r="J412" i="31"/>
  <c r="K412" i="31"/>
  <c r="H413" i="31"/>
  <c r="I413" i="31"/>
  <c r="J413" i="31"/>
  <c r="K413" i="31"/>
  <c r="H414" i="31"/>
  <c r="I414" i="31"/>
  <c r="J414" i="31"/>
  <c r="K414" i="31"/>
  <c r="H415" i="31"/>
  <c r="I415" i="31"/>
  <c r="J415" i="31"/>
  <c r="K415" i="31"/>
  <c r="H416" i="31"/>
  <c r="I416" i="31"/>
  <c r="J416" i="31"/>
  <c r="K416" i="31"/>
  <c r="H417" i="31"/>
  <c r="I417" i="31"/>
  <c r="J417" i="31"/>
  <c r="K417" i="31"/>
  <c r="H418" i="31"/>
  <c r="I418" i="31"/>
  <c r="J418" i="31"/>
  <c r="K418" i="31"/>
  <c r="H419" i="31"/>
  <c r="I419" i="31"/>
  <c r="J419" i="31"/>
  <c r="K419" i="31"/>
  <c r="H420" i="31"/>
  <c r="I420" i="31"/>
  <c r="J420" i="31"/>
  <c r="K420" i="31"/>
  <c r="H421" i="31"/>
  <c r="I421" i="31"/>
  <c r="J421" i="31"/>
  <c r="K421" i="31"/>
  <c r="H422" i="31"/>
  <c r="I422" i="31"/>
  <c r="J422" i="31"/>
  <c r="K422" i="31"/>
  <c r="H423" i="31"/>
  <c r="I423" i="31"/>
  <c r="J423" i="31"/>
  <c r="K423" i="31"/>
  <c r="H424" i="31"/>
  <c r="I424" i="31"/>
  <c r="J424" i="31"/>
  <c r="K424" i="31"/>
  <c r="H425" i="31"/>
  <c r="I425" i="31"/>
  <c r="J425" i="31"/>
  <c r="K425" i="31"/>
  <c r="H426" i="31"/>
  <c r="I426" i="31"/>
  <c r="J426" i="31"/>
  <c r="K426" i="31"/>
  <c r="H427" i="31"/>
  <c r="I427" i="31"/>
  <c r="J427" i="31"/>
  <c r="K427" i="31"/>
  <c r="H428" i="31"/>
  <c r="I428" i="31"/>
  <c r="J428" i="31"/>
  <c r="K428" i="31"/>
  <c r="H429" i="31"/>
  <c r="I429" i="31"/>
  <c r="J429" i="31"/>
  <c r="K429" i="31"/>
  <c r="H430" i="31"/>
  <c r="I430" i="31"/>
  <c r="J430" i="31"/>
  <c r="K430" i="31"/>
  <c r="H431" i="31"/>
  <c r="I431" i="31"/>
  <c r="J431" i="31"/>
  <c r="K431" i="31"/>
  <c r="H432" i="31"/>
  <c r="I432" i="31"/>
  <c r="J432" i="31"/>
  <c r="K432" i="31"/>
  <c r="H433" i="31"/>
  <c r="I433" i="31"/>
  <c r="J433" i="31"/>
  <c r="K433" i="31"/>
  <c r="H434" i="31"/>
  <c r="I434" i="31"/>
  <c r="J434" i="31"/>
  <c r="K434" i="31"/>
  <c r="H435" i="31"/>
  <c r="I435" i="31"/>
  <c r="J435" i="31"/>
  <c r="K435" i="31"/>
  <c r="H436" i="31"/>
  <c r="I436" i="31"/>
  <c r="J436" i="31"/>
  <c r="K436" i="31"/>
  <c r="H437" i="31"/>
  <c r="I437" i="31"/>
  <c r="J437" i="31"/>
  <c r="K437" i="31"/>
  <c r="H438" i="31"/>
  <c r="I438" i="31"/>
  <c r="J438" i="31"/>
  <c r="K438" i="31"/>
  <c r="H439" i="31"/>
  <c r="I439" i="31"/>
  <c r="J439" i="31"/>
  <c r="K439" i="31"/>
  <c r="H440" i="31"/>
  <c r="I440" i="31"/>
  <c r="J440" i="31"/>
  <c r="K440" i="31"/>
  <c r="H441" i="31"/>
  <c r="I441" i="31"/>
  <c r="J441" i="31"/>
  <c r="K441" i="31"/>
  <c r="H442" i="31"/>
  <c r="I442" i="31"/>
  <c r="J442" i="31"/>
  <c r="K442" i="31"/>
  <c r="H443" i="31"/>
  <c r="I443" i="31"/>
  <c r="J443" i="31"/>
  <c r="K443" i="31"/>
  <c r="H444" i="31"/>
  <c r="I444" i="31"/>
  <c r="J444" i="31"/>
  <c r="K444" i="31"/>
  <c r="H445" i="31"/>
  <c r="I445" i="31"/>
  <c r="J445" i="31"/>
  <c r="K445" i="31"/>
  <c r="H446" i="31"/>
  <c r="I446" i="31"/>
  <c r="J446" i="31"/>
  <c r="K446" i="31"/>
  <c r="H447" i="31"/>
  <c r="I447" i="31"/>
  <c r="J447" i="31"/>
  <c r="K447" i="31"/>
  <c r="H448" i="31"/>
  <c r="I448" i="31"/>
  <c r="J448" i="31"/>
  <c r="K448" i="31"/>
  <c r="H449" i="31"/>
  <c r="I449" i="31"/>
  <c r="J449" i="31"/>
  <c r="K449" i="31"/>
  <c r="H450" i="31"/>
  <c r="I450" i="31"/>
  <c r="J450" i="31"/>
  <c r="K450" i="31"/>
  <c r="H451" i="31"/>
  <c r="I451" i="31"/>
  <c r="J451" i="31"/>
  <c r="K451" i="31"/>
  <c r="H452" i="31"/>
  <c r="I452" i="31"/>
  <c r="J452" i="31"/>
  <c r="K452" i="31"/>
  <c r="H453" i="31"/>
  <c r="I453" i="31"/>
  <c r="J453" i="31"/>
  <c r="K453" i="31"/>
  <c r="H454" i="31"/>
  <c r="I454" i="31"/>
  <c r="J454" i="31"/>
  <c r="K454" i="31"/>
  <c r="H455" i="31"/>
  <c r="I455" i="31"/>
  <c r="J455" i="31"/>
  <c r="K455" i="31"/>
  <c r="H456" i="31"/>
  <c r="I456" i="31"/>
  <c r="J456" i="31"/>
  <c r="K456" i="31"/>
  <c r="H457" i="31"/>
  <c r="I457" i="31"/>
  <c r="J457" i="31"/>
  <c r="K457" i="31"/>
  <c r="H458" i="31"/>
  <c r="I458" i="31"/>
  <c r="J458" i="31"/>
  <c r="K458" i="31"/>
  <c r="H459" i="31"/>
  <c r="I459" i="31"/>
  <c r="J459" i="31"/>
  <c r="K459" i="31"/>
  <c r="H460" i="31"/>
  <c r="I460" i="31"/>
  <c r="J460" i="31"/>
  <c r="K460" i="31"/>
  <c r="H461" i="31"/>
  <c r="I461" i="31"/>
  <c r="J461" i="31"/>
  <c r="K461" i="31"/>
  <c r="H462" i="31"/>
  <c r="I462" i="31"/>
  <c r="J462" i="31"/>
  <c r="K462" i="31"/>
  <c r="H463" i="31"/>
  <c r="I463" i="31"/>
  <c r="J463" i="31"/>
  <c r="K463" i="31"/>
  <c r="H464" i="31"/>
  <c r="I464" i="31"/>
  <c r="J464" i="31"/>
  <c r="K464" i="31"/>
  <c r="H465" i="31"/>
  <c r="I465" i="31"/>
  <c r="J465" i="31"/>
  <c r="K465" i="31"/>
  <c r="H466" i="31"/>
  <c r="I466" i="31"/>
  <c r="J466" i="31"/>
  <c r="K466" i="31"/>
  <c r="H467" i="31"/>
  <c r="I467" i="31"/>
  <c r="J467" i="31"/>
  <c r="K467" i="31"/>
  <c r="H468" i="31"/>
  <c r="I468" i="31"/>
  <c r="J468" i="31"/>
  <c r="K468" i="31"/>
  <c r="H469" i="31"/>
  <c r="I469" i="31"/>
  <c r="J469" i="31"/>
  <c r="K469" i="31"/>
  <c r="H470" i="31"/>
  <c r="I470" i="31"/>
  <c r="J470" i="31"/>
  <c r="K470" i="31"/>
  <c r="H471" i="31"/>
  <c r="I471" i="31"/>
  <c r="J471" i="31"/>
  <c r="K471" i="31"/>
  <c r="H472" i="31"/>
  <c r="I472" i="31"/>
  <c r="J472" i="31"/>
  <c r="K472" i="31"/>
  <c r="H473" i="31"/>
  <c r="I473" i="31"/>
  <c r="J473" i="31"/>
  <c r="K473" i="31"/>
  <c r="H474" i="31"/>
  <c r="I474" i="31"/>
  <c r="J474" i="31"/>
  <c r="K474" i="31"/>
  <c r="H475" i="31"/>
  <c r="I475" i="31"/>
  <c r="J475" i="31"/>
  <c r="K475" i="31"/>
  <c r="H476" i="31"/>
  <c r="I476" i="31"/>
  <c r="J476" i="31"/>
  <c r="K476" i="31"/>
  <c r="H477" i="31"/>
  <c r="I477" i="31"/>
  <c r="J477" i="31"/>
  <c r="K477" i="31"/>
  <c r="H478" i="31"/>
  <c r="I478" i="31"/>
  <c r="J478" i="31"/>
  <c r="K478" i="31"/>
  <c r="H479" i="31"/>
  <c r="I479" i="31"/>
  <c r="J479" i="31"/>
  <c r="K479" i="31"/>
  <c r="H480" i="31"/>
  <c r="I480" i="31"/>
  <c r="J480" i="31"/>
  <c r="K480" i="31"/>
  <c r="H481" i="31"/>
  <c r="I481" i="31"/>
  <c r="J481" i="31"/>
  <c r="K481" i="31"/>
  <c r="H482" i="31"/>
  <c r="I482" i="31"/>
  <c r="J482" i="31"/>
  <c r="K482" i="31"/>
  <c r="H483" i="31"/>
  <c r="I483" i="31"/>
  <c r="J483" i="31"/>
  <c r="K483" i="31"/>
  <c r="H484" i="31"/>
  <c r="I484" i="31"/>
  <c r="J484" i="31"/>
  <c r="K484" i="31"/>
  <c r="H485" i="31"/>
  <c r="I485" i="31"/>
  <c r="J485" i="31"/>
  <c r="K485" i="31"/>
  <c r="H486" i="31"/>
  <c r="I486" i="31"/>
  <c r="J486" i="31"/>
  <c r="K486" i="31"/>
  <c r="H487" i="31"/>
  <c r="I487" i="31"/>
  <c r="J487" i="31"/>
  <c r="K487" i="31"/>
  <c r="H488" i="31"/>
  <c r="I488" i="31"/>
  <c r="J488" i="31"/>
  <c r="K488" i="31"/>
  <c r="H489" i="31"/>
  <c r="I489" i="31"/>
  <c r="J489" i="31"/>
  <c r="K489" i="31"/>
  <c r="H490" i="31"/>
  <c r="I490" i="31"/>
  <c r="J490" i="31"/>
  <c r="K490" i="31"/>
  <c r="H491" i="31"/>
  <c r="I491" i="31"/>
  <c r="J491" i="31"/>
  <c r="K491" i="31"/>
  <c r="H492" i="31"/>
  <c r="I492" i="31"/>
  <c r="J492" i="31"/>
  <c r="K492" i="31"/>
  <c r="H493" i="31"/>
  <c r="I493" i="31"/>
  <c r="J493" i="31"/>
  <c r="K493" i="31"/>
  <c r="H494" i="31"/>
  <c r="I494" i="31"/>
  <c r="J494" i="31"/>
  <c r="K494" i="31"/>
  <c r="H495" i="31"/>
  <c r="I495" i="31"/>
  <c r="J495" i="31"/>
  <c r="K495" i="31"/>
  <c r="H496" i="31"/>
  <c r="I496" i="31"/>
  <c r="J496" i="31"/>
  <c r="K496" i="31"/>
  <c r="H497" i="31"/>
  <c r="I497" i="31"/>
  <c r="J497" i="31"/>
  <c r="K497" i="31"/>
  <c r="H498" i="31"/>
  <c r="I498" i="31"/>
  <c r="J498" i="31"/>
  <c r="K498" i="31"/>
  <c r="H499" i="31"/>
  <c r="I499" i="31"/>
  <c r="J499" i="31"/>
  <c r="K499" i="31"/>
  <c r="H500" i="31"/>
  <c r="I500" i="31"/>
  <c r="J500" i="31"/>
  <c r="K500" i="31"/>
  <c r="H501" i="31"/>
  <c r="I501" i="31"/>
  <c r="J501" i="31"/>
  <c r="K501" i="31"/>
  <c r="H502" i="31"/>
  <c r="I502" i="31"/>
  <c r="J502" i="31"/>
  <c r="K502" i="31"/>
  <c r="H503" i="31"/>
  <c r="I503" i="31"/>
  <c r="J503" i="31"/>
  <c r="K503" i="31"/>
  <c r="H504" i="31"/>
  <c r="I504" i="31"/>
  <c r="J504" i="31"/>
  <c r="K504" i="31"/>
  <c r="H505" i="31"/>
  <c r="I505" i="31"/>
  <c r="J505" i="31"/>
  <c r="K505" i="31"/>
  <c r="H506" i="31"/>
  <c r="I506" i="31"/>
  <c r="J506" i="31"/>
  <c r="K506" i="31"/>
  <c r="H507" i="31"/>
  <c r="I507" i="31"/>
  <c r="J507" i="31"/>
  <c r="K507" i="31"/>
  <c r="H508" i="31"/>
  <c r="I508" i="31"/>
  <c r="J508" i="31"/>
  <c r="K508" i="31"/>
  <c r="H509" i="31"/>
  <c r="I509" i="31"/>
  <c r="J509" i="31"/>
  <c r="K509" i="31"/>
  <c r="H510" i="31"/>
  <c r="I510" i="31"/>
  <c r="J510" i="31"/>
  <c r="K510" i="31"/>
  <c r="H511" i="31"/>
  <c r="I511" i="31"/>
  <c r="J511" i="31"/>
  <c r="K511" i="31"/>
  <c r="H512" i="31"/>
  <c r="I512" i="31"/>
  <c r="J512" i="31"/>
  <c r="K512" i="31"/>
  <c r="H513" i="31"/>
  <c r="I513" i="31"/>
  <c r="J513" i="31"/>
  <c r="K513" i="31"/>
  <c r="H514" i="31"/>
  <c r="I514" i="31"/>
  <c r="J514" i="31"/>
  <c r="K514" i="31"/>
  <c r="H515" i="31"/>
  <c r="I515" i="31"/>
  <c r="J515" i="31"/>
  <c r="K515" i="31"/>
  <c r="H516" i="31"/>
  <c r="I516" i="31"/>
  <c r="J516" i="31"/>
  <c r="K516" i="31"/>
  <c r="H517" i="31"/>
  <c r="I517" i="31"/>
  <c r="J517" i="31"/>
  <c r="K517" i="31"/>
  <c r="H518" i="31"/>
  <c r="I518" i="31"/>
  <c r="J518" i="31"/>
  <c r="K518" i="31"/>
  <c r="K390" i="31"/>
  <c r="J390" i="31"/>
  <c r="I390" i="31"/>
  <c r="H390" i="31"/>
  <c r="K389" i="31"/>
  <c r="J389" i="31"/>
  <c r="I389" i="31"/>
  <c r="H389" i="31"/>
  <c r="I388" i="31"/>
  <c r="J388" i="31"/>
  <c r="K388" i="31"/>
  <c r="H388" i="31"/>
  <c r="I387" i="31"/>
  <c r="J387" i="31"/>
  <c r="K387" i="31"/>
  <c r="H387" i="31"/>
  <c r="C387" i="31"/>
  <c r="C388" i="31"/>
  <c r="C389" i="31"/>
  <c r="C390" i="31"/>
  <c r="C391" i="31"/>
  <c r="C392" i="31"/>
  <c r="C393" i="31"/>
  <c r="C394" i="31"/>
  <c r="C395" i="31"/>
  <c r="C396" i="31"/>
  <c r="C397" i="31"/>
  <c r="C398" i="31"/>
  <c r="C399" i="31"/>
  <c r="C400" i="31"/>
  <c r="C401" i="31"/>
  <c r="C402" i="31"/>
  <c r="C403" i="31"/>
  <c r="C404" i="31"/>
  <c r="C405" i="31"/>
  <c r="C406" i="31"/>
  <c r="D112" i="31"/>
  <c r="D87" i="31"/>
  <c r="D43" i="31"/>
  <c r="A29" i="35" l="1"/>
  <c r="N18" i="34" l="1"/>
  <c r="N24" i="34"/>
  <c r="N23" i="34"/>
  <c r="N88" i="34"/>
  <c r="N87" i="34"/>
  <c r="K18" i="34"/>
  <c r="K24" i="34"/>
  <c r="K23" i="34"/>
  <c r="K88" i="34"/>
  <c r="K87" i="34"/>
  <c r="N19" i="34"/>
  <c r="K19" i="34"/>
  <c r="N17" i="34" l="1"/>
  <c r="N16" i="34"/>
  <c r="N15" i="34"/>
  <c r="N12" i="34"/>
  <c r="N10" i="34"/>
  <c r="N11" i="34"/>
  <c r="N9" i="34"/>
  <c r="K17" i="34"/>
  <c r="K16" i="34"/>
  <c r="K15" i="34"/>
  <c r="K12" i="34"/>
  <c r="K10" i="34"/>
  <c r="K11" i="34"/>
  <c r="K9" i="34"/>
  <c r="G283" i="34" l="1"/>
  <c r="G282" i="34"/>
  <c r="G281" i="34"/>
  <c r="G280" i="34"/>
  <c r="G279" i="34"/>
  <c r="N265" i="34"/>
  <c r="K265" i="34"/>
  <c r="N264" i="34"/>
  <c r="K264" i="34"/>
  <c r="N263" i="34"/>
  <c r="K263" i="34"/>
  <c r="N262" i="34"/>
  <c r="K262" i="34"/>
  <c r="N261" i="34"/>
  <c r="K261" i="34"/>
  <c r="N260" i="34"/>
  <c r="K260" i="34"/>
  <c r="N259" i="34"/>
  <c r="K259" i="34"/>
  <c r="N258" i="34"/>
  <c r="K258" i="34"/>
  <c r="N257" i="34"/>
  <c r="K257" i="34"/>
  <c r="N256" i="34"/>
  <c r="K256" i="34"/>
  <c r="N255" i="34"/>
  <c r="K255" i="34"/>
  <c r="N254" i="34"/>
  <c r="K254" i="34"/>
  <c r="N253" i="34"/>
  <c r="K253" i="34"/>
  <c r="N252" i="34"/>
  <c r="K252" i="34"/>
  <c r="N251" i="34"/>
  <c r="K251" i="34"/>
  <c r="N250" i="34"/>
  <c r="K250" i="34"/>
  <c r="N249" i="34"/>
  <c r="K249" i="34"/>
  <c r="N248" i="34"/>
  <c r="K248" i="34"/>
  <c r="N247" i="34"/>
  <c r="K247" i="34"/>
  <c r="N246" i="34"/>
  <c r="K246" i="34"/>
  <c r="N245" i="34"/>
  <c r="K245" i="34"/>
  <c r="N244" i="34"/>
  <c r="K244" i="34"/>
  <c r="N243" i="34"/>
  <c r="K243" i="34"/>
  <c r="N242" i="34"/>
  <c r="K242" i="34"/>
  <c r="N241" i="34"/>
  <c r="K241" i="34"/>
  <c r="N240" i="34"/>
  <c r="K240" i="34"/>
  <c r="N239" i="34"/>
  <c r="K239" i="34"/>
  <c r="G221" i="34"/>
  <c r="G213" i="34"/>
  <c r="G211" i="34"/>
  <c r="G208" i="34"/>
  <c r="G207" i="34"/>
  <c r="G206" i="34"/>
  <c r="G205" i="34"/>
  <c r="G204" i="34"/>
  <c r="G196" i="34"/>
  <c r="G193" i="34"/>
  <c r="G190" i="34"/>
  <c r="G189" i="34"/>
  <c r="G188" i="34"/>
  <c r="N106" i="34"/>
  <c r="N107" i="34"/>
  <c r="N108" i="34"/>
  <c r="N110" i="34"/>
  <c r="N111" i="34"/>
  <c r="N112" i="34"/>
  <c r="N113" i="34"/>
  <c r="N115" i="34"/>
  <c r="N117" i="34"/>
  <c r="N118" i="34"/>
  <c r="N119" i="34"/>
  <c r="N122" i="34"/>
  <c r="N123" i="34"/>
  <c r="N124" i="34"/>
  <c r="N127" i="34"/>
  <c r="N128" i="34"/>
  <c r="N129" i="34"/>
  <c r="N130" i="34"/>
  <c r="N131" i="34"/>
  <c r="N132" i="34"/>
  <c r="N133" i="34"/>
  <c r="N134" i="34"/>
  <c r="N135" i="34"/>
  <c r="N137" i="34"/>
  <c r="N140" i="34"/>
  <c r="N141" i="34"/>
  <c r="K106" i="34"/>
  <c r="K107" i="34"/>
  <c r="K108" i="34"/>
  <c r="K110" i="34"/>
  <c r="K111" i="34"/>
  <c r="K112" i="34"/>
  <c r="K113" i="34"/>
  <c r="K115" i="34"/>
  <c r="K117" i="34"/>
  <c r="K118" i="34"/>
  <c r="K119" i="34"/>
  <c r="K122" i="34"/>
  <c r="K123" i="34"/>
  <c r="K124" i="34"/>
  <c r="K127" i="34"/>
  <c r="K128" i="34"/>
  <c r="K129" i="34"/>
  <c r="K130" i="34"/>
  <c r="K131" i="34"/>
  <c r="K132" i="34"/>
  <c r="K133" i="34"/>
  <c r="K134" i="34"/>
  <c r="K135" i="34"/>
  <c r="K137" i="34"/>
  <c r="K140" i="34"/>
  <c r="K141" i="34"/>
  <c r="G146" i="34"/>
  <c r="G145" i="34"/>
  <c r="G144" i="34"/>
  <c r="G143" i="34"/>
  <c r="G142" i="34"/>
  <c r="N103" i="34"/>
  <c r="K103" i="34"/>
  <c r="G101" i="34"/>
  <c r="G100" i="34"/>
  <c r="G95" i="34"/>
  <c r="G94" i="34"/>
  <c r="G93" i="34"/>
  <c r="G92" i="34"/>
  <c r="G83" i="34"/>
  <c r="G79" i="34"/>
  <c r="G75" i="34"/>
  <c r="G72" i="34"/>
  <c r="G70" i="34"/>
  <c r="G69" i="34"/>
  <c r="G68" i="34"/>
  <c r="G67" i="34"/>
  <c r="G62" i="34"/>
  <c r="G59" i="34"/>
  <c r="G54" i="34"/>
  <c r="G53" i="34"/>
  <c r="G52" i="34"/>
  <c r="G51" i="34"/>
  <c r="G50" i="34"/>
  <c r="G49" i="34"/>
  <c r="G48" i="34"/>
  <c r="G47" i="34"/>
  <c r="G46" i="34"/>
  <c r="G45" i="34"/>
  <c r="G27" i="34"/>
  <c r="G26" i="34"/>
  <c r="G25" i="34"/>
  <c r="G22" i="34"/>
  <c r="G21" i="34"/>
  <c r="G13" i="34"/>
  <c r="B20" i="34"/>
  <c r="B68" i="34" l="1"/>
  <c r="B69" i="34"/>
  <c r="B70" i="34"/>
  <c r="B50" i="34"/>
  <c r="B51" i="34"/>
  <c r="B83" i="34"/>
  <c r="B89" i="34"/>
  <c r="B90" i="34"/>
  <c r="B106" i="34"/>
  <c r="B107" i="34"/>
  <c r="B108" i="34"/>
  <c r="B110" i="34"/>
  <c r="B111" i="34"/>
  <c r="B112" i="34"/>
  <c r="B113" i="34"/>
  <c r="B115" i="34"/>
  <c r="B117" i="34"/>
  <c r="B118" i="34"/>
  <c r="N33" i="29"/>
  <c r="N34" i="29"/>
  <c r="N35" i="29"/>
  <c r="N36" i="29"/>
  <c r="N37" i="29"/>
  <c r="N38" i="29"/>
  <c r="N39" i="29"/>
  <c r="N40" i="29"/>
  <c r="N41" i="29"/>
  <c r="N42" i="29"/>
  <c r="M33" i="29"/>
  <c r="M34" i="29"/>
  <c r="M35" i="29"/>
  <c r="M36" i="29"/>
  <c r="M37" i="29"/>
  <c r="M38" i="29"/>
  <c r="M39" i="29"/>
  <c r="M40" i="29"/>
  <c r="M41" i="29"/>
  <c r="M42" i="29"/>
  <c r="L33" i="29"/>
  <c r="L34" i="29"/>
  <c r="L35" i="29"/>
  <c r="L36" i="29"/>
  <c r="L37" i="29"/>
  <c r="L38" i="29"/>
  <c r="L39" i="29"/>
  <c r="L40" i="29"/>
  <c r="L41" i="29"/>
  <c r="L42" i="29"/>
  <c r="B247" i="34" l="1"/>
  <c r="B246" i="34"/>
  <c r="B242" i="34"/>
  <c r="B207" i="34"/>
  <c r="B243" i="34"/>
  <c r="B249" i="34"/>
  <c r="B245" i="34"/>
  <c r="B241" i="34"/>
  <c r="B221" i="34"/>
  <c r="B206" i="34"/>
  <c r="B248" i="34"/>
  <c r="B244" i="34"/>
  <c r="B240" i="34"/>
  <c r="B205" i="34"/>
  <c r="O33" i="29"/>
  <c r="O34" i="29"/>
  <c r="O35" i="29"/>
  <c r="O36" i="29"/>
  <c r="O37" i="29"/>
  <c r="O38" i="29"/>
  <c r="O39" i="29"/>
  <c r="O40" i="29"/>
  <c r="O41" i="29"/>
  <c r="O42" i="29"/>
  <c r="U21" i="29" l="1"/>
  <c r="B80" i="31"/>
  <c r="A49" i="29" s="1"/>
  <c r="B81" i="31"/>
  <c r="B109" i="31"/>
  <c r="B79" i="31"/>
  <c r="G12" i="29" s="1"/>
  <c r="B74" i="31"/>
  <c r="C13" i="29" s="1"/>
  <c r="B75" i="31"/>
  <c r="G13" i="29" s="1"/>
  <c r="B76" i="31"/>
  <c r="C14" i="29" s="1"/>
  <c r="B77" i="31"/>
  <c r="B78" i="31"/>
  <c r="C12" i="29" s="1"/>
  <c r="B46" i="31"/>
  <c r="A5" i="29" s="1"/>
  <c r="B47" i="31"/>
  <c r="A6" i="29" s="1"/>
  <c r="B48" i="31"/>
  <c r="A8" i="29" s="1"/>
  <c r="B49" i="31"/>
  <c r="A10" i="29" s="1"/>
  <c r="O80" i="27"/>
  <c r="O73" i="27"/>
  <c r="O76" i="27" l="1"/>
  <c r="O82" i="27"/>
  <c r="O78" i="27"/>
  <c r="O74" i="27"/>
  <c r="O72" i="27"/>
  <c r="O79" i="27"/>
  <c r="O75" i="27"/>
  <c r="O81" i="27"/>
  <c r="O77" i="27"/>
  <c r="B73" i="31"/>
  <c r="B125" i="31"/>
  <c r="B114" i="27" s="1"/>
  <c r="B126" i="31"/>
  <c r="B110" i="27" s="1"/>
  <c r="B127" i="31"/>
  <c r="B111" i="27" s="1"/>
  <c r="B128" i="31"/>
  <c r="B129" i="31"/>
  <c r="B119" i="27" s="1"/>
  <c r="B130" i="31"/>
  <c r="B120" i="27" s="1"/>
  <c r="B131" i="31"/>
  <c r="B121" i="27" s="1"/>
  <c r="B132" i="31"/>
  <c r="B130" i="27" s="1"/>
  <c r="B133" i="31"/>
  <c r="B131" i="27" s="1"/>
  <c r="B134" i="31"/>
  <c r="B124" i="27" s="1"/>
  <c r="B135" i="31"/>
  <c r="B11" i="31"/>
  <c r="B370" i="31"/>
  <c r="B369" i="31"/>
  <c r="B368" i="31"/>
  <c r="B46" i="29" s="1"/>
  <c r="A33" i="12" s="1"/>
  <c r="B367" i="31"/>
  <c r="G3" i="29" l="1"/>
  <c r="B109" i="27"/>
  <c r="B116" i="27"/>
  <c r="B123" i="27"/>
  <c r="B127" i="27"/>
  <c r="B129" i="27"/>
  <c r="B115" i="27"/>
  <c r="B122" i="27"/>
  <c r="B132" i="27"/>
  <c r="B128" i="27"/>
  <c r="B45" i="29"/>
  <c r="A32" i="12" s="1"/>
  <c r="B61" i="31"/>
  <c r="U20" i="29"/>
  <c r="B136" i="31"/>
  <c r="B137" i="31"/>
  <c r="B149" i="27" s="1"/>
  <c r="B138" i="31"/>
  <c r="B150" i="27" s="1"/>
  <c r="B139" i="31"/>
  <c r="B151" i="27" s="1"/>
  <c r="B140" i="31"/>
  <c r="B141" i="31"/>
  <c r="B142" i="31"/>
  <c r="B143" i="31"/>
  <c r="B144" i="31"/>
  <c r="B145" i="31"/>
  <c r="B146" i="31"/>
  <c r="B147" i="31"/>
  <c r="B54" i="31"/>
  <c r="G5" i="29" s="1"/>
  <c r="B52" i="31"/>
  <c r="C8" i="29" s="1"/>
  <c r="B53" i="31"/>
  <c r="C9" i="29" s="1"/>
  <c r="B55" i="31"/>
  <c r="C10" i="29" s="1"/>
  <c r="B56" i="31"/>
  <c r="B57" i="31"/>
  <c r="G6" i="29" s="1"/>
  <c r="B58" i="31"/>
  <c r="B50" i="31"/>
  <c r="C6" i="29" s="1"/>
  <c r="B51" i="31"/>
  <c r="B59" i="31"/>
  <c r="G8" i="29" s="1"/>
  <c r="B60" i="31"/>
  <c r="B26" i="31"/>
  <c r="B27" i="31"/>
  <c r="B28" i="31"/>
  <c r="B29" i="31"/>
  <c r="B23" i="31"/>
  <c r="B24" i="31"/>
  <c r="B25" i="31"/>
  <c r="B10" i="31"/>
  <c r="A13" i="12" s="1"/>
  <c r="B19" i="31"/>
  <c r="B20" i="31"/>
  <c r="B21" i="31"/>
  <c r="A31" i="12" s="1"/>
  <c r="E137" i="27"/>
  <c r="E138" i="27"/>
  <c r="E139" i="27"/>
  <c r="E140" i="27"/>
  <c r="E141" i="27"/>
  <c r="E142" i="27"/>
  <c r="E143" i="27"/>
  <c r="E144" i="27"/>
  <c r="E145" i="27"/>
  <c r="E146" i="27"/>
  <c r="E136" i="27"/>
  <c r="D137" i="27"/>
  <c r="D138" i="27"/>
  <c r="D139" i="27"/>
  <c r="D140" i="27"/>
  <c r="D141" i="27"/>
  <c r="D142" i="27"/>
  <c r="D143" i="27"/>
  <c r="D144" i="27"/>
  <c r="D145" i="27"/>
  <c r="D146" i="27"/>
  <c r="D136" i="27"/>
  <c r="B14" i="34"/>
  <c r="B21" i="34"/>
  <c r="B22" i="34"/>
  <c r="B25" i="34"/>
  <c r="B26" i="34"/>
  <c r="B27" i="34"/>
  <c r="B28" i="34"/>
  <c r="B29" i="34"/>
  <c r="B45" i="34"/>
  <c r="B46" i="34"/>
  <c r="B47" i="34"/>
  <c r="B48" i="34"/>
  <c r="B49" i="34"/>
  <c r="B52" i="34"/>
  <c r="B53" i="34"/>
  <c r="B54" i="34"/>
  <c r="B57" i="34"/>
  <c r="B58" i="34"/>
  <c r="B59" i="34"/>
  <c r="B60" i="34"/>
  <c r="B61" i="34"/>
  <c r="B62" i="34"/>
  <c r="B63" i="34"/>
  <c r="B64" i="34"/>
  <c r="B65" i="34"/>
  <c r="B66" i="34"/>
  <c r="B67" i="34"/>
  <c r="B72" i="34"/>
  <c r="B73" i="34"/>
  <c r="B74" i="34"/>
  <c r="B75" i="34"/>
  <c r="B77" i="34"/>
  <c r="B79" i="34"/>
  <c r="B80" i="34"/>
  <c r="B81" i="34"/>
  <c r="B82" i="34"/>
  <c r="B91" i="34"/>
  <c r="B92" i="34"/>
  <c r="B93" i="34"/>
  <c r="B94" i="34"/>
  <c r="B95" i="34"/>
  <c r="B100" i="34"/>
  <c r="B101" i="34"/>
  <c r="B103" i="34"/>
  <c r="B119" i="34"/>
  <c r="B122" i="34"/>
  <c r="B123" i="34"/>
  <c r="B124" i="34"/>
  <c r="B127" i="34"/>
  <c r="B128" i="34"/>
  <c r="B129" i="34"/>
  <c r="B130" i="34"/>
  <c r="B131" i="34"/>
  <c r="B132" i="34"/>
  <c r="B133" i="34"/>
  <c r="B134" i="34"/>
  <c r="B135" i="34"/>
  <c r="B137" i="34"/>
  <c r="B140" i="34"/>
  <c r="B141" i="34"/>
  <c r="B142" i="34"/>
  <c r="B143" i="34"/>
  <c r="B144" i="34"/>
  <c r="B145" i="34"/>
  <c r="B146" i="34"/>
  <c r="B15" i="34"/>
  <c r="B16" i="34"/>
  <c r="B17" i="34"/>
  <c r="B19" i="34"/>
  <c r="B18" i="34"/>
  <c r="B24" i="34"/>
  <c r="B23" i="34"/>
  <c r="B88" i="34"/>
  <c r="B234" i="34" s="1"/>
  <c r="B87" i="34"/>
  <c r="B233" i="34" s="1"/>
  <c r="B35" i="34"/>
  <c r="B178" i="34" s="1"/>
  <c r="B30" i="34"/>
  <c r="B173" i="34" s="1"/>
  <c r="B184" i="34"/>
  <c r="B182" i="34"/>
  <c r="B187" i="34"/>
  <c r="B147" i="34"/>
  <c r="B85" i="34"/>
  <c r="B231" i="34" s="1"/>
  <c r="B86" i="34"/>
  <c r="B232" i="34" s="1"/>
  <c r="B99" i="34"/>
  <c r="B238" i="34" s="1"/>
  <c r="B96" i="34"/>
  <c r="B235" i="34" s="1"/>
  <c r="B97" i="34"/>
  <c r="B236" i="34" s="1"/>
  <c r="B56" i="34"/>
  <c r="B55" i="34"/>
  <c r="B71" i="34"/>
  <c r="B78" i="34"/>
  <c r="B76" i="34"/>
  <c r="B150" i="34"/>
  <c r="B151" i="34"/>
  <c r="B149" i="34"/>
  <c r="B148" i="34"/>
  <c r="B84" i="34"/>
  <c r="B105" i="34"/>
  <c r="B104" i="34"/>
  <c r="B126" i="34"/>
  <c r="B136" i="34"/>
  <c r="B139" i="34"/>
  <c r="B138" i="34"/>
  <c r="B109" i="34"/>
  <c r="B125" i="34"/>
  <c r="B102" i="34"/>
  <c r="B116" i="34"/>
  <c r="B114" i="34"/>
  <c r="B121" i="34"/>
  <c r="B120" i="34"/>
  <c r="B98" i="34"/>
  <c r="B237" i="34" s="1"/>
  <c r="U18" i="29" l="1"/>
  <c r="H113" i="27"/>
  <c r="D113" i="27"/>
  <c r="F108" i="27"/>
  <c r="G113" i="27"/>
  <c r="C113" i="27"/>
  <c r="E108" i="27"/>
  <c r="F113" i="27"/>
  <c r="H108" i="27"/>
  <c r="D108" i="27"/>
  <c r="E113" i="27"/>
  <c r="G108" i="27"/>
  <c r="C108" i="27"/>
  <c r="B160" i="34"/>
  <c r="B12" i="34"/>
  <c r="B10" i="34"/>
  <c r="B158" i="34"/>
  <c r="B159" i="34"/>
  <c r="B11" i="34"/>
  <c r="B157" i="34"/>
  <c r="B9" i="34"/>
  <c r="B265" i="34"/>
  <c r="B261" i="34"/>
  <c r="B257" i="34"/>
  <c r="B253" i="34"/>
  <c r="B239" i="34"/>
  <c r="B220" i="34"/>
  <c r="B212" i="34"/>
  <c r="B208" i="34"/>
  <c r="B201" i="34"/>
  <c r="B194" i="34"/>
  <c r="B190" i="34"/>
  <c r="B264" i="34"/>
  <c r="B260" i="34"/>
  <c r="B256" i="34"/>
  <c r="B252" i="34"/>
  <c r="B219" i="34"/>
  <c r="B211" i="34"/>
  <c r="B204" i="34"/>
  <c r="B200" i="34"/>
  <c r="B193" i="34"/>
  <c r="B189" i="34"/>
  <c r="B263" i="34"/>
  <c r="B259" i="34"/>
  <c r="B255" i="34"/>
  <c r="B251" i="34"/>
  <c r="B218" i="34"/>
  <c r="B210" i="34"/>
  <c r="B203" i="34"/>
  <c r="B196" i="34"/>
  <c r="B192" i="34"/>
  <c r="B188" i="34"/>
  <c r="B262" i="34"/>
  <c r="B258" i="34"/>
  <c r="B254" i="34"/>
  <c r="B250" i="34"/>
  <c r="B213" i="34"/>
  <c r="B209" i="34"/>
  <c r="B202" i="34"/>
  <c r="B195" i="34"/>
  <c r="B191" i="34"/>
  <c r="G7" i="29"/>
  <c r="C11" i="29"/>
  <c r="G11" i="29"/>
  <c r="C5" i="29"/>
  <c r="G10" i="29"/>
  <c r="C7" i="29"/>
  <c r="D30" i="12"/>
  <c r="E30" i="12"/>
  <c r="B359" i="31"/>
  <c r="B358" i="31"/>
  <c r="B357" i="31"/>
  <c r="B356" i="31"/>
  <c r="B355" i="31"/>
  <c r="B354" i="31"/>
  <c r="B353" i="31"/>
  <c r="B352" i="31"/>
  <c r="B351" i="31"/>
  <c r="B350" i="31"/>
  <c r="B349" i="31"/>
  <c r="B348" i="31"/>
  <c r="B347" i="31"/>
  <c r="B346" i="31"/>
  <c r="B345" i="31"/>
  <c r="B344" i="31"/>
  <c r="B229" i="34" s="1"/>
  <c r="B343" i="31"/>
  <c r="B226" i="34" s="1"/>
  <c r="B342" i="31"/>
  <c r="B228" i="34" s="1"/>
  <c r="B341" i="31"/>
  <c r="B230" i="34" s="1"/>
  <c r="B340" i="31"/>
  <c r="B227" i="34" s="1"/>
  <c r="B339" i="31"/>
  <c r="B214" i="34" s="1"/>
  <c r="B338" i="31"/>
  <c r="B216" i="34" s="1"/>
  <c r="B337" i="31"/>
  <c r="B217" i="34" s="1"/>
  <c r="B336" i="31"/>
  <c r="B215" i="34" s="1"/>
  <c r="B335" i="31"/>
  <c r="B199" i="34" s="1"/>
  <c r="B334" i="31"/>
  <c r="B169" i="34" s="1"/>
  <c r="B333" i="31"/>
  <c r="B171" i="34" s="1"/>
  <c r="B332" i="31"/>
  <c r="B170" i="34" s="1"/>
  <c r="B331" i="31"/>
  <c r="B172" i="34" s="1"/>
  <c r="B330" i="31"/>
  <c r="B164" i="34" s="1"/>
  <c r="B151" i="31" l="1"/>
  <c r="B139" i="27" s="1"/>
  <c r="U23" i="29" s="1"/>
  <c r="B152" i="31"/>
  <c r="B140" i="27" s="1"/>
  <c r="B153" i="31"/>
  <c r="B141" i="27" s="1"/>
  <c r="B154" i="31"/>
  <c r="B142" i="27" s="1"/>
  <c r="B155" i="31"/>
  <c r="B143" i="27" s="1"/>
  <c r="U24" i="29" s="1"/>
  <c r="B156" i="31"/>
  <c r="B144" i="27" s="1"/>
  <c r="B157" i="31"/>
  <c r="B148" i="31"/>
  <c r="B136" i="27" s="1"/>
  <c r="B149" i="31"/>
  <c r="B137" i="27" s="1"/>
  <c r="U25" i="29" s="1"/>
  <c r="B150" i="31"/>
  <c r="B138" i="27" s="1"/>
  <c r="B158" i="31"/>
  <c r="B159" i="31"/>
  <c r="B145" i="27" s="1"/>
  <c r="U26" i="29" s="1"/>
  <c r="B160" i="31"/>
  <c r="B161" i="31"/>
  <c r="B146" i="27" s="1"/>
  <c r="B68" i="31" l="1"/>
  <c r="K17" i="29" s="1"/>
  <c r="B91" i="31" l="1"/>
  <c r="A5" i="28" s="1"/>
  <c r="B92" i="31"/>
  <c r="B93" i="31"/>
  <c r="A7" i="28" s="1"/>
  <c r="B94" i="31"/>
  <c r="B95" i="31"/>
  <c r="A9" i="28" s="1"/>
  <c r="B96" i="31"/>
  <c r="B97" i="31"/>
  <c r="A11" i="28" s="1"/>
  <c r="B98" i="31"/>
  <c r="B99" i="31"/>
  <c r="A13" i="28" s="1"/>
  <c r="B100" i="31"/>
  <c r="B101" i="31"/>
  <c r="A15" i="28" s="1"/>
  <c r="B102" i="31"/>
  <c r="B103" i="31"/>
  <c r="B104" i="31"/>
  <c r="B9" i="31"/>
  <c r="A11" i="12" s="1"/>
  <c r="C439" i="31"/>
  <c r="C440" i="31"/>
  <c r="C441" i="31"/>
  <c r="C442" i="31"/>
  <c r="C443" i="31"/>
  <c r="C444" i="31"/>
  <c r="C445" i="31"/>
  <c r="C446" i="31"/>
  <c r="C447" i="31"/>
  <c r="C448" i="31"/>
  <c r="C449" i="31"/>
  <c r="C450" i="31"/>
  <c r="C451" i="31"/>
  <c r="C452" i="31"/>
  <c r="C453" i="31"/>
  <c r="C438"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91" i="31"/>
  <c r="C492" i="31"/>
  <c r="C493" i="31"/>
  <c r="C494" i="31"/>
  <c r="C490" i="31"/>
  <c r="C489" i="31"/>
  <c r="C486" i="31"/>
  <c r="C485" i="31"/>
  <c r="C482" i="31"/>
  <c r="C481" i="31"/>
  <c r="C478" i="31"/>
  <c r="C477" i="31"/>
  <c r="C474" i="31"/>
  <c r="C473" i="31"/>
  <c r="C470" i="31"/>
  <c r="C469" i="31"/>
  <c r="C466" i="31"/>
  <c r="C465" i="31"/>
  <c r="C462" i="31"/>
  <c r="C461" i="31"/>
  <c r="C457" i="31"/>
  <c r="C458" i="31"/>
  <c r="C408" i="31"/>
  <c r="C409" i="31"/>
  <c r="C437" i="31"/>
  <c r="C454" i="31"/>
  <c r="C455" i="31"/>
  <c r="C456" i="31"/>
  <c r="C459" i="31"/>
  <c r="C460" i="31"/>
  <c r="C463" i="31"/>
  <c r="C464" i="31"/>
  <c r="C467" i="31"/>
  <c r="C468" i="31"/>
  <c r="C471" i="31"/>
  <c r="C472" i="31"/>
  <c r="C475" i="31"/>
  <c r="C476" i="31"/>
  <c r="C479" i="31"/>
  <c r="C480" i="31"/>
  <c r="C483" i="31"/>
  <c r="C484" i="31"/>
  <c r="C487" i="31"/>
  <c r="C407" i="31"/>
  <c r="C488" i="31"/>
  <c r="F43" i="31"/>
  <c r="E43" i="31"/>
  <c r="C43" i="31"/>
  <c r="F87" i="31"/>
  <c r="E87" i="31"/>
  <c r="C87" i="31"/>
  <c r="G386" i="31"/>
  <c r="F386" i="31"/>
  <c r="E386" i="31"/>
  <c r="F112" i="31"/>
  <c r="E112" i="31"/>
  <c r="C112" i="31"/>
  <c r="B383" i="31"/>
  <c r="B382" i="31"/>
  <c r="B381" i="31"/>
  <c r="B32" i="31"/>
  <c r="B379" i="31"/>
  <c r="B378" i="31"/>
  <c r="B373" i="31"/>
  <c r="B372" i="31"/>
  <c r="B107" i="31"/>
  <c r="B106" i="31"/>
  <c r="B105" i="31"/>
  <c r="B90" i="31"/>
  <c r="E3" i="28" s="1"/>
  <c r="B89" i="31"/>
  <c r="A3" i="28" s="1"/>
  <c r="B88" i="31"/>
  <c r="A1" i="28" s="1"/>
  <c r="B365" i="31"/>
  <c r="B364" i="31"/>
  <c r="B363" i="31"/>
  <c r="B13" i="34"/>
  <c r="B124" i="31"/>
  <c r="B123" i="31"/>
  <c r="B122" i="31"/>
  <c r="B121" i="31"/>
  <c r="B120" i="31"/>
  <c r="B119" i="31"/>
  <c r="B118" i="31"/>
  <c r="B117" i="31"/>
  <c r="B116" i="31"/>
  <c r="B115" i="31"/>
  <c r="B114" i="31"/>
  <c r="B113" i="31"/>
  <c r="B44" i="31"/>
  <c r="A1" i="29" s="1"/>
  <c r="B66" i="31"/>
  <c r="I17" i="29" s="1"/>
  <c r="B69" i="31"/>
  <c r="L17" i="29" s="1"/>
  <c r="B70" i="31"/>
  <c r="M17" i="29" s="1"/>
  <c r="B71" i="31"/>
  <c r="B43" i="29" s="1"/>
  <c r="B72" i="31"/>
  <c r="B44" i="29" s="1"/>
  <c r="B82" i="31"/>
  <c r="B83" i="31"/>
  <c r="B84" i="31"/>
  <c r="B45" i="31"/>
  <c r="A3" i="29" s="1"/>
  <c r="B6" i="31"/>
  <c r="A3" i="12" s="1"/>
  <c r="B7" i="31"/>
  <c r="A5" i="12" s="1"/>
  <c r="B8" i="31"/>
  <c r="A8" i="12" s="1"/>
  <c r="B12" i="31"/>
  <c r="A15" i="12" s="1"/>
  <c r="B13" i="31"/>
  <c r="A18" i="12" s="1"/>
  <c r="B14" i="31"/>
  <c r="A21" i="12" s="1"/>
  <c r="B15" i="31"/>
  <c r="A24" i="12" s="1"/>
  <c r="B16" i="31"/>
  <c r="A27" i="12" s="1"/>
  <c r="B17" i="31"/>
  <c r="A29" i="12" s="1"/>
  <c r="B18" i="31"/>
  <c r="A30" i="12" s="1"/>
  <c r="B22" i="31"/>
  <c r="B30" i="31"/>
  <c r="B31" i="31"/>
  <c r="E37" i="12" s="1"/>
  <c r="B5" i="31"/>
  <c r="A1" i="12" s="1"/>
  <c r="B37" i="31"/>
  <c r="B40" i="31"/>
  <c r="D158" i="27"/>
  <c r="D157" i="27"/>
  <c r="B36" i="31"/>
  <c r="B29" i="27" l="1"/>
  <c r="B43" i="27"/>
  <c r="B33" i="27"/>
  <c r="B47" i="27"/>
  <c r="B37" i="27"/>
  <c r="B51" i="27"/>
  <c r="B44" i="27"/>
  <c r="B30" i="27"/>
  <c r="B48" i="27"/>
  <c r="B34" i="27"/>
  <c r="B52" i="27"/>
  <c r="B38" i="27"/>
  <c r="B45" i="27"/>
  <c r="B31" i="27"/>
  <c r="B35" i="27"/>
  <c r="B49" i="27"/>
  <c r="B28" i="27"/>
  <c r="B42" i="27"/>
  <c r="B32" i="27"/>
  <c r="B46" i="27"/>
  <c r="B36" i="27"/>
  <c r="B50" i="27"/>
  <c r="E108" i="31"/>
  <c r="F108" i="31"/>
  <c r="C108" i="31"/>
  <c r="D108" i="31"/>
  <c r="D375" i="31"/>
  <c r="D33" i="31"/>
  <c r="D39" i="31"/>
  <c r="D376" i="31"/>
  <c r="D34" i="31"/>
  <c r="D38" i="31"/>
  <c r="D35" i="31"/>
  <c r="E375" i="31"/>
  <c r="E33" i="31"/>
  <c r="A3" i="31"/>
  <c r="E38" i="31"/>
  <c r="A42" i="31"/>
  <c r="E376" i="31"/>
  <c r="E35" i="31"/>
  <c r="E34" i="31"/>
  <c r="E39" i="31"/>
  <c r="C375" i="31"/>
  <c r="A37" i="12"/>
  <c r="B52" i="29"/>
  <c r="A35" i="12"/>
  <c r="B75" i="27"/>
  <c r="B89" i="27" s="1"/>
  <c r="B72" i="27"/>
  <c r="B86" i="27" s="1"/>
  <c r="B76" i="27"/>
  <c r="B90" i="27" s="1"/>
  <c r="B80" i="27"/>
  <c r="B94" i="27" s="1"/>
  <c r="B79" i="27"/>
  <c r="B93" i="27" s="1"/>
  <c r="B73" i="27"/>
  <c r="B87" i="27" s="1"/>
  <c r="B77" i="27"/>
  <c r="B91" i="27" s="1"/>
  <c r="B81" i="27"/>
  <c r="B95" i="27" s="1"/>
  <c r="B74" i="27"/>
  <c r="B88" i="27" s="1"/>
  <c r="B78" i="27"/>
  <c r="B92" i="27" s="1"/>
  <c r="B82" i="27"/>
  <c r="B96" i="27" s="1"/>
  <c r="A34" i="12"/>
  <c r="B51" i="29"/>
  <c r="F33" i="31"/>
  <c r="A86" i="31"/>
  <c r="C33" i="31"/>
  <c r="F375" i="31"/>
  <c r="B10" i="27"/>
  <c r="E158" i="27"/>
  <c r="B9" i="27"/>
  <c r="B15" i="27"/>
  <c r="B16" i="27"/>
  <c r="E156" i="27"/>
  <c r="E157" i="27"/>
  <c r="F39" i="31"/>
  <c r="F38" i="31"/>
  <c r="C35" i="31"/>
  <c r="C34" i="31"/>
  <c r="C39" i="31"/>
  <c r="C38" i="31"/>
  <c r="F376" i="31"/>
  <c r="C376" i="31"/>
  <c r="A17" i="28"/>
  <c r="B11" i="28"/>
  <c r="B17" i="28"/>
  <c r="B9" i="28"/>
  <c r="B15" i="28"/>
  <c r="B7" i="28"/>
  <c r="B13" i="28"/>
  <c r="B5" i="28"/>
  <c r="F34" i="31"/>
  <c r="F35" i="31"/>
  <c r="A19" i="28"/>
  <c r="A47" i="12"/>
  <c r="A43" i="12"/>
  <c r="A44" i="12"/>
  <c r="B14" i="12"/>
  <c r="K137" i="27" l="1"/>
  <c r="K145" i="27"/>
  <c r="K138" i="27"/>
  <c r="K146" i="27"/>
  <c r="K139" i="27"/>
  <c r="K136" i="27"/>
  <c r="K140" i="27"/>
  <c r="J146" i="27"/>
  <c r="M146" i="27" s="1"/>
  <c r="N146" i="27" s="1"/>
  <c r="J136" i="27"/>
  <c r="K141" i="27"/>
  <c r="K142" i="27"/>
  <c r="J144" i="27"/>
  <c r="K143" i="27"/>
  <c r="K144" i="27"/>
  <c r="J142" i="27"/>
  <c r="J140" i="27"/>
  <c r="M140" i="27" s="1"/>
  <c r="N140" i="27" s="1"/>
  <c r="J139" i="27"/>
  <c r="J143" i="27"/>
  <c r="J137" i="27"/>
  <c r="J145" i="27"/>
  <c r="M142" i="27"/>
  <c r="N142" i="27" s="1"/>
  <c r="M143" i="27"/>
  <c r="N143" i="27" s="1"/>
  <c r="M139" i="27"/>
  <c r="N139" i="27" s="1"/>
  <c r="M137" i="27"/>
  <c r="N137" i="27" s="1"/>
  <c r="M145" i="27"/>
  <c r="N145" i="27" s="1"/>
  <c r="M136" i="27"/>
  <c r="N136" i="27" s="1"/>
  <c r="J18" i="29"/>
  <c r="J19" i="29"/>
  <c r="J20" i="29"/>
  <c r="J21" i="29"/>
  <c r="J22" i="29"/>
  <c r="J24" i="29"/>
  <c r="J23" i="29"/>
  <c r="J25" i="29"/>
  <c r="M144" i="27"/>
  <c r="N144" i="27" s="1"/>
  <c r="J141" i="27"/>
  <c r="M141" i="27" s="1"/>
  <c r="N141" i="27" s="1"/>
  <c r="J138" i="27"/>
  <c r="M138" i="27" s="1"/>
  <c r="P18" i="29"/>
  <c r="W26" i="29"/>
  <c r="W34" i="29"/>
  <c r="W42" i="29"/>
  <c r="W19" i="29"/>
  <c r="W27" i="29"/>
  <c r="W35" i="29"/>
  <c r="W18" i="29"/>
  <c r="W40" i="29"/>
  <c r="W20" i="29"/>
  <c r="W28" i="29"/>
  <c r="W36" i="29"/>
  <c r="W21" i="29"/>
  <c r="W29" i="29"/>
  <c r="W37" i="29"/>
  <c r="W22" i="29"/>
  <c r="W30" i="29"/>
  <c r="W38" i="29"/>
  <c r="W32" i="29"/>
  <c r="W23" i="29"/>
  <c r="W31" i="29"/>
  <c r="W39" i="29"/>
  <c r="W25" i="29"/>
  <c r="W33" i="29"/>
  <c r="W41" i="29"/>
  <c r="W24" i="29"/>
  <c r="N32" i="29"/>
  <c r="O32" i="29" s="1"/>
  <c r="Q18" i="29"/>
  <c r="K18" i="29"/>
  <c r="K29" i="29"/>
  <c r="S38" i="29"/>
  <c r="K42" i="29"/>
  <c r="K41" i="29"/>
  <c r="S19" i="29"/>
  <c r="S37" i="29"/>
  <c r="S23" i="29"/>
  <c r="S36" i="29"/>
  <c r="K23" i="29"/>
  <c r="K31" i="29"/>
  <c r="K37" i="29"/>
  <c r="K36" i="29"/>
  <c r="S40" i="29"/>
  <c r="K30" i="29"/>
  <c r="K26" i="29"/>
  <c r="S32" i="29"/>
  <c r="K19" i="29"/>
  <c r="S33" i="29"/>
  <c r="S22" i="29"/>
  <c r="S20" i="29"/>
  <c r="S18" i="29"/>
  <c r="S30" i="29"/>
  <c r="S41" i="29"/>
  <c r="K20" i="29"/>
  <c r="S42" i="29"/>
  <c r="K32" i="29"/>
  <c r="S25" i="29"/>
  <c r="S21" i="29"/>
  <c r="K40" i="29"/>
  <c r="S27" i="29"/>
  <c r="S24" i="29"/>
  <c r="S29" i="29"/>
  <c r="K28" i="29"/>
  <c r="K39" i="29"/>
  <c r="K38" i="29"/>
  <c r="K33" i="29"/>
  <c r="K35" i="29"/>
  <c r="K34" i="29"/>
  <c r="K27" i="29"/>
  <c r="S34" i="29"/>
  <c r="K21" i="29"/>
  <c r="K24" i="29"/>
  <c r="S26" i="29"/>
  <c r="S39" i="29"/>
  <c r="K25" i="29"/>
  <c r="S31" i="29"/>
  <c r="S35" i="29"/>
  <c r="K22" i="29"/>
  <c r="S28" i="29"/>
  <c r="U32" i="29"/>
  <c r="U31" i="29"/>
  <c r="B35" i="31"/>
  <c r="A42" i="12" s="1"/>
  <c r="B375" i="31"/>
  <c r="U36" i="29"/>
  <c r="U35" i="29"/>
  <c r="N27" i="29"/>
  <c r="O27" i="29" s="1"/>
  <c r="Q14" i="29"/>
  <c r="Q13" i="29"/>
  <c r="R13" i="29"/>
  <c r="Q12" i="29"/>
  <c r="R12" i="29"/>
  <c r="Q11" i="29"/>
  <c r="R11" i="29"/>
  <c r="U28" i="29"/>
  <c r="U27" i="29"/>
  <c r="N14" i="29"/>
  <c r="N12" i="29"/>
  <c r="O13" i="29"/>
  <c r="O11" i="29"/>
  <c r="N13" i="29"/>
  <c r="N11" i="29"/>
  <c r="O12" i="29"/>
  <c r="N31" i="29"/>
  <c r="O31" i="29" s="1"/>
  <c r="N28" i="29"/>
  <c r="O28" i="29" s="1"/>
  <c r="N26" i="29"/>
  <c r="O26" i="29" s="1"/>
  <c r="N30" i="29"/>
  <c r="O30" i="29" s="1"/>
  <c r="N25" i="29"/>
  <c r="O25" i="29" s="1"/>
  <c r="N29" i="29"/>
  <c r="O29" i="29" s="1"/>
  <c r="B108" i="31"/>
  <c r="D19" i="28"/>
  <c r="B39" i="31"/>
  <c r="A46" i="12" s="1"/>
  <c r="B33" i="31"/>
  <c r="A40" i="12" s="1"/>
  <c r="B38" i="31"/>
  <c r="A45" i="12" s="1"/>
  <c r="C101" i="27"/>
  <c r="N24" i="29"/>
  <c r="O24" i="29" s="1"/>
  <c r="N18" i="29"/>
  <c r="O18" i="29" s="1"/>
  <c r="N19" i="29"/>
  <c r="N22" i="29"/>
  <c r="R19" i="29"/>
  <c r="P21" i="29"/>
  <c r="Q22" i="29"/>
  <c r="R23" i="29"/>
  <c r="P25" i="29"/>
  <c r="Q26" i="29"/>
  <c r="R27" i="29"/>
  <c r="P29" i="29"/>
  <c r="Q30" i="29"/>
  <c r="R31" i="29"/>
  <c r="P33" i="29"/>
  <c r="Q34" i="29"/>
  <c r="R35" i="29"/>
  <c r="P37" i="29"/>
  <c r="Q38" i="29"/>
  <c r="R39" i="29"/>
  <c r="P41" i="29"/>
  <c r="Q42" i="29"/>
  <c r="R21" i="29"/>
  <c r="Q24" i="29"/>
  <c r="P27" i="29"/>
  <c r="R29" i="29"/>
  <c r="Q32" i="29"/>
  <c r="P35" i="29"/>
  <c r="P39" i="29"/>
  <c r="R41" i="29"/>
  <c r="P22" i="29"/>
  <c r="R24" i="29"/>
  <c r="Q27" i="29"/>
  <c r="Q31" i="29"/>
  <c r="P34" i="29"/>
  <c r="R36" i="29"/>
  <c r="Q39" i="29"/>
  <c r="P42" i="29"/>
  <c r="N21" i="29"/>
  <c r="O21" i="29" s="1"/>
  <c r="P20" i="29"/>
  <c r="Q21" i="29"/>
  <c r="R22" i="29"/>
  <c r="P24" i="29"/>
  <c r="Q25" i="29"/>
  <c r="R26" i="29"/>
  <c r="P28" i="29"/>
  <c r="Q29" i="29"/>
  <c r="R30" i="29"/>
  <c r="P32" i="29"/>
  <c r="Q33" i="29"/>
  <c r="R34" i="29"/>
  <c r="P36" i="29"/>
  <c r="Q37" i="29"/>
  <c r="R38" i="29"/>
  <c r="P40" i="29"/>
  <c r="Q41" i="29"/>
  <c r="R42" i="29"/>
  <c r="N23" i="29"/>
  <c r="O23" i="29" s="1"/>
  <c r="P19" i="29"/>
  <c r="Q20" i="29"/>
  <c r="P23" i="29"/>
  <c r="R25" i="29"/>
  <c r="Q28" i="29"/>
  <c r="P31" i="29"/>
  <c r="R33" i="29"/>
  <c r="Q36" i="29"/>
  <c r="R37" i="29"/>
  <c r="Q40" i="29"/>
  <c r="R18" i="29"/>
  <c r="N20" i="29"/>
  <c r="O20" i="29" s="1"/>
  <c r="Q19" i="29"/>
  <c r="R20" i="29"/>
  <c r="Q23" i="29"/>
  <c r="P26" i="29"/>
  <c r="R28" i="29"/>
  <c r="P30" i="29"/>
  <c r="R32" i="29"/>
  <c r="Q35" i="29"/>
  <c r="P38" i="29"/>
  <c r="R40" i="29"/>
  <c r="B34" i="31"/>
  <c r="A39" i="12" s="1"/>
  <c r="B376" i="31"/>
  <c r="E19" i="28"/>
  <c r="O19" i="29"/>
  <c r="O22" i="29"/>
  <c r="E174" i="27" l="1"/>
  <c r="F174" i="27" s="1"/>
  <c r="E169" i="27"/>
  <c r="F169" i="27" s="1"/>
  <c r="E167" i="27"/>
  <c r="F167" i="27" s="1"/>
  <c r="E170" i="27"/>
  <c r="F170" i="27" s="1"/>
  <c r="E171" i="27"/>
  <c r="F171" i="27" s="1"/>
  <c r="E172" i="27"/>
  <c r="F172" i="27" s="1"/>
  <c r="E173" i="27"/>
  <c r="F173" i="27" s="1"/>
  <c r="E166" i="27"/>
  <c r="E168" i="27"/>
  <c r="F168" i="27" s="1"/>
  <c r="N138" i="27"/>
  <c r="M147" i="27"/>
  <c r="N147" i="27" s="1"/>
  <c r="L32" i="29"/>
  <c r="M32" i="29"/>
  <c r="L28" i="29"/>
  <c r="T14" i="29"/>
  <c r="M27" i="29"/>
  <c r="L27" i="29"/>
  <c r="M26" i="29"/>
  <c r="M29" i="29"/>
  <c r="M28" i="29"/>
  <c r="L29" i="29"/>
  <c r="L31" i="29"/>
  <c r="L30" i="29"/>
  <c r="L26" i="29"/>
  <c r="M25" i="29"/>
  <c r="L25" i="29"/>
  <c r="M31" i="29"/>
  <c r="M30" i="29"/>
  <c r="B9" i="12"/>
  <c r="A21" i="28"/>
  <c r="M24" i="29"/>
  <c r="L24" i="29"/>
  <c r="A41" i="12"/>
  <c r="L19" i="29"/>
  <c r="M19" i="29"/>
  <c r="L23" i="29"/>
  <c r="M23" i="29"/>
  <c r="M22" i="29"/>
  <c r="L22" i="29"/>
  <c r="L21" i="29"/>
  <c r="M18" i="29"/>
  <c r="M20" i="29"/>
  <c r="M21" i="29"/>
  <c r="L18" i="29"/>
  <c r="L20" i="29"/>
  <c r="P14" i="29"/>
  <c r="F166" i="27" l="1"/>
  <c r="E175" i="27"/>
  <c r="U34" i="29"/>
  <c r="U33" i="29"/>
  <c r="M45" i="29" s="1"/>
  <c r="U30" i="29"/>
  <c r="U29" i="29"/>
  <c r="M44" i="29"/>
  <c r="L44" i="29"/>
  <c r="L45" i="29" l="1"/>
  <c r="D32" i="12" s="1"/>
  <c r="E32" i="12"/>
  <c r="G114" i="27"/>
  <c r="G116" i="27"/>
  <c r="G115" i="27"/>
  <c r="M46" i="29"/>
  <c r="E33" i="12" s="1"/>
  <c r="E116" i="27"/>
  <c r="C115" i="27"/>
  <c r="F116" i="27"/>
  <c r="C116" i="27"/>
  <c r="D116" i="27"/>
  <c r="D114" i="27"/>
  <c r="F114" i="27"/>
  <c r="F115" i="27"/>
  <c r="C114" i="27"/>
  <c r="U40" i="29" s="1" a="1"/>
  <c r="U40" i="29" s="1"/>
  <c r="E115" i="27"/>
  <c r="E114" i="27"/>
  <c r="D115" i="27"/>
  <c r="L46" i="29"/>
  <c r="D33" i="12" s="1"/>
  <c r="C111" i="27"/>
  <c r="C109" i="27"/>
  <c r="C110" i="27"/>
  <c r="J113" i="27" a="1"/>
  <c r="J113" i="27" s="1"/>
  <c r="D31" i="12"/>
  <c r="E31" i="12"/>
  <c r="F175" i="27"/>
  <c r="B47" i="29" s="1"/>
  <c r="U38" i="29"/>
  <c r="U42" i="29"/>
  <c r="U41" i="29"/>
  <c r="D110" i="27"/>
  <c r="E109" i="27"/>
  <c r="F111" i="27"/>
  <c r="D109" i="27"/>
  <c r="E111" i="27"/>
  <c r="F110" i="27"/>
  <c r="D111" i="27"/>
  <c r="E110" i="27"/>
  <c r="F109" i="27"/>
  <c r="U37" i="29"/>
  <c r="G111" i="27"/>
  <c r="G110" i="27"/>
  <c r="G109" i="27"/>
  <c r="J108" i="27" l="1" a="1"/>
  <c r="J108" i="27" s="1"/>
  <c r="U39" i="29" a="1"/>
  <c r="U39" i="29" s="1"/>
  <c r="K51" i="29" s="1"/>
  <c r="D34" i="12" s="1"/>
  <c r="K52" i="29"/>
  <c r="D35" i="12" s="1"/>
  <c r="B64" i="31" l="1"/>
  <c r="C17" i="29" s="1"/>
  <c r="B63" i="31"/>
  <c r="B17" i="29" s="1"/>
  <c r="B65" i="31"/>
  <c r="H17" i="29" s="1"/>
  <c r="B62" i="31"/>
  <c r="A16"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Severin Lenel</author>
  </authors>
  <commentList>
    <comment ref="A381" authorId="0" shapeId="0" xr:uid="{00000000-0006-0000-0400-000001000000}">
      <text>
        <r>
          <rPr>
            <b/>
            <sz val="9"/>
            <color indexed="81"/>
            <rFont val="Tahoma"/>
            <family val="2"/>
          </rPr>
          <t>Achtung:</t>
        </r>
        <r>
          <rPr>
            <sz val="9"/>
            <color indexed="81"/>
            <rFont val="Tahoma"/>
            <family val="2"/>
          </rPr>
          <t xml:space="preserve">
Die Namen der Tabellen Fenster und Tageslicht dürfen keine Leerzeichen enthalten.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<sst xmlns="http://schemas.openxmlformats.org/spreadsheetml/2006/main" count="5323" uniqueCount="2471">
  <si>
    <t>Architekt</t>
  </si>
  <si>
    <t>Ersteller Nachweis</t>
  </si>
  <si>
    <t>Restaurant</t>
  </si>
  <si>
    <t>Schule</t>
  </si>
  <si>
    <t>Neubau</t>
  </si>
  <si>
    <t>Bauherr</t>
  </si>
  <si>
    <t>Projekt-Typ</t>
  </si>
  <si>
    <t>Modernisierung</t>
  </si>
  <si>
    <t>Objektdaten</t>
  </si>
  <si>
    <t>Name</t>
  </si>
  <si>
    <t>New Construction</t>
  </si>
  <si>
    <t>Renovation</t>
  </si>
  <si>
    <t>Sie müssen einen Eintrag aus der Liste wählen.</t>
  </si>
  <si>
    <t>Deutsch</t>
  </si>
  <si>
    <t>Italiano</t>
  </si>
  <si>
    <t>English</t>
  </si>
  <si>
    <t>Projektbezeichnung</t>
  </si>
  <si>
    <t>Fragen</t>
  </si>
  <si>
    <t>Antwort</t>
  </si>
  <si>
    <t>Nein</t>
  </si>
  <si>
    <t>Ja</t>
  </si>
  <si>
    <t>Verwaltung</t>
  </si>
  <si>
    <t>Fenster</t>
  </si>
  <si>
    <t>Bezeichnung</t>
  </si>
  <si>
    <t>Bewertungsskala</t>
  </si>
  <si>
    <t>Gut</t>
  </si>
  <si>
    <t>Befriedigend</t>
  </si>
  <si>
    <t>Ungenügend</t>
  </si>
  <si>
    <t>Version</t>
  </si>
  <si>
    <t>Zusammenfassung der Ergebnisse</t>
  </si>
  <si>
    <t>m2</t>
  </si>
  <si>
    <t>Kurzanleitung</t>
  </si>
  <si>
    <r>
      <t>m</t>
    </r>
    <r>
      <rPr>
        <vertAlign val="superscript"/>
        <sz val="10"/>
        <rFont val="Arial"/>
        <family val="2"/>
      </rPr>
      <t>2</t>
    </r>
  </si>
  <si>
    <t>Berechnungen</t>
  </si>
  <si>
    <t>gut erfüllt</t>
  </si>
  <si>
    <t>erfüllt</t>
  </si>
  <si>
    <t>nicht erfüllt</t>
  </si>
  <si>
    <t>Konstanten</t>
  </si>
  <si>
    <t>Texte</t>
  </si>
  <si>
    <t>ID</t>
  </si>
  <si>
    <t>Gewählt</t>
  </si>
  <si>
    <t>A3</t>
  </si>
  <si>
    <t>A1</t>
  </si>
  <si>
    <t>A5</t>
  </si>
  <si>
    <t>A8</t>
  </si>
  <si>
    <t>A11</t>
  </si>
  <si>
    <t>A17</t>
  </si>
  <si>
    <t>A30</t>
  </si>
  <si>
    <t>A39</t>
  </si>
  <si>
    <t>A40</t>
  </si>
  <si>
    <t>A41</t>
  </si>
  <si>
    <t>A42</t>
  </si>
  <si>
    <t>A43</t>
  </si>
  <si>
    <t>A44</t>
  </si>
  <si>
    <t>A45</t>
  </si>
  <si>
    <t>Francais</t>
  </si>
  <si>
    <t>Auswahlfelder und Textkonstanten</t>
  </si>
  <si>
    <t>Bewertung</t>
  </si>
  <si>
    <t>Fragenkatalog für Modernisierungen</t>
  </si>
  <si>
    <t>E3</t>
  </si>
  <si>
    <t>A7</t>
  </si>
  <si>
    <t>A9</t>
  </si>
  <si>
    <t>A13</t>
  </si>
  <si>
    <t>A19</t>
  </si>
  <si>
    <t>A21</t>
  </si>
  <si>
    <t>Projekttyp</t>
  </si>
  <si>
    <t>Bemerkung Typ</t>
  </si>
  <si>
    <t>JaNein</t>
  </si>
  <si>
    <t>Projet</t>
  </si>
  <si>
    <t>Type de projet</t>
  </si>
  <si>
    <t>Maître de l'ouvrage</t>
  </si>
  <si>
    <t>Architecte</t>
  </si>
  <si>
    <t>sont remplies</t>
  </si>
  <si>
    <t>ne sont pas remplies</t>
  </si>
  <si>
    <t>sont bien remplies</t>
  </si>
  <si>
    <t>Réponse</t>
  </si>
  <si>
    <t xml:space="preserve">Eine ausführliche Anleitung finden Sie auf der Minergie-Website.  </t>
  </si>
  <si>
    <t>Non</t>
  </si>
  <si>
    <t>Oui</t>
  </si>
  <si>
    <t>Progetto</t>
  </si>
  <si>
    <t>Tipo d'intervento</t>
  </si>
  <si>
    <t>Architetto</t>
  </si>
  <si>
    <t>Autore verifica</t>
  </si>
  <si>
    <t>Riassunto</t>
  </si>
  <si>
    <t>Istruzioni dettagliate possono essere trovate sul sito web Minergie.</t>
  </si>
  <si>
    <t>Object data</t>
  </si>
  <si>
    <t>Project</t>
  </si>
  <si>
    <t>Project type</t>
  </si>
  <si>
    <t>Costruttore</t>
  </si>
  <si>
    <t>Architect</t>
  </si>
  <si>
    <t>Overview</t>
  </si>
  <si>
    <t>Quick guide</t>
  </si>
  <si>
    <t>Detailed instructions are available on the Minergie website</t>
  </si>
  <si>
    <t>Questionario ammodernamento</t>
  </si>
  <si>
    <t>Domande</t>
  </si>
  <si>
    <t>Risposte</t>
  </si>
  <si>
    <t>QUESTO FOGLIO DEVE ESSERE COMPLETATO UNICAMENTE IN CASO DI AMMODERNAMENTO</t>
  </si>
  <si>
    <t>Questionnaire for renovations</t>
  </si>
  <si>
    <t>Question</t>
  </si>
  <si>
    <t>Answer</t>
  </si>
  <si>
    <t>THIS SHEET IS ONLY FOR RENOVATIONS</t>
  </si>
  <si>
    <t>Ammodernamento</t>
  </si>
  <si>
    <t>Si</t>
  </si>
  <si>
    <t>No</t>
  </si>
  <si>
    <t>Überblick</t>
  </si>
  <si>
    <t>Résumé</t>
  </si>
  <si>
    <t>Yes</t>
  </si>
  <si>
    <t>Author of verification</t>
  </si>
  <si>
    <t>Eingabemeldungen</t>
  </si>
  <si>
    <t>Wert1</t>
  </si>
  <si>
    <t>Wert2</t>
  </si>
  <si>
    <t>Wert3</t>
  </si>
  <si>
    <t>Wert4</t>
  </si>
  <si>
    <t>Resultat</t>
  </si>
  <si>
    <t>Résultat</t>
  </si>
  <si>
    <t>Risultato</t>
  </si>
  <si>
    <t>Result</t>
  </si>
  <si>
    <t>Fläche</t>
  </si>
  <si>
    <t>Tabelle</t>
  </si>
  <si>
    <t>Adresse</t>
  </si>
  <si>
    <t>Fehler</t>
  </si>
  <si>
    <t>Bitte beachten Sie die beim Anklicken der Eingabefelder erscheinenden Hilfstexte.</t>
  </si>
  <si>
    <t>Bei Fragen zu Zertifizierungsobjekten steht Ihnen die zuständige Zertifizierungsstelle gerne zur Verfügung.</t>
  </si>
  <si>
    <t>Erfassen Sie zuerst die Objektdaten in diesem Blatt.</t>
  </si>
  <si>
    <t>Errore</t>
  </si>
  <si>
    <t>È necessario selezionare una voce dall' elenco.</t>
  </si>
  <si>
    <t>Superficie</t>
  </si>
  <si>
    <t>Se avete domande sugli oggetti di certificazione, contattate il centro di certificazione competente.</t>
  </si>
  <si>
    <t>First, fill out the fileds for the object data in this sheet.</t>
  </si>
  <si>
    <t>Please consider the help texts which appear as soon as you click on a cell.</t>
  </si>
  <si>
    <t>If you have questions on certified objects, don't hesitate to ask the staff of the certification offices.</t>
  </si>
  <si>
    <t>Error</t>
  </si>
  <si>
    <t>Password</t>
  </si>
  <si>
    <t>Sprachwahl</t>
  </si>
  <si>
    <t>Intep01</t>
  </si>
  <si>
    <t>Erreur</t>
  </si>
  <si>
    <t>Surface</t>
  </si>
  <si>
    <t>You must select an element from the list.</t>
  </si>
  <si>
    <t>Area</t>
  </si>
  <si>
    <t>well fulfilled</t>
  </si>
  <si>
    <t>fulfilled</t>
  </si>
  <si>
    <t>not met</t>
  </si>
  <si>
    <t>Fragenkatalog_Modernisierung</t>
  </si>
  <si>
    <t>Questionario_ammodernamento</t>
  </si>
  <si>
    <t>Questionaire_renovations</t>
  </si>
  <si>
    <t>Gebäudekategorie</t>
  </si>
  <si>
    <t>A16</t>
  </si>
  <si>
    <t>A27</t>
  </si>
  <si>
    <t>A29</t>
  </si>
  <si>
    <t>A35</t>
  </si>
  <si>
    <t>A37</t>
  </si>
  <si>
    <t>Tool Graue Energie Minergie-Eco®</t>
  </si>
  <si>
    <t>Wohnen MFH</t>
  </si>
  <si>
    <t>Verkauf</t>
  </si>
  <si>
    <t>Spital</t>
  </si>
  <si>
    <t>Industrie</t>
  </si>
  <si>
    <t>Sportbauten</t>
  </si>
  <si>
    <t>GW1</t>
  </si>
  <si>
    <t>GW2</t>
  </si>
  <si>
    <t>A15</t>
  </si>
  <si>
    <t>DIESES ARBEITSBLATT IST NUR BEI MODERNISIERUNGSPROJEKTEN AUSZUFÜLLEN</t>
  </si>
  <si>
    <t>Das Objekt ist ein Wohngebäude mit einer Energiebezugsfläche von weniger als 5'000 m2 oder ein anderer Gebäudetyp mit einer Energiebezugsfläche von weniger als 2'000 m2.</t>
  </si>
  <si>
    <t>Der überwiegende Teil der bestehenden Bauteile werden beibehalten (keine Auskernung, kein Rückbau auf den Rohbau).</t>
  </si>
  <si>
    <t>Die Kompaktheit des Gebäudes (Verhältnis zwischen thermischer Hüllfläche Ath und Energie-bezugsfläche AE) ist gleich geblieben oder hat sich verbessert.</t>
  </si>
  <si>
    <t xml:space="preserve">Das Gebäudevolumen wurde nicht vergrössert (ausgenommen sind Vergrösserungen, die sich durch zusätzliche Dämmschichten ergeben)
Oder
Die Geschossfläche des zusätzlichen Volumens beträgt nicht mehr als 20% der bestehenden Geschossfläche.
</t>
  </si>
  <si>
    <t xml:space="preserve">Die Fensterflächen in der Fassade und dem Dach wurden maximal um 20% vergrössert
Und
Die Rahmen von ersetzten oder neuen Fenstern bestehen aus Holz oder Holz-Metall. 
</t>
  </si>
  <si>
    <t>Die tragenden Bauteile des Gebäudes wurden nicht verändert (ausgenommen sind einzelne Durchbrüche bis 3 m2 Fläche in tragenden Wänden sowie Verstärkungen zur Erdbebenertüchtigung).</t>
  </si>
  <si>
    <t>Die Aussenwände über Terrain und das Dach wurden nicht modernisiert bzw. in identischer Materialisierung erneuert (ausgenommen bleiben zusätzliche Dämmschichten)
Oder
Die ersetzten oder neu erstellten Aussenwände bestehen aus einer der folgenden Konstruktionen:
- Einschalige Massivkonstruktion mit leichter Verkleidung (Holz, Holzwerkstoffe, Faserzement, Betonelemente &lt; 8 cm dick, PV-Panel etc.) 
- Holzrahmenbau mit Kompaktfassade oder leichter Verkleidung
- Einschalige Massivkonstruktion mit Kompaktfassade</t>
  </si>
  <si>
    <t>The requirements of Minergie-Eco are respected. A more detailed calculation is not necessary.</t>
  </si>
  <si>
    <t>B5</t>
  </si>
  <si>
    <t>B7</t>
  </si>
  <si>
    <t>B9</t>
  </si>
  <si>
    <t>B11</t>
  </si>
  <si>
    <t>B13</t>
  </si>
  <si>
    <t>B15</t>
  </si>
  <si>
    <t>B17</t>
  </si>
  <si>
    <t>Objektgrösse</t>
  </si>
  <si>
    <t>Kompaktheit</t>
  </si>
  <si>
    <t>Eingriffstiefe</t>
  </si>
  <si>
    <t>Konstruktion Aussenwände über Terrain und Dach</t>
  </si>
  <si>
    <t>Erweiterungen</t>
  </si>
  <si>
    <t>Anpassung Tragstruktur</t>
  </si>
  <si>
    <t xml:space="preserve">Erdsonde  </t>
  </si>
  <si>
    <t>Anzahl Stockwerke unbeheizt</t>
  </si>
  <si>
    <t>Anzahl Stockwerke unter Terrain</t>
  </si>
  <si>
    <t>Berechnung</t>
  </si>
  <si>
    <t>Allgemeine Angaben</t>
  </si>
  <si>
    <t>Energiebezugsfläche</t>
  </si>
  <si>
    <t>Geschossfläche</t>
  </si>
  <si>
    <t>eBKP-H</t>
  </si>
  <si>
    <t>m</t>
  </si>
  <si>
    <t>Geschossfläche in Untergeschossen</t>
  </si>
  <si>
    <t>Bauteile und Gebäudetechnik</t>
  </si>
  <si>
    <t>Bauteil-Bezeichnung</t>
  </si>
  <si>
    <t>C13</t>
  </si>
  <si>
    <t>Link</t>
  </si>
  <si>
    <t>THGE
kg/m2</t>
  </si>
  <si>
    <t>B Vorbereitung</t>
  </si>
  <si>
    <t>C1 Bodenplatte, Fundament</t>
  </si>
  <si>
    <t>C2.1 Aussenwandkonstruktion u.T</t>
  </si>
  <si>
    <t>C2.1 Aussenwandkonstruktion ü.T</t>
  </si>
  <si>
    <t>C2.2 Innenwandkonstruktion</t>
  </si>
  <si>
    <t>C4.1 Decke</t>
  </si>
  <si>
    <t>C4.3 Balkon</t>
  </si>
  <si>
    <t>C4.4 Dachkonstruktion</t>
  </si>
  <si>
    <t>D Technik Gebäude</t>
  </si>
  <si>
    <t>E1 Äussere Wandbekleidung u.T.</t>
  </si>
  <si>
    <t>E2 Äussere Wandbekleidung ü.T.</t>
  </si>
  <si>
    <t>E3 Einbauten zu Aussenwand</t>
  </si>
  <si>
    <t>F Bedachung Gebäude</t>
  </si>
  <si>
    <t>G Ausbau Gebäude</t>
  </si>
  <si>
    <t>Verwenden Sie dazu die Flächenauszüge und Bauteile aus der Energieberechnung (falls vorhanden).</t>
  </si>
  <si>
    <t>Code BTK</t>
  </si>
  <si>
    <t>BKPshort</t>
  </si>
  <si>
    <t>Bauteile Neubau</t>
  </si>
  <si>
    <t>Bauteile Modernisierung</t>
  </si>
  <si>
    <t>BKP_B</t>
  </si>
  <si>
    <t>BKP_C1</t>
  </si>
  <si>
    <t>BKP_C211</t>
  </si>
  <si>
    <t>BKP_C212</t>
  </si>
  <si>
    <t>BKP_C22</t>
  </si>
  <si>
    <t>BKP_C41</t>
  </si>
  <si>
    <t>BKP_C43</t>
  </si>
  <si>
    <t>BKP_C44</t>
  </si>
  <si>
    <t>BKP_D</t>
  </si>
  <si>
    <t>BKP_E3</t>
  </si>
  <si>
    <t>BKP_G</t>
  </si>
  <si>
    <t>Energiestandard</t>
  </si>
  <si>
    <t>Minergie-P/-A</t>
  </si>
  <si>
    <t>MuKEn/Minergie</t>
  </si>
  <si>
    <t>ListEnStandard</t>
  </si>
  <si>
    <t>ListProjekttyp</t>
  </si>
  <si>
    <r>
      <t>Fläche
m</t>
    </r>
    <r>
      <rPr>
        <vertAlign val="superscript"/>
        <sz val="10"/>
        <color indexed="9"/>
        <rFont val="Arial"/>
        <family val="2"/>
      </rPr>
      <t>2</t>
    </r>
  </si>
  <si>
    <t>BauteileNew</t>
  </si>
  <si>
    <t>BauteileRen</t>
  </si>
  <si>
    <t>Dummy RD30</t>
  </si>
  <si>
    <t>Dummy RD31</t>
  </si>
  <si>
    <t>Dummy RD32</t>
  </si>
  <si>
    <t>Dummy RD33</t>
  </si>
  <si>
    <t>Dummy RD34</t>
  </si>
  <si>
    <t>Dummy RD35</t>
  </si>
  <si>
    <t>Auto-Ausmass</t>
  </si>
  <si>
    <t>AutoAusmass</t>
  </si>
  <si>
    <t>PEne
kWh/m2</t>
  </si>
  <si>
    <t>-</t>
  </si>
  <si>
    <t>Bezugsgrösse</t>
  </si>
  <si>
    <t>Einheit</t>
  </si>
  <si>
    <t>Graue Energie</t>
  </si>
  <si>
    <t>Treibhausgasemissionenen</t>
  </si>
  <si>
    <t>Herstellung [kWh]</t>
  </si>
  <si>
    <t>Entsorgung [kWh]</t>
  </si>
  <si>
    <t>Umweltbelastungspunkte</t>
  </si>
  <si>
    <t>Erstellung pro Jahr [UBP/a]</t>
  </si>
  <si>
    <t>Herstellung [UBP]</t>
  </si>
  <si>
    <t>Entsorgung [UBP]</t>
  </si>
  <si>
    <t>BTF</t>
  </si>
  <si>
    <t>m3</t>
  </si>
  <si>
    <t>Gebäudetechnik</t>
  </si>
  <si>
    <t>Wohnen</t>
  </si>
  <si>
    <t>EBF</t>
  </si>
  <si>
    <t>kWp</t>
  </si>
  <si>
    <t>Wärmeerzeugung</t>
  </si>
  <si>
    <t>N_BKP_B</t>
  </si>
  <si>
    <t>N_BKP_C1</t>
  </si>
  <si>
    <t>N_BKP_C211</t>
  </si>
  <si>
    <t>N_BKP_C212</t>
  </si>
  <si>
    <t>N_BKP_C22</t>
  </si>
  <si>
    <t>N_BKP_C41</t>
  </si>
  <si>
    <t>N_BKP_C44</t>
  </si>
  <si>
    <t>N_BKP_D</t>
  </si>
  <si>
    <t>N_BKP_E3</t>
  </si>
  <si>
    <t>R_BKP_C44</t>
  </si>
  <si>
    <t>R_BKP_C212</t>
  </si>
  <si>
    <t>R_BKP_C41</t>
  </si>
  <si>
    <t>R_BKP_C1</t>
  </si>
  <si>
    <t>BKPshortN</t>
  </si>
  <si>
    <t>BKPshortR</t>
  </si>
  <si>
    <t>PEne Bauteil
kWh/m2a</t>
  </si>
  <si>
    <t>THGE Bauteil
kg/m2a</t>
  </si>
  <si>
    <t>UBP Bauteil
UBP/m2a</t>
  </si>
  <si>
    <t>AusmassName</t>
  </si>
  <si>
    <t>AusmAushub</t>
  </si>
  <si>
    <t>AusmIW</t>
  </si>
  <si>
    <t>AusmDecke</t>
  </si>
  <si>
    <t>AusmTech</t>
  </si>
  <si>
    <t xml:space="preserve">#
</t>
  </si>
  <si>
    <t>CodeAuswertung</t>
  </si>
  <si>
    <t>Huelle</t>
  </si>
  <si>
    <t>Innen</t>
  </si>
  <si>
    <t>Erstellung p.a. [kWh/a]</t>
  </si>
  <si>
    <r>
      <t>Erstellung p.a. [kg CO</t>
    </r>
    <r>
      <rPr>
        <vertAlign val="subscript"/>
        <sz val="10"/>
        <color theme="0"/>
        <rFont val="Arial"/>
        <family val="2"/>
      </rPr>
      <t>2</t>
    </r>
    <r>
      <rPr>
        <sz val="10"/>
        <color theme="0"/>
        <rFont val="Arial"/>
        <family val="2"/>
      </rPr>
      <t>-eq./a]</t>
    </r>
  </si>
  <si>
    <r>
      <t>Herstellung [kg CO</t>
    </r>
    <r>
      <rPr>
        <vertAlign val="subscript"/>
        <sz val="10"/>
        <color theme="0"/>
        <rFont val="Arial"/>
        <family val="2"/>
      </rPr>
      <t>2</t>
    </r>
    <r>
      <rPr>
        <sz val="10"/>
        <color theme="0"/>
        <rFont val="Arial"/>
        <family val="2"/>
      </rPr>
      <t>-eq.]</t>
    </r>
  </si>
  <si>
    <r>
      <t>Entsorgung [kg CO</t>
    </r>
    <r>
      <rPr>
        <vertAlign val="subscript"/>
        <sz val="10"/>
        <color theme="0"/>
        <rFont val="Arial"/>
        <family val="2"/>
      </rPr>
      <t>2</t>
    </r>
    <r>
      <rPr>
        <sz val="10"/>
        <color theme="0"/>
        <rFont val="Arial"/>
        <family val="2"/>
      </rPr>
      <t>-eq.]</t>
    </r>
  </si>
  <si>
    <t>Amorti-</t>
  </si>
  <si>
    <t>sation [a]</t>
  </si>
  <si>
    <t>Datum, Unterschrift</t>
  </si>
  <si>
    <t>Data, firma</t>
  </si>
  <si>
    <t>Date, signature</t>
  </si>
  <si>
    <t>kWh/m2a</t>
  </si>
  <si>
    <t>kg/m2a</t>
  </si>
  <si>
    <t>Bauphysiker</t>
  </si>
  <si>
    <t>Building Sciences</t>
  </si>
  <si>
    <t>A18</t>
  </si>
  <si>
    <t>A24</t>
  </si>
  <si>
    <t>A46</t>
  </si>
  <si>
    <t>A47</t>
  </si>
  <si>
    <t>Angestrebtes Zertifikat</t>
  </si>
  <si>
    <t>ListCert</t>
  </si>
  <si>
    <t>MINERGIE-ECO</t>
  </si>
  <si>
    <t>SIA Effizienzpfad Energie</t>
  </si>
  <si>
    <t>Kein Standard</t>
  </si>
  <si>
    <t>Projektwerte</t>
  </si>
  <si>
    <t>D30</t>
  </si>
  <si>
    <t>A34</t>
  </si>
  <si>
    <t>E30</t>
  </si>
  <si>
    <t>Der Richtwert Graue Energie Erstellung gemäss SIA Effizienzpfad Energie ist</t>
  </si>
  <si>
    <t>Der Richtwert Treibhausgasemissionen Erstellung gemäss SIA Effizienzpfad Energie ist</t>
  </si>
  <si>
    <r>
      <t>THGE
kg/m</t>
    </r>
    <r>
      <rPr>
        <vertAlign val="superscript"/>
        <sz val="10"/>
        <rFont val="Arial"/>
        <family val="2"/>
      </rPr>
      <t>2</t>
    </r>
    <r>
      <rPr>
        <sz val="10"/>
        <rFont val="Arial"/>
        <family val="2"/>
      </rPr>
      <t>a</t>
    </r>
  </si>
  <si>
    <r>
      <t>PEne (Graue En.)
kWh/m</t>
    </r>
    <r>
      <rPr>
        <vertAlign val="superscript"/>
        <sz val="10"/>
        <rFont val="Arial"/>
        <family val="2"/>
      </rPr>
      <t>2</t>
    </r>
    <r>
      <rPr>
        <sz val="10"/>
        <rFont val="Arial"/>
        <family val="2"/>
      </rPr>
      <t>a</t>
    </r>
  </si>
  <si>
    <t>Die Anforderung von Minergie-Eco an die Graue Energie ist</t>
  </si>
  <si>
    <t>Übertrag aus anderen Rechenblättern</t>
  </si>
  <si>
    <t>A6</t>
  </si>
  <si>
    <t>A10</t>
  </si>
  <si>
    <t>Wert5</t>
  </si>
  <si>
    <t>Wert6</t>
  </si>
  <si>
    <t>Wert7</t>
  </si>
  <si>
    <t xml:space="preserve">ECO 
Ergebnis PEne </t>
  </si>
  <si>
    <t xml:space="preserve">SNBS 
Ergebnis PEne </t>
  </si>
  <si>
    <t>SNBS_GWPE</t>
  </si>
  <si>
    <t>SNBS_GWTH</t>
  </si>
  <si>
    <t>EffiPfad_GWPE</t>
  </si>
  <si>
    <t>Fachgeschäft</t>
  </si>
  <si>
    <t>Lebensmittelgeschäft</t>
  </si>
  <si>
    <t>EffiPfad_GWTH</t>
  </si>
  <si>
    <t>ListEcoKat</t>
  </si>
  <si>
    <t>ListSNBSkat</t>
  </si>
  <si>
    <t>ListEffiPfadKat</t>
  </si>
  <si>
    <t>Grundrisstyp</t>
  </si>
  <si>
    <t>ListIWtyp</t>
  </si>
  <si>
    <r>
      <t>L</t>
    </r>
    <r>
      <rPr>
        <b/>
        <vertAlign val="subscript"/>
        <sz val="10"/>
        <rFont val="DIN-Regular"/>
        <family val="2"/>
      </rPr>
      <t xml:space="preserve">SIW  </t>
    </r>
    <r>
      <rPr>
        <b/>
        <sz val="10"/>
        <rFont val="DIN-Regular"/>
        <family val="2"/>
      </rPr>
      <t>[m/m</t>
    </r>
    <r>
      <rPr>
        <b/>
        <vertAlign val="superscript"/>
        <sz val="10"/>
        <rFont val="DIN-Regular"/>
        <family val="2"/>
      </rPr>
      <t>2</t>
    </r>
    <r>
      <rPr>
        <b/>
        <sz val="10"/>
        <rFont val="DIN-Regular"/>
        <family val="2"/>
      </rPr>
      <t>]</t>
    </r>
  </si>
  <si>
    <t>MxIWausmass</t>
  </si>
  <si>
    <t>Innenwandmenge</t>
  </si>
  <si>
    <t>Wert</t>
  </si>
  <si>
    <t xml:space="preserve">SIA 2040 Ergebnis PEne </t>
  </si>
  <si>
    <t>SIA 2040 Ergebnis THGE</t>
  </si>
  <si>
    <t>SNBS Ergebnis THGE</t>
  </si>
  <si>
    <t>Museen</t>
  </si>
  <si>
    <t>Kleine Schulbauten</t>
  </si>
  <si>
    <t>Kleine Wohnbauten</t>
  </si>
  <si>
    <t>Energiestandard Gebäude</t>
  </si>
  <si>
    <t>Grenzwerte</t>
  </si>
  <si>
    <t>Keine Grenzwerte definiert</t>
  </si>
  <si>
    <t>Zielwert</t>
  </si>
  <si>
    <t>SIA 2040 PEne</t>
  </si>
  <si>
    <t>SIA 2040 THGE</t>
  </si>
  <si>
    <t>Keine Anforderung bezüglich Grauer Energie</t>
  </si>
  <si>
    <t>Keine Anforderung bezüglich Treibhausgasemissionen</t>
  </si>
  <si>
    <t>A14</t>
  </si>
  <si>
    <t>Falsche Gebäudekategorie - bitte neu auswählen</t>
  </si>
  <si>
    <t>Geb.Kat. ECO</t>
  </si>
  <si>
    <t>Geb.Kat. SNBS</t>
  </si>
  <si>
    <t>Geb.Kat. EffiPfad</t>
  </si>
  <si>
    <t>Fehler in Eingabefeld</t>
  </si>
  <si>
    <t>OK</t>
  </si>
  <si>
    <t>G3</t>
  </si>
  <si>
    <t>Mittlere Raumhöhe</t>
  </si>
  <si>
    <t>Photovoltaik-Anlage (Absorberfläche)</t>
  </si>
  <si>
    <t>Neubau in MJ/m2a</t>
  </si>
  <si>
    <t>Bauteil</t>
  </si>
  <si>
    <t>Sanitäranlagen</t>
  </si>
  <si>
    <t>Lüftung</t>
  </si>
  <si>
    <t>Wärmeverteilung</t>
  </si>
  <si>
    <t>Wärmeabgabe</t>
  </si>
  <si>
    <t>Elektroanlagen</t>
  </si>
  <si>
    <t>Wert8</t>
  </si>
  <si>
    <t>Wert9</t>
  </si>
  <si>
    <t>Wert10</t>
  </si>
  <si>
    <t>Wert11</t>
  </si>
  <si>
    <t>Neubau kWh/m2a</t>
  </si>
  <si>
    <t>Umbau kWh/m2a</t>
  </si>
  <si>
    <t>G5</t>
  </si>
  <si>
    <t>G6</t>
  </si>
  <si>
    <t>G7</t>
  </si>
  <si>
    <t>G10</t>
  </si>
  <si>
    <t>G8</t>
  </si>
  <si>
    <t>C5</t>
  </si>
  <si>
    <t>C6</t>
  </si>
  <si>
    <t>C7</t>
  </si>
  <si>
    <t>C8</t>
  </si>
  <si>
    <t>C9</t>
  </si>
  <si>
    <t>C10</t>
  </si>
  <si>
    <t>Gebäude</t>
  </si>
  <si>
    <t>Flächen</t>
  </si>
  <si>
    <t>Geschosse</t>
  </si>
  <si>
    <t>B43</t>
  </si>
  <si>
    <t>C11</t>
  </si>
  <si>
    <t>G11</t>
  </si>
  <si>
    <t>C12</t>
  </si>
  <si>
    <t>Lüftungsanlage ersetzt oder neu?</t>
  </si>
  <si>
    <t>Sanitäranlage ersetzt oder neu?</t>
  </si>
  <si>
    <t>Elektroanlagen ersetzt oder neu?</t>
  </si>
  <si>
    <t>Wärmeerzeugung ersetzt oder neu?</t>
  </si>
  <si>
    <t>Wärmeverteilung ersetzt oder neu?</t>
  </si>
  <si>
    <t>Wärmeabgabe ersetzt oder neu?</t>
  </si>
  <si>
    <t>G12</t>
  </si>
  <si>
    <t>C14</t>
  </si>
  <si>
    <t>G13</t>
  </si>
  <si>
    <t>C17</t>
  </si>
  <si>
    <t>H17</t>
  </si>
  <si>
    <t>I17</t>
  </si>
  <si>
    <t>J17</t>
  </si>
  <si>
    <t>K17</t>
  </si>
  <si>
    <t>L17</t>
  </si>
  <si>
    <t>B44</t>
  </si>
  <si>
    <t>Therm. Solaranlage (Absorberfläche)</t>
  </si>
  <si>
    <t>Boden beheizt geg. unbeh./Erdreich</t>
  </si>
  <si>
    <t>BodenFlaeche</t>
  </si>
  <si>
    <t>WandFlaeche_UeT</t>
  </si>
  <si>
    <t>DachFlaeche</t>
  </si>
  <si>
    <t>FensterFlaeche</t>
  </si>
  <si>
    <t>Bitte füllen Sie diesen Fragebogen vollständig aus.</t>
  </si>
  <si>
    <t>Die Anforderungen von MINERGIE-ECO an Modernisierungen sind erfüllt. Eine detaillierte Berechnung ist nicht nötig. 
Bitte tragen Sie folgende Werte ins Online Tool ein: GW1: 1; GW2: 3; Projektwert: 2.</t>
  </si>
  <si>
    <t>Für die nicht von einer Sanierung betroffenen Bauteile müssen in jedem BKPshort-Bereich Bauteile mit 0er Werten vorhanden sein.</t>
  </si>
  <si>
    <t>E37</t>
  </si>
  <si>
    <t>E5:E5</t>
  </si>
  <si>
    <t>E6:E6</t>
  </si>
  <si>
    <t>E7:E7</t>
  </si>
  <si>
    <t>E8:E8</t>
  </si>
  <si>
    <t>E9:E9</t>
  </si>
  <si>
    <t>E10:E10</t>
  </si>
  <si>
    <t>E11:E11</t>
  </si>
  <si>
    <t>E12:E12</t>
  </si>
  <si>
    <t>E13:E13</t>
  </si>
  <si>
    <t>E14:E14</t>
  </si>
  <si>
    <t>B18:B42</t>
  </si>
  <si>
    <t>H18:H42</t>
  </si>
  <si>
    <t>I18:I42</t>
  </si>
  <si>
    <t>Wählen Sie den angestrebten Energiestandard aus.</t>
  </si>
  <si>
    <t>Bitte geben Sie die EBF des Gebäudes ein.</t>
  </si>
  <si>
    <t>Die EBF muss zwischen 0 und 200'000 m2 liegen.</t>
  </si>
  <si>
    <t>Geben Sie die Fläche ein.</t>
  </si>
  <si>
    <t>Stockwerke unbeheizt</t>
  </si>
  <si>
    <t>Geben Sie die Anzahl der unbeheizten Geschosse ein (Dezimalzahlen sind erlaubt).</t>
  </si>
  <si>
    <t>Sie müssen Werte zwischen 0 und 20 eingeben.</t>
  </si>
  <si>
    <t>Geben Sie die mittlere Raumhöhe über alle beheizten Geschosse ein.</t>
  </si>
  <si>
    <t>PV-Anlage</t>
  </si>
  <si>
    <t>Geben Sie die Nettofläche der PV-Absorber ein.</t>
  </si>
  <si>
    <t>Sie müssen Werte zwischen 0 und der 2.5-fachen Geschossfläche eingeben.</t>
  </si>
  <si>
    <t>Ersonden</t>
  </si>
  <si>
    <t>Wählen Sie Ja, falls Erdsonden neu verlegt oder ersetzt werden.</t>
  </si>
  <si>
    <t>Wählen Sie Ja, wenn die Elektroinstallationen mehrheitlich ersetzt oder neu eingebaut werden.</t>
  </si>
  <si>
    <t>Wählen Sie Ja, wenn die Lüftungsanlagen mehrheitlich ersetzt oder neu eingebaut werden.</t>
  </si>
  <si>
    <t>Lüftungsanlagen</t>
  </si>
  <si>
    <t>Wärmeverteilungen</t>
  </si>
  <si>
    <t>Wählen Sie Ja, wenn die Wärmeverteilungen mehrheitlich ersetzt oder neu erstellt werden.</t>
  </si>
  <si>
    <t>Wählen Sie den am besten zutreffenden Grundriss-Typ aus der Liste.</t>
  </si>
  <si>
    <t>Geben Sie die Geschossfläche (inkl. unbeheizte Flächen im Gebäude) ein.</t>
  </si>
  <si>
    <t>Sie müssen Werte zwischen 0 und 300'000 eingeben.</t>
  </si>
  <si>
    <t>Geben Sie die Geschossfläche in den UG's ein.</t>
  </si>
  <si>
    <t>Sie müssen Werte zwischen 0 und dem Wert der Geschossfläche eingeben.</t>
  </si>
  <si>
    <t>Stockwerke unter Terrain</t>
  </si>
  <si>
    <t>Geben Sie die Anzahl der Geschosse unter Terrain ein (Dezimalzahlen sind erlaubt).</t>
  </si>
  <si>
    <t>Sie müssen Werte zwischen 0 und 10 eingeben.</t>
  </si>
  <si>
    <t>Thermische Solaranlage</t>
  </si>
  <si>
    <t>Geben Sie die Nettofläche der Absorber ein.</t>
  </si>
  <si>
    <t>Wählen Sie Ja, wenn die Wärmeerzeugung mehrheitlich ersetzt oder neu eingebaut wird.</t>
  </si>
  <si>
    <t>Wählen Sie Ja, wenn die Wärmeabgabe (Heizkörper etc.) mehrheitlich ersetzt oder neu eingebaut wird.</t>
  </si>
  <si>
    <t>Wählen Sie Ja, wenn die Sanitäranlagen mehrheitlich ersetzt oder neu eingebaut werden.</t>
  </si>
  <si>
    <t>Wählen Sie die entsprechende Kategorie des eBK-H aus der Liste.</t>
  </si>
  <si>
    <t>Wählen Sie einen Energiestandard aus der Liste.</t>
  </si>
  <si>
    <t>Sie müssen ganzzahlige Werte zwischen 0 und 99'999 eingeben.</t>
  </si>
  <si>
    <t>You must enter values between 0 and 99'999.</t>
  </si>
  <si>
    <t>Faktor</t>
  </si>
  <si>
    <t>Minergie-P</t>
  </si>
  <si>
    <t>Ergebnis</t>
  </si>
  <si>
    <t>Summe</t>
  </si>
  <si>
    <t>Wert Col E</t>
  </si>
  <si>
    <t>Wert Col J</t>
  </si>
  <si>
    <t>Sie müssen Werte zwischen 0 und der EBF eingeben.</t>
  </si>
  <si>
    <t>FaktorMEP</t>
  </si>
  <si>
    <t>Ws02</t>
  </si>
  <si>
    <t>Ws01</t>
  </si>
  <si>
    <t>Ws03</t>
  </si>
  <si>
    <t>Ws26</t>
  </si>
  <si>
    <t>Ds01</t>
  </si>
  <si>
    <t>Ds02</t>
  </si>
  <si>
    <t>Ds05</t>
  </si>
  <si>
    <t>Ds10</t>
  </si>
  <si>
    <t>Ds14</t>
  </si>
  <si>
    <t>Dsi01</t>
  </si>
  <si>
    <t>Dsi02</t>
  </si>
  <si>
    <t>Dsi06</t>
  </si>
  <si>
    <t>Dsi07</t>
  </si>
  <si>
    <t>Bs07</t>
  </si>
  <si>
    <t>Bsi17</t>
  </si>
  <si>
    <t>R_BKP_C22</t>
  </si>
  <si>
    <t>https://goo.gl/JPvm16</t>
  </si>
  <si>
    <t>https://goo.gl/sVnE6C</t>
  </si>
  <si>
    <t>https://goo.gl/asmk8p</t>
  </si>
  <si>
    <t>https://goo.gl/av4o76</t>
  </si>
  <si>
    <t>https://goo.gl/g4fxdv</t>
  </si>
  <si>
    <t>https://goo.gl/LmzBbu</t>
  </si>
  <si>
    <t>https://goo.gl/KYbs1T</t>
  </si>
  <si>
    <t>https://goo.gl/hq7GQ4</t>
  </si>
  <si>
    <t>https://goo.gl/GQWRzV</t>
  </si>
  <si>
    <t>https://goo.gl/xKxbmY</t>
  </si>
  <si>
    <t>https://goo.gl/SxXoFA</t>
  </si>
  <si>
    <t>https://goo.gl/zEaUJS</t>
  </si>
  <si>
    <t>https://goo.gl/CsXc3F</t>
  </si>
  <si>
    <t>https://goo.gl/Nzbt5Z</t>
  </si>
  <si>
    <t>https://goo.gl/Wj94x7</t>
  </si>
  <si>
    <t>Die Links des Bauteilkatalogs sind für Excel zu lang (max. 256 Zeichen). Deshalb wurden sie mit dem URL-Shortener goo.gl gekürzt.</t>
  </si>
  <si>
    <t>Anleitung: Über das Kürzel BKPshort und die gleich benannten Bereiche in dieser Tabelle werden die Bauteile gruppiert (Indirekt-Funktion). Die Bauteilliste ist nach BKPshort zu sortieren, die Bezeichnungen der davon erfassten Bauteile müssen in einem identisch benannten, zusammenhängenden Bereich liegen. Die Bezeichnungen der Bauteile sind im Blatt "Texte" hinterlegt (Mehrsprachigkeit!).</t>
  </si>
  <si>
    <t>Balkendecke, sichtbare Balken, einfache Decke mit Nassestrich (Lignum)</t>
  </si>
  <si>
    <t>Balkendecke, Nassestrich mit heruntergehängter Decke (Lignum)</t>
  </si>
  <si>
    <t>Balkendecke, Trockenestrich mit heruntergehängter Decke (Lignum)</t>
  </si>
  <si>
    <t>Balkendecke, sichtbare Balken, einfache Decke mit Trockenestrich (Lignum)</t>
  </si>
  <si>
    <t>Hohlkastendecke, Nassestrich, ohne heruntergeh. Decke (Lignum)</t>
  </si>
  <si>
    <t>Hohlkastendecke, Nassestrich mit heruntergeh. Decke (Lignum)</t>
  </si>
  <si>
    <t>Massivholzdecke, Nassestrich ohne heruntergeh. Decke (Lignum)</t>
  </si>
  <si>
    <t>Massivholzdecke, Trockenestrich mit herunterge. Decke (Lignum)</t>
  </si>
  <si>
    <t>Massivholzdecke, Nassestrich mit heruntergeh. Decke (Lignum)</t>
  </si>
  <si>
    <t>Holz-Beton-Verbunddecke, Nassestrich ohne heruntergeh. Decke (Lignum)</t>
  </si>
  <si>
    <t>Trennwand 2-Schalig, Ständer, Gipskarton einfach beplankt (Lignum)</t>
  </si>
  <si>
    <t>Trennwand 1-schalig, Ständer, Gipskarton einfach beplankt (Lignum)</t>
  </si>
  <si>
    <t>Trennwand Holz massiv, mit Vorsatzschale Gipskarton doppelt beplankt (Lignum)</t>
  </si>
  <si>
    <t>Aussenwand Holzständer, innen Vorsatzschale 1-fach beplankt (Lignum)</t>
  </si>
  <si>
    <t>Aussenwand Holz massiv, innen Vorsatzschale 1-fach beplankt (Lignum)</t>
  </si>
  <si>
    <t>Dachkonstruktion Holz, Balken/Sparren sichtbar (Lignum)</t>
  </si>
  <si>
    <t>Dachkonstruktion Holz, Balken/Sparren mit HWS-Platte beplankt (Lignum)</t>
  </si>
  <si>
    <t>Dachkonstruktion Holz massiv (Lignum)</t>
  </si>
  <si>
    <t>https://lignumdata.ch/detail.cfm?page=detail&amp;lid=D0278</t>
  </si>
  <si>
    <t>https://lignumdata.ch/detail.cfm?page=detail&amp;lid=D0737</t>
  </si>
  <si>
    <t>https://lignumdata.ch/detail.cfm?page=detail&amp;lid=B0031</t>
  </si>
  <si>
    <t>https://lignumdata.ch/detail.cfm?page=detail&amp;lid=C0101</t>
  </si>
  <si>
    <t>https://lignumdata.ch/detail.cfm?page=detail&amp;lid=C0115</t>
  </si>
  <si>
    <t>B0031</t>
  </si>
  <si>
    <t>C0101</t>
  </si>
  <si>
    <t>C0115</t>
  </si>
  <si>
    <t>D0278</t>
  </si>
  <si>
    <t>D0737</t>
  </si>
  <si>
    <t>A0090</t>
  </si>
  <si>
    <t>A0120</t>
  </si>
  <si>
    <t>A0129</t>
  </si>
  <si>
    <t>A0234</t>
  </si>
  <si>
    <t>A0440</t>
  </si>
  <si>
    <t>A0318</t>
  </si>
  <si>
    <t>A1095</t>
  </si>
  <si>
    <t>A1161</t>
  </si>
  <si>
    <t>A1123</t>
  </si>
  <si>
    <t>A1349</t>
  </si>
  <si>
    <t>https://lignumdata.ch/detail.cfm?page=detail&amp;lid=A0090</t>
  </si>
  <si>
    <t>https://lignumdata.ch/detail.cfm?page=detail&amp;lid=A0120</t>
  </si>
  <si>
    <t>https://lignumdata.ch/detail.cfm?page=detail&amp;lid=A0129</t>
  </si>
  <si>
    <t>https://lignumdata.ch/detail.cfm?page=detail&amp;lid=A0234</t>
  </si>
  <si>
    <t>https://lignumdata.ch/detail.cfm?page=detail&amp;lid=A0440</t>
  </si>
  <si>
    <t>https://lignumdata.ch/detail.cfm?page=detail&amp;lid=A0318</t>
  </si>
  <si>
    <t>https://lignumdata.ch/detail.cfm?page=detail&amp;lid=A1095</t>
  </si>
  <si>
    <t>https://lignumdata.ch/detail.cfm?page=detail&amp;lid=A1161</t>
  </si>
  <si>
    <t>https://lignumdata.ch/detail.cfm?page=detail&amp;lid=A1123</t>
  </si>
  <si>
    <t>https://lignumdata.ch/detail.cfm?page=detail&amp;lid=A1349</t>
  </si>
  <si>
    <t>E0056</t>
  </si>
  <si>
    <t>E0105</t>
  </si>
  <si>
    <t>E0135</t>
  </si>
  <si>
    <t>https://lignumdata.ch/detail.cfm?page=detail&amp;lid=E0056</t>
  </si>
  <si>
    <t>https://lignumdata.ch/detail.cfm?page=detail&amp;lid=E0105</t>
  </si>
  <si>
    <t>https://lignumdata.ch/detail.cfm?page=detail&amp;lid=E0135</t>
  </si>
  <si>
    <t>Die Bewertung gemäss SNBS Indikator 301.1 ergibt</t>
  </si>
  <si>
    <t>Die Bewertung gemäss SNBS Indikator 302.1 ergibt</t>
  </si>
  <si>
    <t>Quelle</t>
  </si>
  <si>
    <t>https://goo.gl/iXBFAy</t>
  </si>
  <si>
    <t>D2.B14</t>
  </si>
  <si>
    <t>D2.B15</t>
  </si>
  <si>
    <t>https://goo.gl/vFCBc2</t>
  </si>
  <si>
    <t>E0.B03</t>
  </si>
  <si>
    <t>https://goo.gl/GrvkoZ</t>
  </si>
  <si>
    <t>E0.B01</t>
  </si>
  <si>
    <t>https://goo.gl/MDKSqY</t>
  </si>
  <si>
    <t>E0.B09</t>
  </si>
  <si>
    <t>https://goo.gl/szUwGP</t>
  </si>
  <si>
    <t>https://goo.gl/mBzY9S</t>
  </si>
  <si>
    <t>E0.B21</t>
  </si>
  <si>
    <t>E0.B301</t>
  </si>
  <si>
    <t>https://goo.gl/6G6jY3</t>
  </si>
  <si>
    <t>E0.B303</t>
  </si>
  <si>
    <t>https://goo.gl/vSEB7X</t>
  </si>
  <si>
    <t>E0.Bi06</t>
  </si>
  <si>
    <t>https://goo.gl/F3Hrxq</t>
  </si>
  <si>
    <t>E0.Bi102</t>
  </si>
  <si>
    <t>https://goo.gl/WF5Qrk</t>
  </si>
  <si>
    <t>E1.D01</t>
  </si>
  <si>
    <t>https://goo.gl/k7czna</t>
  </si>
  <si>
    <t>E1.D07</t>
  </si>
  <si>
    <t>https://goo.gl/mdc51X</t>
  </si>
  <si>
    <t>E1.D08</t>
  </si>
  <si>
    <t>https://goo.gl/yyMUbU</t>
  </si>
  <si>
    <t>E1.Di03</t>
  </si>
  <si>
    <t>https://goo.gl/Z8Lujk</t>
  </si>
  <si>
    <t>E1.Di201</t>
  </si>
  <si>
    <t>https://goo.gl/s56bqV</t>
  </si>
  <si>
    <t>https://goo.gl/o7UWC4</t>
  </si>
  <si>
    <t>E1.Di301</t>
  </si>
  <si>
    <t>E3.W001</t>
  </si>
  <si>
    <t>https://goo.gl/UfAiw3</t>
  </si>
  <si>
    <t>E3.W37</t>
  </si>
  <si>
    <t>https://goo.gl/Tk8Qwr</t>
  </si>
  <si>
    <t>E3.W38</t>
  </si>
  <si>
    <t>https://goo.gl/4bDD55</t>
  </si>
  <si>
    <t>E4.W001</t>
  </si>
  <si>
    <t>https://goo.gl/j6FBfV</t>
  </si>
  <si>
    <t>https://goo.gl/6YZ8NY</t>
  </si>
  <si>
    <t>E4.W002</t>
  </si>
  <si>
    <t>E4.W01</t>
  </si>
  <si>
    <t>https://goo.gl/x917LE</t>
  </si>
  <si>
    <t>E4.W04</t>
  </si>
  <si>
    <t>https://goo.gl/38Q7mA</t>
  </si>
  <si>
    <t>E4.W05i</t>
  </si>
  <si>
    <t>https://goo.gl/z9hZ9c</t>
  </si>
  <si>
    <t>E4.W09</t>
  </si>
  <si>
    <t>https://goo.gl/MVVUZD</t>
  </si>
  <si>
    <t>E4.Wi101</t>
  </si>
  <si>
    <t>https://goo.gl/kBDNzz</t>
  </si>
  <si>
    <t>https://goo.gl/SShWFY</t>
  </si>
  <si>
    <t>E5.F02</t>
  </si>
  <si>
    <t>E5.F04</t>
  </si>
  <si>
    <t>https://goo.gl/GQSSgE</t>
  </si>
  <si>
    <t>https://goo.gl/wnZwh4</t>
  </si>
  <si>
    <t>E5.F06</t>
  </si>
  <si>
    <t>https://goo.gl/sVNVHw</t>
  </si>
  <si>
    <t>E5.F08</t>
  </si>
  <si>
    <t>E5.T01</t>
  </si>
  <si>
    <t>https://goo.gl/6KTbQ7</t>
  </si>
  <si>
    <t>E6.021</t>
  </si>
  <si>
    <t>https://goo.gl/oDxLJ3</t>
  </si>
  <si>
    <t>E6.023</t>
  </si>
  <si>
    <t>https://goo.gl/yBkvgh</t>
  </si>
  <si>
    <t>E6.040</t>
  </si>
  <si>
    <t>https://goo.gl/Vb9AU7</t>
  </si>
  <si>
    <t>M1.020</t>
  </si>
  <si>
    <t>https://goo.gl/WuKqmV</t>
  </si>
  <si>
    <t>M1.010</t>
  </si>
  <si>
    <t>https://goo.gl/w77AUL</t>
  </si>
  <si>
    <t>M1.040</t>
  </si>
  <si>
    <t>https://goo.gl/fkhwSf</t>
  </si>
  <si>
    <t>D0.U003</t>
  </si>
  <si>
    <t>D0.U004</t>
  </si>
  <si>
    <t>https://goo.gl/9vKXPW</t>
  </si>
  <si>
    <t>https://goo.gl/szYnHB</t>
  </si>
  <si>
    <t>Fundamentplatte 25cm Beton mit innerer Wärmedämmung XPS und Unterlagsboden (BTK)</t>
  </si>
  <si>
    <t>Wärmedämmung, Fundamentplatte 25cm Beton, Zementüberzug (BTK)</t>
  </si>
  <si>
    <t>Betondecke 22cm mit verputzter Aussenwärmedämmung (BTK)</t>
  </si>
  <si>
    <t>Betondecke 22cm mit innerer Wärmedämmung PUR, Unterlagsboden (BTK)</t>
  </si>
  <si>
    <t>Betondecke 22 cm mit innerer Wärmedämmung EPS, Trittschalldämmung, Unterlagsboden (BTK)</t>
  </si>
  <si>
    <t>Betondecke 22cm mit Trittschalldämmung und Unterlagsboden (BTK)</t>
  </si>
  <si>
    <t>Trapezblechdecke mit Beton 18cm, Trittschalldämmung, Unterlagsboden (BTK)</t>
  </si>
  <si>
    <t>Brettschichtholz-Massivdecke 16cm, Trittschalldämmung, Unterlagsboden (BTK)</t>
  </si>
  <si>
    <t>Holzbalkendecke mit Zusatzdämmung 8cm Steinwolle, Verkleidung aussen, Spanplatte innen (BTK)</t>
  </si>
  <si>
    <t>Holzkastendecke gedämmt, Trittschalldämmung, Spanplatte (BTK)</t>
  </si>
  <si>
    <t>Flachdach, Betondecke 22cm, EPS-Dämmung, Bitumenbahn, Kies (BTK)</t>
  </si>
  <si>
    <t>Flachdach, Betondecke 22cm, EPS-Dämmung, Bitumenbahn, begehbarer Belag (BTK)</t>
  </si>
  <si>
    <t>Flachdach, Trapezblech, Dämmung EPS, begehbar (BTK)</t>
  </si>
  <si>
    <t>Schrägdach, Sparrenlage mit Dämmung und Zusatzdämmung (BTK)</t>
  </si>
  <si>
    <t>Flachdach, Holzelementdach ausgedämmt, Bitumenbahn, Kies (BTK)</t>
  </si>
  <si>
    <t>Schrägdach, Holzelementdach ausgedämmt (BTK)</t>
  </si>
  <si>
    <t>Betonwand 25cm, Aussendämmung, Sickerplatten (BTK)</t>
  </si>
  <si>
    <t>Betonwand 25cm, Innendämmung verkleidet, Sickerplatten  (BTK)</t>
  </si>
  <si>
    <t>Stahlkassetten mit Zusatzdämmung, Stahlblechverkleidung (BTK)</t>
  </si>
  <si>
    <t>Stahlblech-Sandwichpaneele (BTK)</t>
  </si>
  <si>
    <t>Einschalenbacksteinmauerwerk, Aussenwärmedämmung EPS verputzt (BTK)</t>
  </si>
  <si>
    <t>Betonwand 20cm, Aussenwärmedämmung EPS verputzt (BTK)</t>
  </si>
  <si>
    <t>Backsteinmauerwerk, Aussenwärmedämmung hinterlüftet (BTK)</t>
  </si>
  <si>
    <t>Zweischalenmauerwerk verputzt, Kerndämmung (BTK)</t>
  </si>
  <si>
    <t>Holzelementwand ausgedämmt (BTK)</t>
  </si>
  <si>
    <t>Holzfenster 3-IV (BTK)</t>
  </si>
  <si>
    <t>Holz-Metall-Fenster 3-IV (BTK)</t>
  </si>
  <si>
    <t>Kunststofffenster 3-IV (BTK)</t>
  </si>
  <si>
    <t>Alu-Fenster 3-IV (BTK)</t>
  </si>
  <si>
    <t>Aussentüre Holz (BTK)</t>
  </si>
  <si>
    <t>Backstein-Innenwand verputzt (BTK)</t>
  </si>
  <si>
    <t>Zweischalige Backsteinwand, verputzt (BTK)</t>
  </si>
  <si>
    <t>Betonwand 20cm (BTK)</t>
  </si>
  <si>
    <t>Leichtbauwand Gipskarton, 2-fach beplankt (BTK)</t>
  </si>
  <si>
    <t>Trennwand Vollgips (BTK)</t>
  </si>
  <si>
    <t>Trennwand Holz (BTK)</t>
  </si>
  <si>
    <t>Baugrubenaushub, Lager Baustelle (BTK)</t>
  </si>
  <si>
    <t>Baugrubenaushub in Deponie (BTK)</t>
  </si>
  <si>
    <t>BTK</t>
  </si>
  <si>
    <t>Lignum</t>
  </si>
  <si>
    <t>AHV</t>
  </si>
  <si>
    <t>Betonwand 25cm ungedämmt, Sickerplatten (BTK)</t>
  </si>
  <si>
    <t>Sondenlänge</t>
  </si>
  <si>
    <t>Kollektorfläche</t>
  </si>
  <si>
    <t>KBOB</t>
  </si>
  <si>
    <t>Max. Leistung</t>
  </si>
  <si>
    <t>https://www.kbob.admin.ch/kbob/de/home/publikationen/nachhaltiges-bauen/oekobilanzdaten_baubereich.html</t>
  </si>
  <si>
    <t>31.001</t>
  </si>
  <si>
    <t>31.002</t>
  </si>
  <si>
    <t>31.003</t>
  </si>
  <si>
    <t>31.021</t>
  </si>
  <si>
    <t>31.022</t>
  </si>
  <si>
    <t>31.023</t>
  </si>
  <si>
    <t>31.024</t>
  </si>
  <si>
    <t>31.025</t>
  </si>
  <si>
    <t>31.015</t>
  </si>
  <si>
    <t>31.016</t>
  </si>
  <si>
    <t>31.007</t>
  </si>
  <si>
    <t>31.008</t>
  </si>
  <si>
    <t>31.009</t>
  </si>
  <si>
    <t>32.006</t>
  </si>
  <si>
    <t>32.007</t>
  </si>
  <si>
    <t>32.012</t>
  </si>
  <si>
    <t>32.001</t>
  </si>
  <si>
    <t>32.002</t>
  </si>
  <si>
    <t>32.003</t>
  </si>
  <si>
    <t>33.001</t>
  </si>
  <si>
    <t>33.002</t>
  </si>
  <si>
    <t>33.003</t>
  </si>
  <si>
    <t>34.001</t>
  </si>
  <si>
    <t>34.002</t>
  </si>
  <si>
    <t>34.025</t>
  </si>
  <si>
    <t>34.026</t>
  </si>
  <si>
    <t>34.027</t>
  </si>
  <si>
    <t>https://goo.gl/48WKt7</t>
  </si>
  <si>
    <t>D2.B005</t>
  </si>
  <si>
    <t>R_BKP_D</t>
  </si>
  <si>
    <t>R_BKP_E3</t>
  </si>
  <si>
    <t>Dummy RD21</t>
  </si>
  <si>
    <t>Dummy RD22</t>
  </si>
  <si>
    <t>Dummy RD23</t>
  </si>
  <si>
    <t>Dummy RD24</t>
  </si>
  <si>
    <t>Dummy RD25</t>
  </si>
  <si>
    <t>Dummy RD26</t>
  </si>
  <si>
    <t>Dummy RD27</t>
  </si>
  <si>
    <t>Dummy RD28</t>
  </si>
  <si>
    <t>Dummy RD29</t>
  </si>
  <si>
    <t>Bodenplatte, Innensanierung mit Zementüberzug, 14cm XPS (BTK)</t>
  </si>
  <si>
    <t>Kompaktfassade auf Mauerwerk, 20cm EPS (BTK)</t>
  </si>
  <si>
    <t>Hinterlüftete Aussenwärmedämmung auf Mauerwerk, 20cm Steinwolle (BTK)</t>
  </si>
  <si>
    <t>Innendämmung mit Verkleidung auf Mauerwerk, 22cm Steinwolle (BTK)</t>
  </si>
  <si>
    <t>Aussensanierung auf Mauerwerk zu unbeheizt (BTK)</t>
  </si>
  <si>
    <t>Aussendämmung auf Betondecke zu unbeheizt (BTK)</t>
  </si>
  <si>
    <t>Innendämmung mit Deckenverkleidung unter gedämmter Betondecke zu unbeheizt (BTK)</t>
  </si>
  <si>
    <t>Kerndämmung Balkendecke zu unbeheizt (BTK)</t>
  </si>
  <si>
    <t>Innendämmung unter Balkendecke mit Schlackenfüllung zu unbeheizt (BTK)</t>
  </si>
  <si>
    <t>Innendämmung auf gedämmter Balkendecke zu unbeheizt, 16cm Steinwolle (BTK)</t>
  </si>
  <si>
    <t>Doppeldach auf Betondecke (BTK)</t>
  </si>
  <si>
    <t>Umkehrdach / Plusdach auf Betondecke, 22cm XPS (BTK)</t>
  </si>
  <si>
    <t>Doppeldach begehbar auf Betondecke (BTK)</t>
  </si>
  <si>
    <t>Aussensanierung ungedämmtes Steildach (BTK)</t>
  </si>
  <si>
    <t>Kernsanierung ungedämmtes Steildach (BTK)</t>
  </si>
  <si>
    <t>Calculation</t>
  </si>
  <si>
    <t>Calcolo</t>
  </si>
  <si>
    <t>Target value</t>
  </si>
  <si>
    <t>No limit defined</t>
  </si>
  <si>
    <t>Nessun limite definito</t>
  </si>
  <si>
    <t>Valeur cible</t>
  </si>
  <si>
    <t>desired certificate</t>
  </si>
  <si>
    <t>building category</t>
  </si>
  <si>
    <t>False building category - please re-select</t>
  </si>
  <si>
    <t>Builder</t>
  </si>
  <si>
    <t>Physicien du bâtiment</t>
  </si>
  <si>
    <t>Désignation</t>
  </si>
  <si>
    <t>Designazione</t>
  </si>
  <si>
    <t>Designation</t>
  </si>
  <si>
    <t>Use the areas and components of the energy calculations.</t>
  </si>
  <si>
    <t>Energy Standard</t>
  </si>
  <si>
    <t>Error in entry field</t>
  </si>
  <si>
    <t>Ventilation: new or replaced?</t>
  </si>
  <si>
    <t>Sanitary installation: new or replaced?</t>
  </si>
  <si>
    <t>Electrical installation: new or replaced?</t>
  </si>
  <si>
    <t>Heating distribution: new or replaced?</t>
  </si>
  <si>
    <t>Calculation of embodied energy and greenhousegas-emissions</t>
  </si>
  <si>
    <t>Building</t>
  </si>
  <si>
    <t>Areas</t>
  </si>
  <si>
    <t>Building Systems</t>
  </si>
  <si>
    <t>Energy reference area</t>
  </si>
  <si>
    <t>Heated spaces to unheated/earth</t>
  </si>
  <si>
    <t>Floors</t>
  </si>
  <si>
    <t>Unheated floors</t>
  </si>
  <si>
    <t>Avg room height</t>
  </si>
  <si>
    <t>PV-Panels</t>
  </si>
  <si>
    <t>Thermal panels</t>
  </si>
  <si>
    <t>Gross floor area</t>
  </si>
  <si>
    <t>Gross floor area (below ground)</t>
  </si>
  <si>
    <t>Floors below ground</t>
  </si>
  <si>
    <t>Earth probe</t>
  </si>
  <si>
    <t>Building energy standard</t>
  </si>
  <si>
    <t xml:space="preserve">Geben Sie die Fläche des Bauteils ein. Falls das Eingabefeld rot hinterlegt ist, müssen Sie keinen Wert eintragen (automatisch berechnet). </t>
  </si>
  <si>
    <t>Outil Énergie Grise Minergie-Eco®</t>
  </si>
  <si>
    <t>General Data</t>
  </si>
  <si>
    <t>Building Elements</t>
  </si>
  <si>
    <t>Description</t>
  </si>
  <si>
    <t>Transfer from other calculations</t>
  </si>
  <si>
    <t>Heating replaced or new?</t>
  </si>
  <si>
    <t>Radiators etc. new or replaced?</t>
  </si>
  <si>
    <t>Tool Embodied Energy Minergie-Eco</t>
  </si>
  <si>
    <t>SIA2032</t>
  </si>
  <si>
    <t>Volumen</t>
  </si>
  <si>
    <t>Bodenplatte</t>
  </si>
  <si>
    <t>Bodenplatte, Fundament ungedämmt (SIA 2032)</t>
  </si>
  <si>
    <t>Bodenplatte, Fundament gedämmt (SIA 2032)</t>
  </si>
  <si>
    <t>Aussenwand unter Terrain ungedämmt (SIA 2032)</t>
  </si>
  <si>
    <t>Aussenwand unter Terrain gedämmt (SIA 2032)</t>
  </si>
  <si>
    <t>Dach unter Terrain ungedämmt (SIA 2032)</t>
  </si>
  <si>
    <t>Dach unter Terrain gedämmt (SIA 2032)</t>
  </si>
  <si>
    <t>Mittelwert Fenster 3-fach IV, inkl. Sonnenschutz (SIA 2032)</t>
  </si>
  <si>
    <t>N_BKP_G</t>
  </si>
  <si>
    <t>Betondecke 25 cm mit Innenputz (SIA 2032)</t>
  </si>
  <si>
    <t>Holzelementdecke (mit unterer Gipsbekleidung) (SIA 2032)</t>
  </si>
  <si>
    <t>Holzbetonverbund (mit unterer Gipsbekleidung) (SIA 2032)</t>
  </si>
  <si>
    <t>Fertiger Bodenbelag (ohne Unterkonstruktion) (SIA 2032)</t>
  </si>
  <si>
    <t>Unterkonstruktion und Bodenbelag (SIA 2032)</t>
  </si>
  <si>
    <t>Dämmung gegen unbeheizt (SIA 2032)</t>
  </si>
  <si>
    <t>Abgehängte Installationsdecke (Mittelwert) (SIA 2032)</t>
  </si>
  <si>
    <t>Balkon inkl. Absturzsicherung (SIA 2032)</t>
  </si>
  <si>
    <t>Elektroanlage Wohnen (SIA 2032)</t>
  </si>
  <si>
    <t>Elektroanlage Büro (SIA 2032)</t>
  </si>
  <si>
    <t>Solarstromanlage (1 m2 = 0.14 kWp) (SIA 2032)</t>
  </si>
  <si>
    <t>Wärmeerzeugung (SIA 2032)</t>
  </si>
  <si>
    <t>Wärmeverteilung und -Abgabe Wohnen (SIA 2032)</t>
  </si>
  <si>
    <t>Wärmeverteilung und -Abgabe Büro (SIA 2032)</t>
  </si>
  <si>
    <t>Erdwärmesonden (SIA 2032)</t>
  </si>
  <si>
    <t>Solarkollektoren (SIA 2032)</t>
  </si>
  <si>
    <t>Abluftanlage Küche und Bad (SIA 2032)</t>
  </si>
  <si>
    <t>Lüftungsanlage Wohnen (SIA 2032)</t>
  </si>
  <si>
    <t>Lüftungsanlage Büro (SIA 2032)</t>
  </si>
  <si>
    <t>Sanitäranlage Wohnen (SIA 2032)</t>
  </si>
  <si>
    <t>Sanitäranlage Büro (SIA 2032)</t>
  </si>
  <si>
    <t>Mittelwert Innenwand tragend (mit Innenputz) (SIA 2032)</t>
  </si>
  <si>
    <t>Mittelwert Innenwand nicht tragend (mit Innenputz) (SIA 2032)</t>
  </si>
  <si>
    <t>Aushub (SIA 2032)</t>
  </si>
  <si>
    <t>Baugrubenabschluss, Rühlwand (SIA 2032)</t>
  </si>
  <si>
    <t>Baugrubenabschluss, Spundwand (SIA 2032)</t>
  </si>
  <si>
    <t>Pfählung, Mikrobohrpfahl (SIA 2032)</t>
  </si>
  <si>
    <t>Pfählung, Ortbetonverdrängungspfahl (SIA 2032)</t>
  </si>
  <si>
    <t>Pfählung, Vorgefertigter Betonpfahl (SIA 2032)</t>
  </si>
  <si>
    <t>N_BKP_C43</t>
  </si>
  <si>
    <t>Fundamentplatte 25cm Beton (BTK)</t>
  </si>
  <si>
    <t>Abluftanlage Wohnen, Küche und Bad (KBOB)</t>
  </si>
  <si>
    <t>Elektroanlagen Büro (KBOB)</t>
  </si>
  <si>
    <t>Elektroanlagen Wohnen (KBOB)</t>
  </si>
  <si>
    <t>Erdsonden, für Sole-Wasser-Wärmepumpe (KBOB)</t>
  </si>
  <si>
    <t>Flachkollektor für Raumheizung und Warmwasser EFH (KBOB)</t>
  </si>
  <si>
    <t>Flachkollektor für Warmwasser EFH (KBOB)</t>
  </si>
  <si>
    <t>Flachkollektor für Warmwasser MFH (KBOB)</t>
  </si>
  <si>
    <t>Lüftungsanlage Büro (4 m3/h*m2) (KBOB)</t>
  </si>
  <si>
    <t>Lüftungsanlage Schule, Versammlung (8 m3/h*m2) (KBOB)</t>
  </si>
  <si>
    <t>Lüftungsanlage Wohnen, Blechkanäle, inkl. Küchenabluft (KBOB)</t>
  </si>
  <si>
    <t>Lüftungsanlage Wohnen, PE-Kanäle, inkl. Küchenabluft (KBOB)</t>
  </si>
  <si>
    <t>Lüftungsanlage, spez. Luftmenge 6 m3/hm2 EBF (KBOB)</t>
  </si>
  <si>
    <t>Sanitäranlagen, Büro, aufwändig, inkl. Apparate und Leitungen (KBOB)</t>
  </si>
  <si>
    <t>Sanitäranlagen, Büro, einfach, inkl. Apparate und Leitungen (KBOB)</t>
  </si>
  <si>
    <t>Sanitäranlagen, Wohnen, inkl. Apparate und Leitungen (KBOB)</t>
  </si>
  <si>
    <t>Solarstromanlage Fassade (KBOB)</t>
  </si>
  <si>
    <t>Solarstromanlage Flachdach (KBOB)</t>
  </si>
  <si>
    <t>Solarstromanlage Schrägdach (KBOB)</t>
  </si>
  <si>
    <t>Wärmeabgabe über Fussbodenheizung (KBOB)</t>
  </si>
  <si>
    <t>Wärmeabgabe über Heizkörper (KBOB)</t>
  </si>
  <si>
    <t>Wärmeabgabe über Heizkühldecke (ohne Gips- oder Metalldecke) (KBOB)</t>
  </si>
  <si>
    <t>Wärmeerzeuger, spez. Leistungsbedarf 10 W/m2 (KBOB)</t>
  </si>
  <si>
    <t>Wärmeerzeuger, spez. Leistungsbedarf 30 W/m2 (KBOB)</t>
  </si>
  <si>
    <t>Wärmeerzeuger, spez. Leistungsbedarf 50 W/m2 (KBOB)</t>
  </si>
  <si>
    <t>Wärmeverteilung Bürogebäude (KBOB)</t>
  </si>
  <si>
    <t>Wärmeverteilung und Abgabe, Luftheizung (KBOB)</t>
  </si>
  <si>
    <t>Wärmeverteilung Wohngebäude (KBOB)</t>
  </si>
  <si>
    <t>Versionierung</t>
  </si>
  <si>
    <t>Versions-Nr.</t>
  </si>
  <si>
    <t>Beschrieb der Anpassungen</t>
  </si>
  <si>
    <t xml:space="preserve">Datum </t>
  </si>
  <si>
    <t>Zuständig</t>
  </si>
  <si>
    <t>2.01</t>
  </si>
  <si>
    <t>Tool neu erstellt</t>
  </si>
  <si>
    <t>le</t>
  </si>
  <si>
    <t>2.001</t>
  </si>
  <si>
    <t>2.002</t>
  </si>
  <si>
    <t>Lignum Bauteile ergänzt</t>
  </si>
  <si>
    <t>2.003</t>
  </si>
  <si>
    <t>SIA 2032 Bauteile ergänzt</t>
  </si>
  <si>
    <t>Tool fertiggestellt</t>
  </si>
  <si>
    <t>Strumento energia grigia Minergie-Eco®</t>
  </si>
  <si>
    <t>Dati oggetto</t>
  </si>
  <si>
    <t>Certificato desiderato</t>
  </si>
  <si>
    <t>Categoria edificio</t>
  </si>
  <si>
    <t>Categoria edifico sbagliata - per favore riseleziona</t>
  </si>
  <si>
    <t>Fisico della costruzione</t>
  </si>
  <si>
    <t>Riassunto risultati</t>
  </si>
  <si>
    <t>La valutazione secondo SNBS indicatore 301.1 risultati</t>
  </si>
  <si>
    <t>Il valore mirato dell'energia grigia secondo SIA 2040 è</t>
  </si>
  <si>
    <t>Nessuna esigenza riguarda l'energia grigia</t>
  </si>
  <si>
    <t>La valutazione secondo SNBS indicatore 302.1 risultati</t>
  </si>
  <si>
    <t xml:space="preserve">Il valore mirato sulle emissioni di gas serra secondo SIA 2040 è </t>
  </si>
  <si>
    <t>Nessuna esigenza riguardo l'emissione di gas serra</t>
  </si>
  <si>
    <t>Guida abbreviata</t>
  </si>
  <si>
    <t>Registrare dapprima i dati dell’oggetto in questa scheda.</t>
  </si>
  <si>
    <t>Utilizzare le superfici e gli elementi presenti nel calcolo energetico (se disponibile).</t>
  </si>
  <si>
    <t>Si prega di leggere gli aiuti che appaiono quando si clicca su un campo dati di immissione.</t>
  </si>
  <si>
    <t>Dati generali</t>
  </si>
  <si>
    <t>Edificio</t>
  </si>
  <si>
    <t>Superfici</t>
  </si>
  <si>
    <t>Piani</t>
  </si>
  <si>
    <t>Impiantistica</t>
  </si>
  <si>
    <t>Superficie di riferimento</t>
  </si>
  <si>
    <t>Pavimento contro non risc./terra</t>
  </si>
  <si>
    <t>Numero di piani non riscaldati</t>
  </si>
  <si>
    <t>Altezza media dei locali</t>
  </si>
  <si>
    <t>Superficie del piano</t>
  </si>
  <si>
    <t>Superficie dei piani nel sottosuolo</t>
  </si>
  <si>
    <t>Numero dei piani nel sottosuolo</t>
  </si>
  <si>
    <t>Sonde geotermiche</t>
  </si>
  <si>
    <t>Standard energetici edifici</t>
  </si>
  <si>
    <t>Elementi costruttivi e impiantistica</t>
  </si>
  <si>
    <t>eCCC-E</t>
  </si>
  <si>
    <t>Sigla elemento costruttivo</t>
  </si>
  <si>
    <t>Standard energetico</t>
  </si>
  <si>
    <t>Riporto da altri fogli di calcolo</t>
  </si>
  <si>
    <t>Errore nel campo d'inserimento</t>
  </si>
  <si>
    <t>Grandezza oggetto</t>
  </si>
  <si>
    <t>L'oggetto è un edificio con una superficie di riferimento energetico inferiore a 5'000 m2 oppure è un altro tipo di edificio con una superficie inferiore a 2'000 m2.</t>
  </si>
  <si>
    <t>Compattezza</t>
  </si>
  <si>
    <t>La compattezza dell'edificio (rapporto tra involucro termico Ath e la superficie di riferimento energetico AE) è rimasto invaraito o è migliorato</t>
  </si>
  <si>
    <t>La maggior parte dell'elemento costruttivo viene mantenuta (nessun carotaggio, demolizione fino al grezzo)</t>
  </si>
  <si>
    <t>Costruzione pareti esterne fuori terra e tetto</t>
  </si>
  <si>
    <t>Le pareti esterne fuori terra e il tetto non vengono ammodernate, rispettivamente rinnovate con lo stesso tipo di materializzazione (ad esclusione naturalmente degli strati isolanti aggiuntivi).
Oppure
Le pareti esterne sostituite o nuove sono costituite da una delle seguenti composizioni:
- costruzione massiccia monostrato con rivestimento leggero (legno, derivati dal legno, fibrocemento, elementi in calcestruzzo spess. &lt; 8 cm, pannelli FV ecc.).
- costruzione intelaiata in legno con isolamento a cappotto o rivestimento leggero
- costruzione massiccia monostrato con cappotto</t>
  </si>
  <si>
    <t>Ampliamenti</t>
  </si>
  <si>
    <t xml:space="preserve">Il volume dell'edificio non viene aumentato (eccetto gli aumenti dovuti agli strati aggiuntivi di isolamento termico)
oppure
La superficie del piano del volume aggiunto corrisponde al massimo al 20% della superficie del piano esistente. </t>
  </si>
  <si>
    <t>Finestre</t>
  </si>
  <si>
    <t>La superfice delle finestre della facciata e del tetto vengono aumentate del 20% al massimo
e
i telai delle finestre sostituite o nuove sono in legno o legno-metallo.</t>
  </si>
  <si>
    <t>Adattamento della struttura portante</t>
  </si>
  <si>
    <t>Gli elementi costruttivi portanti non vengono modificati (non vengono considerati singoli passaggi nelle pareti portanti con una superficie fino a 3 m2 come pure rinforzi antisismici).</t>
  </si>
  <si>
    <t>Il requisito MINERGIE-ECO per ammodernamenti é rispettato. Un calcolo dettagliato non è necessario.</t>
  </si>
  <si>
    <t>P.F: compilare tutto il questionario</t>
  </si>
  <si>
    <t>Abitazione plurifamiliare</t>
  </si>
  <si>
    <t>Piccoli edifici</t>
  </si>
  <si>
    <t>Amministrazione</t>
  </si>
  <si>
    <t>Scuola</t>
  </si>
  <si>
    <t>Negozi</t>
  </si>
  <si>
    <t>Ristorante</t>
  </si>
  <si>
    <t>Museo</t>
  </si>
  <si>
    <t>Ospedale</t>
  </si>
  <si>
    <t>Industria</t>
  </si>
  <si>
    <t>Piccole scuole</t>
  </si>
  <si>
    <t>Edifici sportivi</t>
  </si>
  <si>
    <t>Abitazione monofamiliare</t>
  </si>
  <si>
    <t>Abitazione</t>
  </si>
  <si>
    <t>Negozio specializzato</t>
  </si>
  <si>
    <t>Negozio alimentari</t>
  </si>
  <si>
    <t>Errore nel campo d'immissione</t>
  </si>
  <si>
    <t>B Preparazione</t>
  </si>
  <si>
    <t>C 1 Platea, fondazione</t>
  </si>
  <si>
    <t>C 2.2 Pareti interne</t>
  </si>
  <si>
    <t>C 4.1 Soletta</t>
  </si>
  <si>
    <t>C 4.3 Balcone</t>
  </si>
  <si>
    <t>C 4.4 Struttura portante del tetto</t>
  </si>
  <si>
    <t>D Impianti tecnici edifico</t>
  </si>
  <si>
    <t>E 3 Infisso in facciata</t>
  </si>
  <si>
    <t>F Tetto edificio</t>
  </si>
  <si>
    <t>G Finiture interne edificio</t>
  </si>
  <si>
    <t>Deposito in discarica del materiale di scavo (BTK)</t>
  </si>
  <si>
    <t>Deposito a lato del materiale di scavo (BTK)</t>
  </si>
  <si>
    <t>Platea di fondazione 25 cm in CLS</t>
  </si>
  <si>
    <t>Platea di fondazione 25 cm in CLS con isolamento termico interno XPS e massetto (BTK)</t>
  </si>
  <si>
    <t>Isolamento termico, platea di fondazione 25 cm CLS, rivestimento in cemento (BTK)</t>
  </si>
  <si>
    <t>Parete in CLS 25 cm, non isolata, elementi drenanti (BTK)</t>
  </si>
  <si>
    <t>Parete in CLS 25 cm, isolamento esterno, elementi drenanti (BTK)</t>
  </si>
  <si>
    <t>Parete in CLS 25 cm, isolamento interno rivestito, elementi drenanti (BTK)</t>
  </si>
  <si>
    <t>Parete esterna massiccia in legno, rivestimento interno a uno strato (Lignum)</t>
  </si>
  <si>
    <t>Parete esterna intelaiata in legno, rivestimento interno a uno strato (Lignum)</t>
  </si>
  <si>
    <t>Muratura in cotto, isolamento termico esterno ventilato (BTK)</t>
  </si>
  <si>
    <t>Parete 20 cm  CLS, isolamento esterno EPS intonacato (BTK)</t>
  </si>
  <si>
    <t>Parete in cotto monostrato,  isolamento esterno EPS intonacato (BTK)</t>
  </si>
  <si>
    <t>Parete in legno isolata (BTK)</t>
  </si>
  <si>
    <t>Pannello sandwich in lamiera d'acciaio (BTK)</t>
  </si>
  <si>
    <t>Muratura doppia in cotto con isolamento termico interposto (BTK)</t>
  </si>
  <si>
    <t>Parete interna in cotto intonacata (BKT)</t>
  </si>
  <si>
    <t>Parete in CLS 20 cm (BTK)</t>
  </si>
  <si>
    <t>Parete leggera in carongesso, rivestita sui due lati (BTK)</t>
  </si>
  <si>
    <t>Parete divisoria monostrato, intelaiatura, cartongesso a uno strato (Lignum)</t>
  </si>
  <si>
    <t>Parete divisoria bistrato, intelaiatura, cartongesso a uno strato (Lignum)</t>
  </si>
  <si>
    <t>Parete divisoria in legno (BTK)</t>
  </si>
  <si>
    <t>Parete divisoria massiccia in legno, con rivestimento in cartongesso doppio strato</t>
  </si>
  <si>
    <t>Parete divisoria massiccia in gesso (BTK)</t>
  </si>
  <si>
    <t>Doppia parete in mattoni di cotto, intonacata (BTK)</t>
  </si>
  <si>
    <t>Solaio con travetti, massetto con controsoffitto sospeso (Lignum)</t>
  </si>
  <si>
    <t>Solaio con travetti in vista, soffitto semplice, massetto normale (Lignum)</t>
  </si>
  <si>
    <t>Solaio con travetti in vista, soffitto semplice, massetto a secco (Lignum)</t>
  </si>
  <si>
    <t>Solaio con travetti, sottofondo a secco e con soffitto ribassato (Lignum)</t>
  </si>
  <si>
    <t>Soletta in CLS 22 cm con isolamento termico interno EPS, strato anticalpestio, massetto (BTK)</t>
  </si>
  <si>
    <t>Soletta in CLS 22 cm con isolamento termico interno PUR, massetto (BTK)</t>
  </si>
  <si>
    <t>Soletta in CLS 22 cm con strato anticalpestio e massetto</t>
  </si>
  <si>
    <t>Soletta in CLS 22 cm con isolamento termico esterno intonacato (BTK)</t>
  </si>
  <si>
    <t>Soletta massiccia con tavole in legno 16 cm, strato anticalpestio, massetto (BTK)</t>
  </si>
  <si>
    <t>Solaio a cassettoni in legno, massetto, soffitto ribassato (Lignum)</t>
  </si>
  <si>
    <t>Solaio a cassettoni in legno, massetto, senza soffitto ribassato (Lignum)</t>
  </si>
  <si>
    <t>Solaio con travetti con isolamento supplementare 8 cm lana di roccia, rivestimento esterno, pannello truciolare interno (BTK)</t>
  </si>
  <si>
    <t>Solaio misto legno-calcestruzzo, massetto, senza soffitto ribassato. Soffitto (Lignum)</t>
  </si>
  <si>
    <t>Solaio a cassettoni isolato, strato anticalpestio, pannello truciolare (BTK)</t>
  </si>
  <si>
    <t>Soletta massiccia in legno, massetto, con soffitto ribassato (Lignum)</t>
  </si>
  <si>
    <t>Soletta massiccia in legno, massetto, senza soffitto ribassato (Lignum)</t>
  </si>
  <si>
    <t>Soletta massiccia in legno, sottofondo a secco, con soffitto ribassato (Lignum)</t>
  </si>
  <si>
    <t>Solaio il lamiera grecata con CLS 18 cm, strato anticalpestio, sottofondo (BTK)</t>
  </si>
  <si>
    <t>Tetto in legno massiccio (Lignum)</t>
  </si>
  <si>
    <t>Tetto in legno, assito/travetti rivestimento con lastre derivate dal legno (Lignum)</t>
  </si>
  <si>
    <t>Tetto in legno, assito/travetti in vista (Lignum)</t>
  </si>
  <si>
    <t>Tetto piano, soletta in CLS 22 cm, isolamento EPS, guaina bituminosa, pavimentazione calpestabile (BTK)</t>
  </si>
  <si>
    <t>Tetto piano, soletta in CLS 22 cm, isolamento EPS, guaina bituminosa, ghiaia (BTK)</t>
  </si>
  <si>
    <t>Tetto piano, elementi in legno con isolamento, guaina bituminosa, ghiaia (BTK)</t>
  </si>
  <si>
    <t>Tetto piano, lamiera grecata, isolamento in EPS, calpestabile (BTK)</t>
  </si>
  <si>
    <t>Tetto a falde, elementi in legno, isolata (BTK)</t>
  </si>
  <si>
    <t>Tetto a falde, travetti in legno con isolamento interposto e isolamento aggiuntivo (BTK)</t>
  </si>
  <si>
    <t>Impianto di estrazione aria domestico, cucina e bagno</t>
  </si>
  <si>
    <t>Impianto elettrico ufficio</t>
  </si>
  <si>
    <t>Impianto elettrico abitazione</t>
  </si>
  <si>
    <t>Sonde geotermiche, per pompa di calore salamoia-acqua</t>
  </si>
  <si>
    <t>Collettore solare piano per il riscaldamento e l'acqua calda casa monofamiliare</t>
  </si>
  <si>
    <t>Collettore solare piano per l'acqua calda casa monofamiliare</t>
  </si>
  <si>
    <t>Collettore solare piano per l'acqua calda casa plurifamiliare</t>
  </si>
  <si>
    <t>Impianto di ventilazione ufficio (4 m3/h*m2)</t>
  </si>
  <si>
    <t>Impianto di ventilazione scuola, sala riunioni (8 m3/h*m2)</t>
  </si>
  <si>
    <t>Impianto di ventilazione abitazione, canali in lamiera, incluso cappa cucina</t>
  </si>
  <si>
    <t>Impianto di ventilazione abitazione, canali in PE, incluso cappa cucina</t>
  </si>
  <si>
    <t>Impianto di ventilazione, flusso d'aria specifico 6 m3/hm2 SRE</t>
  </si>
  <si>
    <t>Impianti sanitari, ufficio, complesso, incluso apparecchi e tubazioni</t>
  </si>
  <si>
    <t>Impianti sanitari abitazione, semplice, incluso apparecchi e tubazioni</t>
  </si>
  <si>
    <t>Impianti sanitari, abitazione, incluso apparecchi e tubazioni</t>
  </si>
  <si>
    <t>Impianto fotovoltaico in facciata</t>
  </si>
  <si>
    <t>Impianto fotovoltaico tetto piano</t>
  </si>
  <si>
    <t>Impianto fotovoltaico tetto a falde</t>
  </si>
  <si>
    <t>Emissione del calore tramite riscaldamento a pavimento</t>
  </si>
  <si>
    <t>Emissione del calore tramite corpo riscaldante</t>
  </si>
  <si>
    <t>Emissione del calore tramite soffitto riscaldante/raffreddante (senza elementi in gesso o metallo)</t>
  </si>
  <si>
    <t>Generatore termico, fabbisogno di potenza specifica 10 W/m2</t>
  </si>
  <si>
    <t>Generatore termico, fabbisogno di potenza specifica 30 W/m2</t>
  </si>
  <si>
    <t>Generatore termico, fabbisogno di potenza specifica 50 W/m2</t>
  </si>
  <si>
    <t>Distribuzione del calore edifico amministrativo</t>
  </si>
  <si>
    <t>Distribuzione e emissione del calore, riscaldamento ad aria</t>
  </si>
  <si>
    <t>Distribuzione del calore edificio abitativo</t>
  </si>
  <si>
    <t>Finestra in alluminio triplo vetro (BTK)</t>
  </si>
  <si>
    <t>Porta esterna in legno (BTK)</t>
  </si>
  <si>
    <t>Finestra in legno triplo vetro (BTK)</t>
  </si>
  <si>
    <t>Finestra legno-metallo vetro triplo (BTK)</t>
  </si>
  <si>
    <t>Finestra in plastica vetro triplo (BTK)</t>
  </si>
  <si>
    <t>Lastre per pavimento, risanamento interno con rivestimento cementizio, 14 cm XPS (BKT)</t>
  </si>
  <si>
    <t>Cappotto su muratura, 20 cm EPS (BTK)</t>
  </si>
  <si>
    <t>Isolamento esterno ventilato su muratura, 20 cm lana di roccia (BTK)</t>
  </si>
  <si>
    <t xml:space="preserve">Isolamento interno con rivestimento, su muratura, 22 cm lana di roccia (BTK) </t>
  </si>
  <si>
    <t>Isolamento esterno su muratura contro non riscaldato (BTK)</t>
  </si>
  <si>
    <t>Isolamento esterno su soletta in CLS contro non riscaldato (BTK)</t>
  </si>
  <si>
    <t>Isolamento interno con rivestimento del soffitto di una soletta in CLS isolata, contro non riscaldato (BTK)</t>
  </si>
  <si>
    <t>Isolamento tra i travetti di un solaio verso non riscaldato (BTK)</t>
  </si>
  <si>
    <t>Isolamento interno sotto un solaio con travetti riempito di scorie, verso non riscaldato (BTK)</t>
  </si>
  <si>
    <t>Isolamento interno sopra un solaio isolato con travetti, 16 cm lana di roccia (BTK)</t>
  </si>
  <si>
    <t>Doppio tetto su soletta in CLS (BTK)</t>
  </si>
  <si>
    <t>Tetto rovescio / aggiunto su soletta in CLS, 22 cm XPS (BTK)</t>
  </si>
  <si>
    <t>Tetto doppio calpestabile su soletta in CLS (BTK)</t>
  </si>
  <si>
    <t>Risanamento esterno tetto a falde non isolato (BTK)</t>
  </si>
  <si>
    <t>Risanamento strutturale tetto a falde non isolato (BTK)</t>
  </si>
  <si>
    <t>ampiamente soddisfatte</t>
  </si>
  <si>
    <t>soddisfatte</t>
  </si>
  <si>
    <t>non soddisfatte</t>
  </si>
  <si>
    <t>Valore mirato</t>
  </si>
  <si>
    <t>Nuova costruzione</t>
  </si>
  <si>
    <t>Selezioni lo standard energetico desiderato.</t>
  </si>
  <si>
    <t>È necessario selezionare una voce dall'elenco.</t>
  </si>
  <si>
    <t>P.F. indichi la SRE dell'edifico</t>
  </si>
  <si>
    <t>La SRE deve trovarsi tra 0 e 200'000 m2.</t>
  </si>
  <si>
    <t>Indichi la superficie.</t>
  </si>
  <si>
    <t>Deve indicare un valore tra 0 e la SRE.</t>
  </si>
  <si>
    <t>Piano non riscaldato</t>
  </si>
  <si>
    <t>Indichi il numero di piani non riscaldati (numeri decimali sono ammessi).</t>
  </si>
  <si>
    <t>Deve indicare un valore tra 0 e 20.</t>
  </si>
  <si>
    <t>Altezza media del locale</t>
  </si>
  <si>
    <t>Indichi l'altezza media di tutti i piani riscaldati.</t>
  </si>
  <si>
    <t>Impianto FV</t>
  </si>
  <si>
    <t>Indichi la superficie netta di captazione FV</t>
  </si>
  <si>
    <t>Deve indicare un valore tra 0 e 2.5 volte la superfice del piano.</t>
  </si>
  <si>
    <t>Selezioni SI, nel caso le sonde siano nuove o vengano sostituite.</t>
  </si>
  <si>
    <t>Distribuzione del calore</t>
  </si>
  <si>
    <t>Selezioni SÌ, se la distribuzione viene in buona parte sostituita o è nuova</t>
  </si>
  <si>
    <t>Impianto di ventilazione</t>
  </si>
  <si>
    <t>Selezioni SÌ, se la ventilazione viene in buona parte sostituita o è nuova</t>
  </si>
  <si>
    <t>Impianti elettrici</t>
  </si>
  <si>
    <t>Selezioni SÌ, se le installazioni elettriche vengono in buona parte sostituite o sono nuove</t>
  </si>
  <si>
    <t>Tipologia della pianta</t>
  </si>
  <si>
    <t>Selezioni nell'elenco la tipologia di pianta più affine.</t>
  </si>
  <si>
    <t>Superfice dei piani</t>
  </si>
  <si>
    <t>Indicare la superficie dei piani (inclusa quella dei piani non riscaldati).</t>
  </si>
  <si>
    <t>Deve indicare un valore tra 0 e 300'000.</t>
  </si>
  <si>
    <t>Superficie dei piani interrati</t>
  </si>
  <si>
    <t>Indicare la superficie dei piani interrati.</t>
  </si>
  <si>
    <t>Deve indicare un valore tra 0 e quello della superficie del piano.</t>
  </si>
  <si>
    <t>Piani interrati</t>
  </si>
  <si>
    <t>Indicare il numero dei piani interrati (numeri decimali sono ammessi).</t>
  </si>
  <si>
    <t>Deve indicare un valore tra 0 e 10.</t>
  </si>
  <si>
    <t>Impianto solare termico</t>
  </si>
  <si>
    <t>Indichi la superficie netta dell'assorbitore.</t>
  </si>
  <si>
    <t>Generatore termico</t>
  </si>
  <si>
    <t>Selezioni SÌ, se il generatore termico viene in buona parte sostituito o è nuovo</t>
  </si>
  <si>
    <t>Emissione del calore</t>
  </si>
  <si>
    <t>Selezioni SÌ, se il sistema d'emissione del calore (corpi riscaldanti ecc.) viene in buona parte sostituito o è nuovo.</t>
  </si>
  <si>
    <t>Impianti sanitari</t>
  </si>
  <si>
    <t>Selezioni SÌ, se gli impianti sanitari vengono in buona parte sostituiti o sono nuovi.</t>
  </si>
  <si>
    <t>Selezioni dalla lista la rispettiva categoria del eCCC-E.</t>
  </si>
  <si>
    <t>Elemento costruttivo</t>
  </si>
  <si>
    <t>Selezioni dalla lista lo standard energetico desiderato.</t>
  </si>
  <si>
    <t>Indicare la superficie dell'elemento costruttivo. Se il campo di imput è marcato in rosso, non deve inserire nessun valore (calcolato automaticamente).</t>
  </si>
  <si>
    <t>È necessario immettere un valore intero compreso tra 0 e 99'999.</t>
  </si>
  <si>
    <t>Selezionare una voce dall' elenco. Attenzione: se il campo è giallo, è necessario selezionare nuovamente il componente.</t>
  </si>
  <si>
    <t>Données du projet</t>
    <phoneticPr fontId="14" type="noConversion"/>
  </si>
  <si>
    <t>Certificat souhaité</t>
    <phoneticPr fontId="14" type="noConversion"/>
  </si>
  <si>
    <t>Catégorie de bâtiment</t>
    <phoneticPr fontId="14" type="noConversion"/>
  </si>
  <si>
    <t>Catégorie de bâtiment incorrecte - sélectionner encore une fois</t>
    <phoneticPr fontId="14" type="noConversion"/>
  </si>
  <si>
    <t>Auteur du justificatif</t>
    <phoneticPr fontId="14" type="noConversion"/>
  </si>
  <si>
    <t>Date, signature</t>
    <phoneticPr fontId="14" type="noConversion"/>
  </si>
  <si>
    <t>Récapitulation des résultats</t>
    <phoneticPr fontId="14" type="noConversion"/>
  </si>
  <si>
    <t>Valeurs du projet</t>
    <phoneticPr fontId="14" type="noConversion"/>
  </si>
  <si>
    <t>Résultat de l'évaluation selon le SNBS, indicateur 301.1</t>
    <phoneticPr fontId="14" type="noConversion"/>
  </si>
  <si>
    <t>Valeur de référence d'énergie grise pour la construction selon la voie SIA vers l'efficacité énergétique:</t>
    <phoneticPr fontId="14" type="noConversion"/>
  </si>
  <si>
    <t>Aucune exigence par rapport à l'énergie grise</t>
    <phoneticPr fontId="14" type="noConversion"/>
  </si>
  <si>
    <t>Résultat de l'évaluation selon le SNBS, indicateur 302.1</t>
    <phoneticPr fontId="14" type="noConversion"/>
  </si>
  <si>
    <t>Valeur de référence d'émissions de gaz à effet de serre pour la construction selon la voie SIA vers l'efficacité énergétique:</t>
    <phoneticPr fontId="14" type="noConversion"/>
  </si>
  <si>
    <t>Aucune exigence par rapport aux émissions de gaz à effet de serre</t>
    <phoneticPr fontId="14" type="noConversion"/>
  </si>
  <si>
    <t>Guide rapide</t>
    <phoneticPr fontId="14" type="noConversion"/>
  </si>
  <si>
    <t xml:space="preserve">Des instructions détaillées sont disponibles sur le site Internet de Minergie.  </t>
    <phoneticPr fontId="14" type="noConversion"/>
  </si>
  <si>
    <t>Saisir en premier les données du projet dans cette feuille.</t>
    <phoneticPr fontId="14" type="noConversion"/>
  </si>
  <si>
    <t>Reporter les surfaces et les éléments de construction issus du calcul énergétique (si disponibles).</t>
    <phoneticPr fontId="14" type="noConversion"/>
  </si>
  <si>
    <t>Merci de lire les bulles d'aide qui apparaissent en cliquant sur les champs de saisie.</t>
    <phoneticPr fontId="14" type="noConversion"/>
  </si>
  <si>
    <t>En cas de questions concernant la certification, merci de contacter l'office de certification responsable.</t>
    <phoneticPr fontId="14" type="noConversion"/>
  </si>
  <si>
    <t>Données générales</t>
    <phoneticPr fontId="14" type="noConversion"/>
  </si>
  <si>
    <t>Bâtiment</t>
    <phoneticPr fontId="14" type="noConversion"/>
  </si>
  <si>
    <t>Surfaces</t>
    <phoneticPr fontId="14" type="noConversion"/>
  </si>
  <si>
    <t>Etages</t>
    <phoneticPr fontId="14" type="noConversion"/>
  </si>
  <si>
    <t>Technique du bâtiment</t>
    <phoneticPr fontId="14" type="noConversion"/>
  </si>
  <si>
    <t>Surface de référence énergétique</t>
    <phoneticPr fontId="14" type="noConversion"/>
  </si>
  <si>
    <t>Nombre d'étages non chauffés</t>
    <phoneticPr fontId="14" type="noConversion"/>
  </si>
  <si>
    <t>Hauteur moyenne des locaux</t>
    <phoneticPr fontId="14" type="noConversion"/>
  </si>
  <si>
    <t>Type de plan</t>
    <phoneticPr fontId="14" type="noConversion"/>
  </si>
  <si>
    <t>Surface de plancher</t>
    <phoneticPr fontId="14" type="noConversion"/>
  </si>
  <si>
    <t>Surface de plancher des sous-sol</t>
    <phoneticPr fontId="14" type="noConversion"/>
  </si>
  <si>
    <t>Nombre d'étages enterrés</t>
    <phoneticPr fontId="14" type="noConversion"/>
  </si>
  <si>
    <t>Sonde géothermique</t>
    <phoneticPr fontId="14" type="noConversion"/>
  </si>
  <si>
    <t>Standard énergétique du bâtiment</t>
    <phoneticPr fontId="14" type="noConversion"/>
  </si>
  <si>
    <t>Eléments de construction et technique du bâtiment</t>
  </si>
  <si>
    <t>eCCC-Bât</t>
    <phoneticPr fontId="14" type="noConversion"/>
  </si>
  <si>
    <t>Désignation de l'élément de construction</t>
    <phoneticPr fontId="14" type="noConversion"/>
  </si>
  <si>
    <t>Standard énergétique</t>
    <phoneticPr fontId="14" type="noConversion"/>
  </si>
  <si>
    <t>Lien</t>
    <phoneticPr fontId="14" type="noConversion"/>
  </si>
  <si>
    <t>Report provenant d'autres feuilles de calcul</t>
    <phoneticPr fontId="14" type="noConversion"/>
  </si>
  <si>
    <t>Erreur de saisie</t>
    <phoneticPr fontId="14" type="noConversion"/>
  </si>
  <si>
    <t>Catalogue de critères pour modernisations</t>
    <phoneticPr fontId="14" type="noConversion"/>
  </si>
  <si>
    <t>Questions</t>
  </si>
  <si>
    <t>Taille de l'objet</t>
  </si>
  <si>
    <t>Compacité</t>
    <phoneticPr fontId="14" type="noConversion"/>
  </si>
  <si>
    <t>La compacité du bâtiment est restée inchangée ou s'est améliorée (rapport entre le facteur d'enveloppe thermique Ath et la surface de référence énergétique AE)</t>
    <phoneticPr fontId="14" type="noConversion"/>
  </si>
  <si>
    <t>Degrés d'intervention</t>
    <phoneticPr fontId="14" type="noConversion"/>
  </si>
  <si>
    <t>La majeure partie des éléments de construction existants est conservée (pas d'évidemment, pas de déconstruction jusqu'au gros œuvre).</t>
    <phoneticPr fontId="14" type="noConversion"/>
  </si>
  <si>
    <t>Construction parois extérieures au-dessus du terrain et toiture</t>
    <phoneticPr fontId="14" type="noConversion"/>
  </si>
  <si>
    <t>Les parois extérieures au-dessus du terrain et la toiture non pas été rénovées resp. renouvelées avec une matérialisation identique (mis à part les couches d'isolation supplémentaires)
ou
Les parois extérieures remplacées ou construites à neuf appartiennent à un des systèmes constructifs suivants:
- parois massive simple avec revêtement léger (bois, dérivés du bois, fibres-ciment, éléments en béton &lt; 8cm, panneaux photovoltaïques, etc.)
- ossature bois avec isolation extérieure crépie ou revêtement léger
- parois massive simple avec isolation extérieure crépie</t>
    <phoneticPr fontId="14" type="noConversion"/>
  </si>
  <si>
    <t xml:space="preserve">Le volume du bâtiment n'a pas été agrandi (mis à part les agrandissements résultant de couches d'isolation supplémentaires)
Ou
la surface de plancher du volume supplémentaire s'élève à moins de 20% de la surface existante de plancher. </t>
    <phoneticPr fontId="14" type="noConversion"/>
  </si>
  <si>
    <t>Fenêtres</t>
    <phoneticPr fontId="14" type="noConversion"/>
  </si>
  <si>
    <t>Les surfaces vitrées de la façade et de la toiture ont été agrandies de 20% au maximum
et
Les cadres des fenêtres remplacées ou fenêtres nouvelles sont en bois ou bois-métal.</t>
    <phoneticPr fontId="14" type="noConversion"/>
  </si>
  <si>
    <t>Adaptations de la structure porteuse</t>
    <phoneticPr fontId="14" type="noConversion"/>
  </si>
  <si>
    <t>REMPLIR CETTE FEUILLE UNIQUEMENT POUR LES PROJETS DE MODERNISATION</t>
    <phoneticPr fontId="14" type="noConversion"/>
  </si>
  <si>
    <t>Les exigences Minergie-Eco pour modernisations sont remplies. Un calcul détaillé n'est pas nécessaire.
Merci de reporter les valeurs suivantes dans l'outil Online: VL 1: 1; VL2: 3; valeur du projet: 2.</t>
  </si>
  <si>
    <t>Merci de remplir le questionnaire intégralement.</t>
    <phoneticPr fontId="14" type="noConversion"/>
  </si>
  <si>
    <t>Habitat collectif</t>
    <phoneticPr fontId="14" type="noConversion"/>
  </si>
  <si>
    <t>Petit immeuble locatif</t>
    <phoneticPr fontId="14" type="noConversion"/>
  </si>
  <si>
    <t>Administration</t>
    <phoneticPr fontId="14" type="noConversion"/>
  </si>
  <si>
    <t>Ecoles</t>
    <phoneticPr fontId="14" type="noConversion"/>
  </si>
  <si>
    <t>Commerce</t>
    <phoneticPr fontId="14" type="noConversion"/>
  </si>
  <si>
    <t>Restauration</t>
    <phoneticPr fontId="14" type="noConversion"/>
  </si>
  <si>
    <t>Musées</t>
    <phoneticPr fontId="14" type="noConversion"/>
  </si>
  <si>
    <t>Hôpitaux</t>
    <phoneticPr fontId="14" type="noConversion"/>
  </si>
  <si>
    <t>Industrie</t>
    <phoneticPr fontId="14" type="noConversion"/>
  </si>
  <si>
    <t>Ecoles de petite taille</t>
    <phoneticPr fontId="14" type="noConversion"/>
  </si>
  <si>
    <t>Installations sportives</t>
    <phoneticPr fontId="14" type="noConversion"/>
  </si>
  <si>
    <t>Ecoles</t>
    <phoneticPr fontId="14" type="noConversion"/>
  </si>
  <si>
    <t>Habitat collectif</t>
    <phoneticPr fontId="14" type="noConversion"/>
  </si>
  <si>
    <t>Habitat</t>
    <phoneticPr fontId="14" type="noConversion"/>
  </si>
  <si>
    <t>Magasin spécialisé</t>
    <phoneticPr fontId="14" type="noConversion"/>
  </si>
  <si>
    <t>Magasin d'alimentation</t>
    <phoneticPr fontId="14" type="noConversion"/>
  </si>
  <si>
    <t>Restauration</t>
    <phoneticPr fontId="14" type="noConversion"/>
  </si>
  <si>
    <t>B Travaux préparatoires</t>
    <phoneticPr fontId="14" type="noConversion"/>
  </si>
  <si>
    <t>C1 Radiers, fondations</t>
    <phoneticPr fontId="14" type="noConversion"/>
  </si>
  <si>
    <t>C2.2 Parois porteuses intérieures</t>
    <phoneticPr fontId="14" type="noConversion"/>
  </si>
  <si>
    <t>C4.1 Planchers</t>
    <phoneticPr fontId="14" type="noConversion"/>
  </si>
  <si>
    <t>C4.3 Balcons</t>
    <phoneticPr fontId="14" type="noConversion"/>
  </si>
  <si>
    <t>D Installations</t>
    <phoneticPr fontId="14" type="noConversion"/>
  </si>
  <si>
    <t>E2 Revêtements de façades</t>
    <phoneticPr fontId="14" type="noConversion"/>
  </si>
  <si>
    <t>F Toitures</t>
    <phoneticPr fontId="14" type="noConversion"/>
  </si>
  <si>
    <t>G Aménagements intérieurs</t>
    <phoneticPr fontId="14" type="noConversion"/>
  </si>
  <si>
    <t>Déblai de fouille à la décharge (CC)</t>
    <phoneticPr fontId="14" type="noConversion"/>
  </si>
  <si>
    <t>Déblai de fouille, dépôt sur le chantier (CC)</t>
    <phoneticPr fontId="14" type="noConversion"/>
  </si>
  <si>
    <t>Radier en béton 25cm (CC)</t>
    <phoneticPr fontId="14" type="noConversion"/>
  </si>
  <si>
    <t>Radier en béton 25cm avec isolation thermique XPS côté intérieur et chape flottante (CC)</t>
    <phoneticPr fontId="14" type="noConversion"/>
  </si>
  <si>
    <t>Isolation thermique, radier en béton 25 cm, chape adhérente (CC)</t>
    <phoneticPr fontId="14" type="noConversion"/>
  </si>
  <si>
    <t>Paroi en béton 25cm sans isolation, plaques filtrantes (CC)</t>
    <phoneticPr fontId="14" type="noConversion"/>
  </si>
  <si>
    <t>Paroi en béton 25cm, isolation extérieure, plaques filtrantes (CC)</t>
    <phoneticPr fontId="14" type="noConversion"/>
  </si>
  <si>
    <t>Paroi en béton 25cm, isolation intérieure avec parement, plaques filtrantes (CC)</t>
    <phoneticPr fontId="14" type="noConversion"/>
  </si>
  <si>
    <t>Paroi extérieure primaire en bois massif, doublage intérieur avec parement simple (lignum)</t>
    <phoneticPr fontId="14" type="noConversion"/>
  </si>
  <si>
    <t>Paroi extérieure primaire ossature bois, doublage intérieur avec parement simple (lignum)</t>
    <phoneticPr fontId="14" type="noConversion"/>
  </si>
  <si>
    <t>Maçonnerie en briques de terre cuite, isolation thermique extérieure ventilée (CC)</t>
    <phoneticPr fontId="14" type="noConversion"/>
  </si>
  <si>
    <t>Paroi en béton 20cm, isolation thermique extérieure EPS crépie (CC)</t>
    <phoneticPr fontId="14" type="noConversion"/>
  </si>
  <si>
    <t>Maçonnerie à simple paroi en briques de terre cuite, isolation thermique extérieure EPS crépie (CC)</t>
    <phoneticPr fontId="14" type="noConversion"/>
  </si>
  <si>
    <t>Paroi en éléments de bois avec isolation thermique intermédiaire (CC)</t>
    <phoneticPr fontId="14" type="noConversion"/>
  </si>
  <si>
    <t>Panneaux sandwich de tôle d'acier (CC)</t>
    <phoneticPr fontId="14" type="noConversion"/>
  </si>
  <si>
    <t>Bardage en cassettes d'acier avec isolation complémentaire, revêtement en tôle d'acier (CC)</t>
    <phoneticPr fontId="14" type="noConversion"/>
  </si>
  <si>
    <t>Maçonnerie à double paroi crépie, vide de maçonnerie isolé (CC)</t>
    <phoneticPr fontId="14" type="noConversion"/>
  </si>
  <si>
    <t>Paroi intérieure en briques de terre cuite, crépie (CC)</t>
    <phoneticPr fontId="14" type="noConversion"/>
  </si>
  <si>
    <t>Paroi en béton 20cm (CC)</t>
    <phoneticPr fontId="14" type="noConversion"/>
  </si>
  <si>
    <t>Paroi légère en plaques de plâtre cartonné avec parement double (CC)</t>
    <phoneticPr fontId="14" type="noConversion"/>
  </si>
  <si>
    <t>Cloison simple ossature, montants, parement simple en plaques de plâtre cartonné (lignum)</t>
    <phoneticPr fontId="14" type="noConversion"/>
  </si>
  <si>
    <t>Cloison double ossature, montants, parement simple en plaques de plâtre cartonné (lignum)</t>
    <phoneticPr fontId="14" type="noConversion"/>
  </si>
  <si>
    <t>Paroi de séparation en bois (CC)</t>
    <phoneticPr fontId="14" type="noConversion"/>
  </si>
  <si>
    <t>Paroi de séparation en bois massif avec doublage en plaques de plâtre cartonné (lignum)</t>
    <phoneticPr fontId="14" type="noConversion"/>
  </si>
  <si>
    <t>Paroi de séparation en carreaux de plâtre massif (CC)</t>
    <phoneticPr fontId="14" type="noConversion"/>
  </si>
  <si>
    <t>Maçonnerie à double paroi crépie (CC)</t>
    <phoneticPr fontId="14" type="noConversion"/>
  </si>
  <si>
    <t>Solivage, chape et faux-plafond (lignum)</t>
    <phoneticPr fontId="14" type="noConversion"/>
  </si>
  <si>
    <t>Solivage, solives apparentes, plancher simple avec chape humide (lignum)</t>
    <phoneticPr fontId="14" type="noConversion"/>
  </si>
  <si>
    <t>Solivage, solives apparentes, plancher simple avec chape sèche (lignum)</t>
    <phoneticPr fontId="14" type="noConversion"/>
  </si>
  <si>
    <t>Solivage, chape sèche et faux-plafond (lignum)</t>
    <phoneticPr fontId="14" type="noConversion"/>
  </si>
  <si>
    <t>Dalle en béton 22 cm avec isolation thermique EPS intérieure, isolation contre les bruits de choc, chape flottante (CC)</t>
  </si>
  <si>
    <t>Dalle en béton 22 cm avec isolation thermique PUR intérieure, chape flottante (CC)</t>
  </si>
  <si>
    <t>Dalle en béton 22 cm avec isolation contre les bruits de choc, chape flottante (CC)</t>
  </si>
  <si>
    <t>Dalle en béton 22 cm avec isolation thermique extérieure crépie (CC)</t>
    <phoneticPr fontId="14" type="noConversion"/>
  </si>
  <si>
    <t>Plancher en bois massif (BSH) 16cm, isolation contre les bruits de choc, chape flottante (CC)</t>
  </si>
  <si>
    <t>Plancher en éléments à caissons, chape humide et faux-plafond (lignum)</t>
    <phoneticPr fontId="14" type="noConversion"/>
  </si>
  <si>
    <t>Plancher en éléments à caissons, chape humide, pas de faux-plafond (lignum)</t>
    <phoneticPr fontId="14" type="noConversion"/>
  </si>
  <si>
    <t>Plancher à poutres de bois avec isolation ininterrompue en laine de pierre 8cm, revêtement côté extérieur, panneau de particules côté intérieur (CC)</t>
    <phoneticPr fontId="14" type="noConversion"/>
  </si>
  <si>
    <t>Dalle mixte bois-béton, chape humide, pas de faux-plafond (lignum)</t>
    <phoneticPr fontId="14" type="noConversion"/>
  </si>
  <si>
    <t>Plancher à caissons en bois avec isolation thermique intégrée, isolation contre les bruits de choc, panneau de particules (CC)</t>
    <phoneticPr fontId="14" type="noConversion"/>
  </si>
  <si>
    <t>Plancher en bois massif, chape humide et faux-plafond (lignum)</t>
    <phoneticPr fontId="14" type="noConversion"/>
  </si>
  <si>
    <t>Plancher en bois massif, chape humide, pas de faux-plafond (lignum)</t>
    <phoneticPr fontId="14" type="noConversion"/>
  </si>
  <si>
    <t>Plancher en bois massif, chape sèche et faux-plafond (lignum)</t>
    <phoneticPr fontId="14" type="noConversion"/>
  </si>
  <si>
    <t>Dalle en béton 18cm avec coffrage perdu en tôle trapézoïdale, isolation contre les bruits de choc, chape flottante (CC)</t>
    <phoneticPr fontId="14" type="noConversion"/>
  </si>
  <si>
    <t>Structure du toit en bois massif (lignum)</t>
    <phoneticPr fontId="14" type="noConversion"/>
  </si>
  <si>
    <t>Structure du toit en bois, poutres/chevrons avec contreventement en panneau dérivé du bois (lignum)</t>
    <phoneticPr fontId="14" type="noConversion"/>
  </si>
  <si>
    <t>Structure du toit en bois, poutres/chevrons apparents (lignum)</t>
    <phoneticPr fontId="14" type="noConversion"/>
  </si>
  <si>
    <t>Toit plat, dalle en béton 22cm, isolation thermique EPS, lé d'étanchéité bitumineux, couche de protection, accessible (CC)</t>
    <phoneticPr fontId="14" type="noConversion"/>
  </si>
  <si>
    <t>Toit plat, dalle en béton 22cm, isolation thermique EPS, lé d'étanchéité bitumineux, gravier (CC)</t>
    <phoneticPr fontId="14" type="noConversion"/>
  </si>
  <si>
    <t>Toit plat, toit en élément de bois avec isolation thermique intermédiaire, lé d'étanchéité bitumineux, gravier (CC)</t>
    <phoneticPr fontId="14" type="noConversion"/>
  </si>
  <si>
    <t>Toit plat, tôle trapézoïdale, isolation thermique EPS, accessible (CC)</t>
    <phoneticPr fontId="14" type="noConversion"/>
  </si>
  <si>
    <t>Toit à pans inclinés, toit en élément de bois avec isolation thermique intermédiaire (CC)</t>
    <phoneticPr fontId="14" type="noConversion"/>
  </si>
  <si>
    <t>Toit à pans inclinés, chevrons avec isolation thermique intermédiaire et isolation complémentaire (CC)</t>
    <phoneticPr fontId="14" type="noConversion"/>
  </si>
  <si>
    <t>Evacuation d'air: séjour, cuisine et salle de bain</t>
    <phoneticPr fontId="14" type="noConversion"/>
  </si>
  <si>
    <t>Installations électriques, bureau</t>
  </si>
  <si>
    <t>Installations électriques, habitation</t>
  </si>
  <si>
    <t>Sondes géothermiques, pour pompe à chaleur saumure-eau</t>
    <phoneticPr fontId="14" type="noConversion"/>
  </si>
  <si>
    <t>Collecteurs solaires plans, chauffage et eau chaude  maison individuelle</t>
    <phoneticPr fontId="14" type="noConversion"/>
  </si>
  <si>
    <t>Collecteurs solaires plans, eau chaude maison individuelle</t>
    <phoneticPr fontId="14" type="noConversion"/>
  </si>
  <si>
    <t>Collecteurs solaires plans, eau chaude habitat collectif</t>
    <phoneticPr fontId="14" type="noConversion"/>
  </si>
  <si>
    <t>Ventilation bureau (4 m3/h*m2)</t>
    <phoneticPr fontId="14" type="noConversion"/>
  </si>
  <si>
    <t>Ventilation école, réunion (8 m3/h*m2)</t>
    <phoneticPr fontId="14" type="noConversion"/>
  </si>
  <si>
    <t>Ventilation habitation, canaux en tôle, évacuation d'air cuisine inclue</t>
    <phoneticPr fontId="14" type="noConversion"/>
  </si>
  <si>
    <t xml:space="preserve">Ventilation habitation, canaux en PE, évacuation d'air cuisine inclue </t>
    <phoneticPr fontId="14" type="noConversion"/>
  </si>
  <si>
    <t>Ventilation bureau, besoins en air 6 m3/hm2 SRE</t>
    <phoneticPr fontId="14" type="noConversion"/>
  </si>
  <si>
    <t>Installations sanitaires, bureau, degré de complexité élevé, appareils et conduites compris</t>
    <phoneticPr fontId="14" type="noConversion"/>
  </si>
  <si>
    <t>Installations sanitaires, bureau, degré de complexité faible, appareils et conduites compris</t>
    <phoneticPr fontId="14" type="noConversion"/>
  </si>
  <si>
    <t>Installations sanitaires, habitations, appareils et conduites compris</t>
    <phoneticPr fontId="14" type="noConversion"/>
  </si>
  <si>
    <t>Installation photovoltaïque façade</t>
    <phoneticPr fontId="14" type="noConversion"/>
  </si>
  <si>
    <t>Installation photovoltaïque toiture plate</t>
    <phoneticPr fontId="14" type="noConversion"/>
  </si>
  <si>
    <t>Installation photovoltaïque toiture inclinée</t>
    <phoneticPr fontId="14" type="noConversion"/>
  </si>
  <si>
    <t>Diffusion de chaleur par chauffage au sol</t>
    <phoneticPr fontId="14" type="noConversion"/>
  </si>
  <si>
    <t>Diffusion de chaleur par corps de chauffe</t>
    <phoneticPr fontId="14" type="noConversion"/>
  </si>
  <si>
    <t>Diffusion de chaleur par système de chauffage et refroidissement au plafond (pas de faux-plafond en plâtre ou en métal)</t>
    <phoneticPr fontId="14" type="noConversion"/>
  </si>
  <si>
    <t>Production de chaleur, besoins en puissance 10 W/m2</t>
    <phoneticPr fontId="14" type="noConversion"/>
  </si>
  <si>
    <t>Production de chaleur, besoins en puissance 30 W/m2</t>
    <phoneticPr fontId="14" type="noConversion"/>
  </si>
  <si>
    <t>Production de chaleur, besoins en puissance 50 W/m2</t>
    <phoneticPr fontId="14" type="noConversion"/>
  </si>
  <si>
    <t>Distribution de chaleur, administration</t>
    <phoneticPr fontId="14" type="noConversion"/>
  </si>
  <si>
    <t>Distribution et diffusion de chaleur, chauffage à air chaud</t>
    <phoneticPr fontId="14" type="noConversion"/>
  </si>
  <si>
    <t>Distribution de chaleur, habitation</t>
    <phoneticPr fontId="14" type="noConversion"/>
  </si>
  <si>
    <t>Fenêtre en aluminium 3IV (CC)</t>
    <phoneticPr fontId="14" type="noConversion"/>
  </si>
  <si>
    <t>Porte extérieure, bois (CC)</t>
    <phoneticPr fontId="14" type="noConversion"/>
  </si>
  <si>
    <t>Fenêtre en bois 3IV (CC)</t>
    <phoneticPr fontId="14" type="noConversion"/>
  </si>
  <si>
    <t>Fenêtre bois-métal 3IV (CC)</t>
    <phoneticPr fontId="14" type="noConversion"/>
  </si>
  <si>
    <t>Fenêtre en matière synthétique 3IV (CC)</t>
    <phoneticPr fontId="14" type="noConversion"/>
  </si>
  <si>
    <t>Dalle de sol en béton, assainissement par l’intérieur avec chape en ciment, 14cm XPS (CC)</t>
    <phoneticPr fontId="14" type="noConversion"/>
  </si>
  <si>
    <t xml:space="preserve">Isolation thermique extérieure crépie sur maçonnerie, 20cm EPS (CC) </t>
    <phoneticPr fontId="14" type="noConversion"/>
  </si>
  <si>
    <t>Isolation thermique extérieure ventilée sur maçonnerie, 20cm laine de pierre (CC)</t>
    <phoneticPr fontId="14" type="noConversion"/>
  </si>
  <si>
    <t>Isolation intérieure revêtue sur maçonnerie, 22cm laine de pierre (CC)</t>
    <phoneticPr fontId="14" type="noConversion"/>
  </si>
  <si>
    <t>Assainissement par l’extérieur sur maçonnerie contre non chauffé (CC)</t>
    <phoneticPr fontId="14" type="noConversion"/>
  </si>
  <si>
    <t>Assainissement par l’extérieur sur dalle en béton contre non chauffé (CC)</t>
    <phoneticPr fontId="14" type="noConversion"/>
  </si>
  <si>
    <t>Isolation thermique à l’intérieur revêtue sous dalle en béton contre non chauffé (CC)</t>
    <phoneticPr fontId="14" type="noConversion"/>
  </si>
  <si>
    <t>Isolation thermique du noyau plancher à poutres contre non chauffé (CC)</t>
    <phoneticPr fontId="14" type="noConversion"/>
  </si>
  <si>
    <t>Isolation thermique à l’intérieur sous plancher à poutres de bois avec remplissage de scories contre non chauffé (CC)</t>
    <phoneticPr fontId="14" type="noConversion"/>
  </si>
  <si>
    <t>Isolation thermique à l’intérieur sur plancher à poutres de bois isolé contre non chauffé, 16cm laine de pierre (CC)</t>
    <phoneticPr fontId="14" type="noConversion"/>
  </si>
  <si>
    <t>Toiture doublée sur dalle en béton (CC)</t>
    <phoneticPr fontId="14" type="noConversion"/>
  </si>
  <si>
    <t>Toiture inversée / toiture améliorée sur dalle en béton, accessible, 22cm XPS (CC)</t>
    <phoneticPr fontId="14" type="noConversion"/>
  </si>
  <si>
    <t>Toiture doublée sur dalle en béton, accessible (CC)</t>
    <phoneticPr fontId="14" type="noConversion"/>
  </si>
  <si>
    <t>Toit à pans inclinés, assainissement par l’extérieur (CC)</t>
    <phoneticPr fontId="14" type="noConversion"/>
  </si>
  <si>
    <t>Toit à pans inclinés, assainissement du noyau (CC)</t>
    <phoneticPr fontId="14" type="noConversion"/>
  </si>
  <si>
    <t>Aucune valeur limite définie</t>
    <phoneticPr fontId="14" type="noConversion"/>
  </si>
  <si>
    <t>Nouvelle construction</t>
    <phoneticPr fontId="14" type="noConversion"/>
  </si>
  <si>
    <t>Modernisation</t>
    <phoneticPr fontId="14" type="noConversion"/>
  </si>
  <si>
    <t>Calcul</t>
    <phoneticPr fontId="14" type="noConversion"/>
  </si>
  <si>
    <t>Questionnaire_modernisations</t>
  </si>
  <si>
    <t>Sélectionner le standard énergétique souhaité.</t>
    <phoneticPr fontId="14" type="noConversion"/>
  </si>
  <si>
    <t>Sélectionner une entrée du menu déroulant.</t>
    <phoneticPr fontId="14" type="noConversion"/>
  </si>
  <si>
    <t>Saisir la surface de référence énergétique.</t>
    <phoneticPr fontId="14" type="noConversion"/>
  </si>
  <si>
    <t>Valeur de SRE requise entre 0 et 200'000 m2.</t>
    <phoneticPr fontId="14" type="noConversion"/>
  </si>
  <si>
    <t>Saisir la surface.</t>
  </si>
  <si>
    <t>Saisir des valeurs entre 0 et la SRE.</t>
  </si>
  <si>
    <t>Etages non chauffés</t>
    <phoneticPr fontId="14" type="noConversion"/>
  </si>
  <si>
    <t>Saisir le nombre d'étages non chauffés (décimales admises).</t>
    <phoneticPr fontId="14" type="noConversion"/>
  </si>
  <si>
    <t>Saisir des valeurs entre 0 et 20.</t>
    <phoneticPr fontId="14" type="noConversion"/>
  </si>
  <si>
    <t>Hauteur moyenne des locaux</t>
    <phoneticPr fontId="14" type="noConversion"/>
  </si>
  <si>
    <t>Saisir la hauteur moyenne de tous les étages chauffés.</t>
  </si>
  <si>
    <t>Saisir des valeurs entre 0 et 20.</t>
  </si>
  <si>
    <t>Installation PV</t>
    <phoneticPr fontId="14" type="noConversion"/>
  </si>
  <si>
    <t>Saisir la surface nette des absorbeurs photovoltaïques.</t>
  </si>
  <si>
    <t>Saisir des valeurs entre 0 et la surface de plancher multipliée par 2.5.</t>
    <phoneticPr fontId="14" type="noConversion"/>
  </si>
  <si>
    <t>Sondes géothermiques</t>
    <phoneticPr fontId="14" type="noConversion"/>
  </si>
  <si>
    <t>Sélectionner oui, si les sondes géothermiques sont posées à neuf ou remplacées.</t>
    <phoneticPr fontId="14" type="noConversion"/>
  </si>
  <si>
    <t>Sélectionner une entrée du menu déroulant.</t>
  </si>
  <si>
    <t>Distributions de chaleur</t>
    <phoneticPr fontId="14" type="noConversion"/>
  </si>
  <si>
    <t>Sélectionner oui, si les distributions de chaleur sont en majeure partie remplacées ou installées à neuf.</t>
  </si>
  <si>
    <t>Installations de ventilation</t>
    <phoneticPr fontId="14" type="noConversion"/>
  </si>
  <si>
    <t>Sélectionner oui, si les installations de ventilation sont en majeure partie remplacées ou installées à neuf.</t>
  </si>
  <si>
    <t>Installations électriques</t>
    <phoneticPr fontId="14" type="noConversion"/>
  </si>
  <si>
    <t>Sélectionner oui, si les installations électriques sont en majeure partie remplacées ou installées à neuf.</t>
  </si>
  <si>
    <t>Sélectionner dans le menu déroulant le type de plan qui correspond le mieux.</t>
    <phoneticPr fontId="14" type="noConversion"/>
  </si>
  <si>
    <t>Surface de plancher</t>
    <phoneticPr fontId="14" type="noConversion"/>
  </si>
  <si>
    <t>Saisir la surface de plancher (y compris surfaces non chauffées du bâtiment).</t>
    <phoneticPr fontId="14" type="noConversion"/>
  </si>
  <si>
    <t>Valeurs entre 0 et 300'000 requises.</t>
    <phoneticPr fontId="14" type="noConversion"/>
  </si>
  <si>
    <t>Saisir la surface de plancher des sous-sol.</t>
  </si>
  <si>
    <t>Valeurs requises entre 0 et la surface de plancher.</t>
    <phoneticPr fontId="14" type="noConversion"/>
  </si>
  <si>
    <t>Etages enterrés</t>
  </si>
  <si>
    <t>Saisir le nombre d'étages enterrés (décimales admises).</t>
    <phoneticPr fontId="14" type="noConversion"/>
  </si>
  <si>
    <t>Valeurs entre 0 et 10 requises.</t>
    <phoneticPr fontId="14" type="noConversion"/>
  </si>
  <si>
    <t>Installation solaire thermique</t>
    <phoneticPr fontId="14" type="noConversion"/>
  </si>
  <si>
    <t>Saisir la surface nette des absorbeurs.</t>
  </si>
  <si>
    <t>Saisir des valeurs entre 0 et la surface de plancher multipliée par 2.5.</t>
    <phoneticPr fontId="14" type="noConversion"/>
  </si>
  <si>
    <t>Production de chaleur</t>
    <phoneticPr fontId="14" type="noConversion"/>
  </si>
  <si>
    <t>Sélectionner oui, si la production de chaleur est en majeure partie remplacée ou installée à neuf.</t>
    <phoneticPr fontId="14" type="noConversion"/>
  </si>
  <si>
    <t>Diffusion de chaleur</t>
    <phoneticPr fontId="14" type="noConversion"/>
  </si>
  <si>
    <t>Sélectionner oui, si la diffusion de chaleur (corps de chauffe, etc.) est en majeure partie remplacée ou installée à neuf.</t>
    <phoneticPr fontId="14" type="noConversion"/>
  </si>
  <si>
    <t>Installations sanitaires</t>
    <phoneticPr fontId="14" type="noConversion"/>
  </si>
  <si>
    <t>Sélectionner oui, si les installations sanitaires sont en majeure partie remplacées ou installées à neuf.</t>
  </si>
  <si>
    <t>eCCC-Bât</t>
    <phoneticPr fontId="14" type="noConversion"/>
  </si>
  <si>
    <t>Sélectionner la catégorie eCCC-Bât correspondante du menu déroulant.</t>
    <phoneticPr fontId="14" type="noConversion"/>
  </si>
  <si>
    <t>Elément de construction</t>
    <phoneticPr fontId="14" type="noConversion"/>
  </si>
  <si>
    <t>Sélectionner un standard énergétique du menu déroulant.</t>
    <phoneticPr fontId="14" type="noConversion"/>
  </si>
  <si>
    <t>Saisir la surface de l'élément de construction. Ne pas saisir de valeurs dans les champs sur fond rouge (calculation automatique).</t>
  </si>
  <si>
    <t>Saisir des valeurs entières entre 0 et 99'999.</t>
  </si>
  <si>
    <r>
      <t>EGES
kg/m</t>
    </r>
    <r>
      <rPr>
        <vertAlign val="superscript"/>
        <sz val="10"/>
        <rFont val="Arial"/>
        <family val="2"/>
      </rPr>
      <t>2</t>
    </r>
    <r>
      <rPr>
        <sz val="10"/>
        <rFont val="Arial"/>
        <family val="2"/>
      </rPr>
      <t>a</t>
    </r>
  </si>
  <si>
    <r>
      <t>GHGE
kg/m</t>
    </r>
    <r>
      <rPr>
        <vertAlign val="superscript"/>
        <sz val="10"/>
        <rFont val="Arial"/>
        <family val="2"/>
      </rPr>
      <t>2</t>
    </r>
    <r>
      <rPr>
        <sz val="10"/>
        <rFont val="Arial"/>
        <family val="2"/>
      </rPr>
      <t>a</t>
    </r>
  </si>
  <si>
    <r>
      <t>EGS
kg/m</t>
    </r>
    <r>
      <rPr>
        <vertAlign val="superscript"/>
        <sz val="10"/>
        <rFont val="Arial"/>
        <family val="2"/>
      </rPr>
      <t>2</t>
    </r>
    <r>
      <rPr>
        <sz val="10"/>
        <rFont val="Arial"/>
        <family val="2"/>
      </rPr>
      <t>a</t>
    </r>
  </si>
  <si>
    <t>L'exigence Minergie-Eco pour l'énergie grise est</t>
  </si>
  <si>
    <t>The assessment according to SNBS indicator 301.1 yields</t>
  </si>
  <si>
    <t>The reference value for embodied energy according to the SIA Energy Efficiency Path is</t>
  </si>
  <si>
    <t>No requirement for embodied energy</t>
  </si>
  <si>
    <t>The assessment according to SNBS indicator 302.1 yields</t>
  </si>
  <si>
    <t>The reference value for greenhouse gas emissions according to the SIA Energy Efficiency Path is</t>
  </si>
  <si>
    <t>No requirement for greenhouse gas emissions</t>
  </si>
  <si>
    <t>Object size</t>
  </si>
  <si>
    <t>The property is a residential building with an energy reference area of less than 5'000 m2 or another type of building with an energy reference area of less than 2'000 m2.</t>
  </si>
  <si>
    <t>Compactness</t>
  </si>
  <si>
    <t>The compactness of the building (ratio between thermal enveloping surface Ath and energy reference surface AE) has remained the same or improved.</t>
  </si>
  <si>
    <t>Depth of intervention</t>
  </si>
  <si>
    <t>The majority of the existing components will be retained (no core removal, no dismantling to the shell).</t>
  </si>
  <si>
    <t>Construction of external walls (over terrain) and roof</t>
  </si>
  <si>
    <t>The external walls over the terrain and the roof were not modernised or renewed with identical materials (except for additional insulation layers)
OR
The replaced or newly constructed exterior walls consist of one of the following constructions:
- Single-shell solid construction with light cladding (wood, wood-based materials, fibre cement, concrete elements &lt; 8 cm thick, PV panel etc.) 
- Timber frame construction with compact facade or light cladding
- Single-shell solid construction with compact facade</t>
  </si>
  <si>
    <t>Extensions</t>
  </si>
  <si>
    <t>The building volume was not increased (except for enlargements resulting from additional insulation layers)
Or
The floor area of the additional volume is no more than 20% of the existing floor area.</t>
  </si>
  <si>
    <t>Windows</t>
  </si>
  <si>
    <t>The window areas in the façade and roof were increased by a maximum of 20%
And
The frames of replaced or new windows are made of wood or wood-metal.</t>
  </si>
  <si>
    <t>Adaptation of supporting structure</t>
  </si>
  <si>
    <t>The load-bearing components of the building were not changed (except for individual openings of up to 3 m2 in load-bearing walls and reinforcements for earthquake resistance).</t>
  </si>
  <si>
    <t>Please fill out this questionnaire completely.</t>
  </si>
  <si>
    <t>Small residential buildings</t>
  </si>
  <si>
    <t>Administration</t>
  </si>
  <si>
    <t>School</t>
  </si>
  <si>
    <t>Sale</t>
  </si>
  <si>
    <t>Museums</t>
  </si>
  <si>
    <t>Hospital</t>
  </si>
  <si>
    <t>Industry</t>
  </si>
  <si>
    <t>Small school buildings</t>
  </si>
  <si>
    <t>Sports buildings</t>
  </si>
  <si>
    <t>Residential buildings</t>
  </si>
  <si>
    <t>Specialty store</t>
  </si>
  <si>
    <t>Grocery store</t>
  </si>
  <si>
    <t>Error in input field</t>
  </si>
  <si>
    <t>B Preparation</t>
  </si>
  <si>
    <t>C1 Base plate, foundation</t>
  </si>
  <si>
    <t>C2.2 Interior wall construction</t>
  </si>
  <si>
    <t>C4.1 Ceiling</t>
  </si>
  <si>
    <t>C4.3 Balcony</t>
  </si>
  <si>
    <t>C4.4 Roof construction</t>
  </si>
  <si>
    <t>E3 Fixtures to external wall</t>
  </si>
  <si>
    <t>C2.1 Outer wall construction u.T.</t>
  </si>
  <si>
    <t>C2.1 Outer wall construction o.T.</t>
  </si>
  <si>
    <t>D Building services</t>
  </si>
  <si>
    <t>E1 Outer wall cladding u.T.</t>
  </si>
  <si>
    <t>E2 Outer wall cladding o.T.</t>
  </si>
  <si>
    <t>F Roofing</t>
  </si>
  <si>
    <t>G Interior fittings</t>
  </si>
  <si>
    <t>Sie müssen einen Eintrag aus der Liste wählen.</t>
    <phoneticPr fontId="14" type="noConversion"/>
  </si>
  <si>
    <t>Energy standard</t>
  </si>
  <si>
    <t>Select the desired energy standard.</t>
  </si>
  <si>
    <t>You must select an entry from the list.</t>
  </si>
  <si>
    <t>Enter the area.</t>
  </si>
  <si>
    <t>Please enter the energy reference area of the building.</t>
  </si>
  <si>
    <t>The energy reference area must be between 0 and 200'000 m2 .</t>
  </si>
  <si>
    <t>Floors unheated</t>
  </si>
  <si>
    <t>Enter the number of unheated floors (decimal numbers are allowed).</t>
  </si>
  <si>
    <t>You must enter values between 0 and 20.</t>
  </si>
  <si>
    <t>Average room height</t>
  </si>
  <si>
    <t>Enter the average room height over all heated floors.</t>
  </si>
  <si>
    <t>You must enter values between 0 and the energy reference area.</t>
  </si>
  <si>
    <t>PV Installation</t>
  </si>
  <si>
    <t>Enter the net area of the PV absorbers.</t>
  </si>
  <si>
    <t>You must enter values between 0 and 2.5 times the floor area.</t>
  </si>
  <si>
    <t>Select Yes if geothermal probes are to be relocated or replaced.</t>
  </si>
  <si>
    <t>Heat distributions</t>
  </si>
  <si>
    <t>Geothermal probes</t>
  </si>
  <si>
    <t>Select Yes if the majority of the heat distributions are replaced or newly installed.</t>
  </si>
  <si>
    <t>Ventilation systems</t>
  </si>
  <si>
    <t>Select Yes if the majority of the ventilation systems are replaced or newly installed.</t>
  </si>
  <si>
    <t>Electrical installations</t>
  </si>
  <si>
    <t>Select Yes if the majority of the electrical installations are replaced or newly installed.</t>
  </si>
  <si>
    <t>Floor plan type</t>
  </si>
  <si>
    <t>Select the most appropriate floor plan type from the list.</t>
  </si>
  <si>
    <t>Floor space</t>
  </si>
  <si>
    <t>Enter the floor area (including unheated areas in the building).</t>
  </si>
  <si>
    <t>You must enter values between 0 and 300,000.</t>
  </si>
  <si>
    <t>Floor area in basement floors</t>
  </si>
  <si>
    <t>Enter the floor area in the basements.</t>
  </si>
  <si>
    <t>You must enter values between 0 and the value of the floor area.</t>
  </si>
  <si>
    <t>Floors under terrain</t>
  </si>
  <si>
    <t>Enter the number of floors under Terrain (decimal numbers are allowed).</t>
  </si>
  <si>
    <t>You must enter values between 0 and 10.</t>
  </si>
  <si>
    <t>Solar thermal system</t>
  </si>
  <si>
    <t>Enter the net area of the absorbers.</t>
  </si>
  <si>
    <t>Heat generation</t>
  </si>
  <si>
    <t>Select Yes if the heat generation is replaced or newly installed.</t>
  </si>
  <si>
    <t>Heat output</t>
  </si>
  <si>
    <t>Select Yes if the heat output (radiators, etc.) is replaced or newly installed by the majority.</t>
  </si>
  <si>
    <t>Sanitary facilities</t>
  </si>
  <si>
    <t>Select Yes if the majority of the sanitary facilities are replaced or newly installed.</t>
  </si>
  <si>
    <t>Select the appropriate category of the eBK-H from the list.</t>
  </si>
  <si>
    <t>Component</t>
  </si>
  <si>
    <t>Select an energy standard from the list.</t>
  </si>
  <si>
    <t xml:space="preserve">Enter the area of the component. If the input field has a red background, you do not have to enter a value (automatically calculated). </t>
  </si>
  <si>
    <t>Excavated material in landfill (BTK)</t>
  </si>
  <si>
    <t>Excavation pit, storage construction site (BTK)</t>
  </si>
  <si>
    <t>foundation plate 25cm concrete (BTK)</t>
  </si>
  <si>
    <t>Foundation slab 25cm concrete with internal thermal insulation XPS and underlay floor (BTK)</t>
  </si>
  <si>
    <t>Thermal insulation, foundation slab 25cm concrete, cement coating (BTK)</t>
  </si>
  <si>
    <t>Concrete wall 25cm uninsulated, seepage plates (BTK)</t>
  </si>
  <si>
    <t>concrete wall 25cm, external insulation, seepage plates (BTK)</t>
  </si>
  <si>
    <t>Concrete wall 25cm, interior insulation clad, seepage plates (BTK)</t>
  </si>
  <si>
    <t>Solid wood exterior wall, interior facing shell 1-fold planked (lignum)</t>
  </si>
  <si>
    <t>outside wall wooden stand, inside facing shell 1-fold planked (lignum)</t>
  </si>
  <si>
    <t>Brick masonry, external heat insulation ventilated (BTK)</t>
  </si>
  <si>
    <t>Concrete wall 20cm, external thermal insulation EPS plastered (BTK)</t>
  </si>
  <si>
    <t>Single-shell brick masonry, external thermal insulation EPS plastered (BTK)</t>
  </si>
  <si>
    <t>Insulated wooden element wall (BTK)</t>
  </si>
  <si>
    <t>Sheet steel sandwich panels (BTK)</t>
  </si>
  <si>
    <t>Steel cassettes with additional insulation, sheet steel cladding (BTK)</t>
  </si>
  <si>
    <t>Double-shell masonry plastered, core insulation (BTK)</t>
  </si>
  <si>
    <t>Brick interior wall plastered (BTK)</t>
  </si>
  <si>
    <t>concrete wall 20cm (BTK)</t>
  </si>
  <si>
    <t>Lightweight construction wall plasterboard, 2-fold planking (BTK)</t>
  </si>
  <si>
    <t>Partition wall 1-skinned, stand, plasterboard single planked (Lignum)</t>
  </si>
  <si>
    <t>Partition wall 2-layer, stand, plasterboard single planked (Lignum)</t>
  </si>
  <si>
    <t>Partition wall wood (BTK)</t>
  </si>
  <si>
    <t>Partition wall solid wood, with facing layer plasterboard double planked (Lignum)</t>
  </si>
  <si>
    <t>Partition wall solid plaster (BTK)</t>
  </si>
  <si>
    <t>Double-shell brick wall, plastered (BTK)</t>
  </si>
  <si>
    <t>Beam ceiling, wet screed with suspended ceiling (Lignum)</t>
  </si>
  <si>
    <t>beam ceiling, visible beams, simple ceiling with wet screed (lignum)</t>
  </si>
  <si>
    <t>beam ceiling, visible beams, simple ceiling with dry screed (lignum)</t>
  </si>
  <si>
    <t>Beam ceiling, dry screed with suspended ceiling (Lignum)</t>
  </si>
  <si>
    <t>Concrete floor 22 cm with internal thermal insulation EPS, impact sound insulation, underlay floor (BTK)</t>
  </si>
  <si>
    <t>Concrete ceiling 22cm with internal thermal insulation PUR, underlay floor (BTK)</t>
  </si>
  <si>
    <t>Concrete ceiling 22cm with footfall sound insulation and underlay (BTK)</t>
  </si>
  <si>
    <t>Concrete ceiling 22cm with plastered external thermal insulation (BTK)</t>
  </si>
  <si>
    <t>Glued laminated timber solid ceiling 16cm, impact sound insulation, underlay floor (BTK)</t>
  </si>
  <si>
    <t>Hollow box ceiling, wet screed with down. Ceiling (lignum)</t>
  </si>
  <si>
    <t>Hollow box ceiling, wet screed, without descending. Ceiling (lignum)</t>
  </si>
  <si>
    <t>wooden beam ceiling with additional insulation 8cm rock wool, cladding outside, chipboard inside (BTK)</t>
  </si>
  <si>
    <t>Wood-concrete composite ceiling, wet screed without going down. Ceiling (Lignum)</t>
  </si>
  <si>
    <t>Insulated wooden box ceiling, impact sound insulation, chipboard (BTK)</t>
  </si>
  <si>
    <t>Solid wood ceiling, wet screed with going down. Ceiling (Lignum)</t>
  </si>
  <si>
    <t>Solid wood ceiling, wet screed without going down. Ceiling (Lignum)</t>
  </si>
  <si>
    <t>Solid wood ceiling, dry screed with down. Ceiling (Lignum)</t>
  </si>
  <si>
    <t>Trapezoidal sheet metal ceiling with concrete 18cm, impact sound insulation, underlay floor (BTK)</t>
  </si>
  <si>
    <t>Solid wood roof construction (Lignum)</t>
  </si>
  <si>
    <t>Timber roof construction, beam/rafter planked with HWS panel (Lignum)</t>
  </si>
  <si>
    <t>Roof construction wood, beam/rafter visible (Lignum)</t>
  </si>
  <si>
    <t>Flat roof, concrete ceiling 22cm, EPS insulation, bitumen sheeting, walkable surface (BTK)</t>
  </si>
  <si>
    <t>Flat roof, concrete ceiling 22cm, EPS insulation, bitumen sheeting, gravel (BTK)</t>
  </si>
  <si>
    <t>Flat roof, wooden element roof insulated, bitumen sheeting, gravel (BTK)</t>
  </si>
  <si>
    <t>Flat roof, trapezoidal sheet metal, insulation EPS, accessible (BTK)</t>
  </si>
  <si>
    <t>pitched roof, wooden element roof insulated (BTK)</t>
  </si>
  <si>
    <t>Sloping roof, rafter layer with insulation and additional insulation (BTK)</t>
  </si>
  <si>
    <t>Exhaust air system living room, kitchen and bathroom (KBOB)</t>
  </si>
  <si>
    <t>Electrical installations office (KBOB)</t>
  </si>
  <si>
    <t>Housing electrical installations (KBOB)</t>
  </si>
  <si>
    <t>Ground probes, for brine-water heat pump (KBOB)</t>
  </si>
  <si>
    <t>Flat plate collector for space heating and hot water EFH (KBOB)</t>
  </si>
  <si>
    <t>Flat plate collector for hot water EFH (KBOB)</t>
  </si>
  <si>
    <t>Flat plate collector for hot water MFH (KBOB)</t>
  </si>
  <si>
    <t>Office ventilation system (4 m3/h*m2) (KBOB)</t>
  </si>
  <si>
    <t>Ventilation system school, assembly (8 m3/h*m2) (KBOB)</t>
  </si>
  <si>
    <t>Ventilation system living, sheet metal ducts, incl. kitchen exhaust air (KBOB)</t>
  </si>
  <si>
    <t>Ventilation system living, PE ducts, incl. kitchen exhaust air (KBOB)</t>
  </si>
  <si>
    <t>Ventilation system, specific air volume 6 m3/hm2 EBF (KBOB)</t>
  </si>
  <si>
    <t>Sanitary facilities, office, elaborate, incl. apparatuses and pipes (KBOB)</t>
  </si>
  <si>
    <t>Sanitary facilities, office, simple, incl. apparatus and wiring (KBOB)</t>
  </si>
  <si>
    <t>Sanitary facilities, living, incl. apparatus and pipes (KBOB)</t>
  </si>
  <si>
    <t>Solar power system facade (KBOB)</t>
  </si>
  <si>
    <t>Solar power system flat roof (KBOB)</t>
  </si>
  <si>
    <t>Solar power system pitched roof (KBOB)</t>
  </si>
  <si>
    <t>Heat emission via underfloor heating (KBOB)</t>
  </si>
  <si>
    <t>Heat emission via radiators (KBOB)</t>
  </si>
  <si>
    <t>Heat dissipation via radiant cooling ceiling (without plaster or metal ceiling) (KBOB)</t>
  </si>
  <si>
    <t>Heat generator, specific power requirement 10 W/m2 (KBOB)</t>
  </si>
  <si>
    <t>Heat generator, specific power requirement 30 W/m2 (KBOB)</t>
  </si>
  <si>
    <t>Heat generator, specific power requirement 50 W/m2 (KBOB)</t>
  </si>
  <si>
    <t>Heat distribution office building (KBOB)</t>
  </si>
  <si>
    <t>Heat distribution and delivery, air heating (KBOB)</t>
  </si>
  <si>
    <t>Heat distribution in residential buildings (KBOB)</t>
  </si>
  <si>
    <t>Aluminium windows 3-IV (BTK)</t>
  </si>
  <si>
    <t>External door wood (BTK)</t>
  </si>
  <si>
    <t>Wooden windows 3-IV (BTK)</t>
  </si>
  <si>
    <t>Wood-metal windows 3-IV (BTK)</t>
  </si>
  <si>
    <t>Plastic windows 3-IV (BTK)</t>
  </si>
  <si>
    <t>Excavation (SIA 2032)</t>
  </si>
  <si>
    <t>Pile, micro pile (SIA 2032)</t>
  </si>
  <si>
    <t>Pile, in-situ concrete displacement pile (SIA 2032)</t>
  </si>
  <si>
    <t>Pile, prefabricated concrete pile (SIA 2032)</t>
  </si>
  <si>
    <t>Base plate, foundation uninsulated (SIA 2032)</t>
  </si>
  <si>
    <t>Base plate, foundation insulated (SIA 2032)</t>
  </si>
  <si>
    <t>External wall under terrain uninsulated (SIA 2032)</t>
  </si>
  <si>
    <t>External wall insulated under terrain (SIA 2032)</t>
  </si>
  <si>
    <t>Roof under terrain uninsulated (SIA 2032)</t>
  </si>
  <si>
    <t>Roof insulated under terrain (SIA 2032)</t>
  </si>
  <si>
    <t>Average window 3-fold IV, incl. sun protection (SIA 2032)</t>
  </si>
  <si>
    <t>Mean value interior wall load-bearing (with interior plaster) (SIA 2032)</t>
  </si>
  <si>
    <t>Mean value inner wall non-load bearing (with internal plaster) (SIA 2032)</t>
  </si>
  <si>
    <t>Concrete ceiling 25 cm with interior plaster (SIA 2032)</t>
  </si>
  <si>
    <t>Wooden element ceiling (with lower gypsum cladding) (SIA 2032)</t>
  </si>
  <si>
    <t>Wood-concrete composite (with lower plaster cladding) (SIA 2032)</t>
  </si>
  <si>
    <t>Finished floor covering (without substructure) (SIA 2032)</t>
  </si>
  <si>
    <t>Substructure and floor covering (SIA 2032)</t>
  </si>
  <si>
    <t>Insulation against unheated (SIA 2032)</t>
  </si>
  <si>
    <t>Suspended installation ceiling (mean value) (SIA 2032)</t>
  </si>
  <si>
    <t>Balcony incl. fall protection (SIA 2032)</t>
  </si>
  <si>
    <t>Electrical system housing (SIA 2032)</t>
  </si>
  <si>
    <t>Electrical system office (SIA 2032)</t>
  </si>
  <si>
    <t>Solar power system (1 m2 = 0.14 kWp) (SIA 2032)</t>
  </si>
  <si>
    <t>Heat generation (SIA 2032)</t>
  </si>
  <si>
    <t>Geothermal probes (SIA 2032)</t>
  </si>
  <si>
    <t>Solar collectors (SIA 2032)</t>
  </si>
  <si>
    <t>Fin de la fouille, paroi de palplanches (SIA 2032)</t>
  </si>
  <si>
    <t>Pile, micro-pile (SIA 2032)</t>
  </si>
  <si>
    <t>Pieu, pieu de déplacement en béton in situ (SIA 2032)</t>
  </si>
  <si>
    <t>Pile, pieu en béton préfabriqué (SIA 2032)</t>
  </si>
  <si>
    <t>Plaque de base, fondation non isolée (SIA 2032)</t>
  </si>
  <si>
    <t>Mur extérieur sous terrain non isolé (SIA 2032)</t>
  </si>
  <si>
    <t>Toit sous terrain non isolé (SIA 2032)</t>
  </si>
  <si>
    <t>Toiture isolée sous le terrain (SIA 2032)</t>
  </si>
  <si>
    <t>Valeur moyenne des murs porteurs intérieurs (avec enduit intérieur) (SIA 2032)</t>
  </si>
  <si>
    <t>Valeur moyenne paroi intérieure non porteuse (avec enduit intérieur) (SIA 2032)</t>
  </si>
  <si>
    <t>Plafond en béton 25 cm avec enduit intérieur (SIA 2032)</t>
  </si>
  <si>
    <t>Plafond à éléments en bois (avec revêtement inférieur en plâtre) (SIA 2032)</t>
  </si>
  <si>
    <t>Composite bois-béton (avec revêtement inférieur en plâtre) (SIA 2032)</t>
  </si>
  <si>
    <t>Revêtement de sol fini (sans sous-construction) (SIA 2032)</t>
  </si>
  <si>
    <t>Sous-construction et revêtement de sol (SIA 2032)</t>
  </si>
  <si>
    <t>Isolation contre la non-chauffée (SIA 2032)</t>
  </si>
  <si>
    <t>Plafond d'installation suspendu (valeur moyenne) (SIA 2032)</t>
  </si>
  <si>
    <t>Balcon avec protection contre les chutes (SIA 2032)</t>
  </si>
  <si>
    <t>Boîtier de l'installation électrique (SIA 2032)</t>
  </si>
  <si>
    <t>Système électrique bureau (SIA 2032)</t>
  </si>
  <si>
    <t>Installation solaire (1 m2 = 0,14 kWp) (SIA 2032)</t>
  </si>
  <si>
    <t>Production de chaleur (SIA 2032)</t>
  </si>
  <si>
    <t>Sondes géothermiques (SIA 2032)</t>
  </si>
  <si>
    <t>Capteurs solaires (SIA 2032)</t>
  </si>
  <si>
    <t>Système d'évacuation d'air de la cuisine et de la salle de bain (SIA 2032)</t>
  </si>
  <si>
    <t>Plaque de base, fondation isolée (SIA 2032)</t>
  </si>
  <si>
    <t>Paroi extérieure isolée sous terrain (SIA 2032)</t>
  </si>
  <si>
    <t>Scavo (SIA 2032)</t>
  </si>
  <si>
    <t>Pali, micropali (SIA 2032)</t>
  </si>
  <si>
    <t>Palo, palo dislocante in calcestruzzo gettato in opera (SIA 2032)</t>
  </si>
  <si>
    <t>Pali, palo prefabbricato in calcestruzzo (SIA 2032)</t>
  </si>
  <si>
    <t>Piastra di base, fondazione non isolata (SIA 2032)</t>
  </si>
  <si>
    <t>Piastra di base, fondazione isolata (SIA 2032)</t>
  </si>
  <si>
    <t>Muro esterno sotto il terreno non isolato (SIA 2032)</t>
  </si>
  <si>
    <t>Parete esterna isolata sotto il terreno (SIA 2032)</t>
  </si>
  <si>
    <t>Tetto sotto il terreno non isolato (SIA 2032)</t>
  </si>
  <si>
    <t>Tetto isolato sotto il terreno (SIA 2032)</t>
  </si>
  <si>
    <t>Valore medio portante della parete interna (con intonaco interno) (SIA 2032)</t>
  </si>
  <si>
    <t>Valore medio parete interna non portante (con intonaco interno) (SIA 2032)</t>
  </si>
  <si>
    <t>Soffitto in calcestruzzo 25 cm con intonaco interno (SIA 2032)</t>
  </si>
  <si>
    <t>Soffitto a elementi in legno (con rivestimento inferiore in gesso) (SIA 2032)</t>
  </si>
  <si>
    <t>Composito legno-calcestruzzo (con rivestimento inferiore in gesso) (SIA 2032)</t>
  </si>
  <si>
    <t>Pavimento finito (senza sottostruttura) (SIA 2032)</t>
  </si>
  <si>
    <t>Sottostruttura e rivestimento del pavimento (SIA 2032)</t>
  </si>
  <si>
    <t>Isolamento contro i non riscaldati (SIA 2032)</t>
  </si>
  <si>
    <t>Soffitto di installazione sospesa (valore medio) (SIA 2032)</t>
  </si>
  <si>
    <t>Balcone incl. protezione anticaduta (SIA 2032)</t>
  </si>
  <si>
    <t>Alloggiamento dell'impianto elettrico (SIA 2032)</t>
  </si>
  <si>
    <t>Ufficio impianti elettrici (SIA 2032)</t>
  </si>
  <si>
    <t>Impianto solare (1 m2 = 0,14 kWp) (SIA 2032)</t>
  </si>
  <si>
    <t>Generazione di calore (SIA 2032)</t>
  </si>
  <si>
    <t>Sonde geotermiche (SIA 2032)</t>
  </si>
  <si>
    <t>Collettori solari (SIA 2032)</t>
  </si>
  <si>
    <t>Sistema di scarico dell'aria di scarico cucina e bagno (SIA 2032)</t>
  </si>
  <si>
    <t>Fermeture de la fosse du bâtiment, paroi berlinoise (SIA 2032)</t>
  </si>
  <si>
    <t>Chiusura della fossa dell'edificio, parete berlinese (SIA 2032)</t>
  </si>
  <si>
    <t>Building pit closure, retaining wall (SIA 2032)</t>
  </si>
  <si>
    <t>Building pit closure, diaphragm wall (SIA 2032)</t>
  </si>
  <si>
    <t>Baugrubenabschluss, Schlitzwand (SIA 2032)</t>
  </si>
  <si>
    <t>Building pit closure, sheet pile wall (SIA 2032)</t>
  </si>
  <si>
    <t>Fermeture de fosse du bâtiment, paroi de membrane (SIA 2032)</t>
  </si>
  <si>
    <t>Chiusura della fossa dell'edificio, parete del diaframma (SIA 2032)</t>
  </si>
  <si>
    <t>Chiusura della fossa dell'edificio, parete di palancole (SIA 2032)</t>
  </si>
  <si>
    <t>Fenêtre, valeur moyenne, 3 fois IV, y compris protection solaire (SIA 2032)</t>
  </si>
  <si>
    <t>Finestra, valore media, 3 volte IV, incl. protezione solare (SIA 2032)</t>
  </si>
  <si>
    <t>Distribution et dégagement de chaleur pour immeubles résidentiels (SIA 2032)</t>
  </si>
  <si>
    <t>Distribuzione del calore e emissione di calore per edifici residenziali (SIA 2032)</t>
  </si>
  <si>
    <t>Distribuzione del calore e emissione di calore per edifici uffici (SIA 2032)</t>
  </si>
  <si>
    <t>Distribution et dégagement de chaleur pour immeubles de bureaux (SIA 2032)</t>
  </si>
  <si>
    <t>Système de ventilation pour immeubles résidentiels (SIA 2032)</t>
  </si>
  <si>
    <t>Système de ventilation pour immeubles de bureaux (SIA 2032)</t>
  </si>
  <si>
    <t>Installations sanitaires pour immeubles résidentiels (SIA 2032)</t>
  </si>
  <si>
    <t>Installations sanitaires pour immeubles de bureaux (SIA 2032)</t>
  </si>
  <si>
    <t>Sistema di ventilazione per uffici (SIA 2032)</t>
  </si>
  <si>
    <t>Sistema di ventilazione per edifici residenziali (SIA 2032)</t>
  </si>
  <si>
    <t>Impianto sanitario per edifici residenziali (SIA 2032)</t>
  </si>
  <si>
    <t>Impianto sanitario per uffici (SIA 2032)</t>
  </si>
  <si>
    <t>Exhaust air system for kitchen and bathroom (SIA 2032)</t>
  </si>
  <si>
    <t>Ventilation system for residential buildings (SIA 2032)</t>
  </si>
  <si>
    <t>Ventilation system for office buildings (SIA 2032)</t>
  </si>
  <si>
    <t>Sanitary facilities for residential buildings (SIA 2032)</t>
  </si>
  <si>
    <t>Sanitary facilities for office buildings (SIA 2032)</t>
  </si>
  <si>
    <t>Heat distribution and dissipation for residential buildings (SIA 2032)</t>
  </si>
  <si>
    <t>Heat distribution and dissipation for office buildings (SIA 2032)</t>
  </si>
  <si>
    <t>B5:B6</t>
  </si>
  <si>
    <t>Beteiligte</t>
  </si>
  <si>
    <t>Geben Sie eine eindeutige Projektbezeichnung ein.</t>
  </si>
  <si>
    <t>Wählen Sie einen Projekt-Typ aus der Liste.</t>
  </si>
  <si>
    <t>Wählen Sie ein Zertifikat / Standard aus der Liste.</t>
  </si>
  <si>
    <t>Wählen Sie eine Gebäudekategorie aus der Liste.</t>
  </si>
  <si>
    <t>Geben Sie Namen und Kontaktdaten der Beteiligten ein.</t>
  </si>
  <si>
    <t>Sie dürfen pro Zeile maximal 256 Zeichen eingeben.</t>
  </si>
  <si>
    <t>B8:B8</t>
  </si>
  <si>
    <t>B11:B11</t>
  </si>
  <si>
    <t>B13:B13</t>
  </si>
  <si>
    <t>Project name</t>
  </si>
  <si>
    <t>Enter a unique project name.</t>
  </si>
  <si>
    <t>You may enter a maximum of 256 characters per line.</t>
  </si>
  <si>
    <t>Select a project type from the list.</t>
  </si>
  <si>
    <t>Desired certificate</t>
  </si>
  <si>
    <t>Select a certificate/standard from the list.</t>
  </si>
  <si>
    <t>Building category</t>
  </si>
  <si>
    <t>Select a building category from the list.</t>
  </si>
  <si>
    <t>Parties involved</t>
  </si>
  <si>
    <t>Enter the names and contact information of the participants.</t>
  </si>
  <si>
    <t>Nom du projet</t>
  </si>
  <si>
    <t>Entrez un nom de projet unique.</t>
  </si>
  <si>
    <t>Vous pouvez entrer un maximum de 256 caractères par ligne.</t>
  </si>
  <si>
    <t>Sélectionnez un type de projet dans la liste.</t>
  </si>
  <si>
    <t>Vous devez sélectionner une entrée dans la liste.</t>
  </si>
  <si>
    <t>Certificat souhaité</t>
  </si>
  <si>
    <t>Sélectionnez un certificat/une norme dans la liste.</t>
  </si>
  <si>
    <t>Catégorie de bâtiment</t>
  </si>
  <si>
    <t>Sélectionnez une catégorie de bâtiment dans la liste.</t>
  </si>
  <si>
    <t>Parties concernées</t>
  </si>
  <si>
    <t>Entrez les noms et les coordonnées des participants.</t>
  </si>
  <si>
    <t>Nome del progetto</t>
  </si>
  <si>
    <t>Inserire un nome unico per il progetto.</t>
  </si>
  <si>
    <t>È possibile inserire un massimo di 256 caratteri per riga.</t>
  </si>
  <si>
    <t>Tipo di progetto</t>
  </si>
  <si>
    <t>Selezionare un tipo di progetto dall'elenco.</t>
  </si>
  <si>
    <t>Selezionare un certificato/standard dall'elenco.</t>
  </si>
  <si>
    <t>Categoria dell'edificio</t>
  </si>
  <si>
    <t>Selezionare una categoria di edifici dall'elenco.</t>
  </si>
  <si>
    <t>Parti coinvolte</t>
  </si>
  <si>
    <t>Inserire i nomi e le informazioni di contatto dei partecipanti.</t>
  </si>
  <si>
    <t>Superfice di riferimento energ.</t>
  </si>
  <si>
    <t>Boden beh. gegen unbeh./Erdreich</t>
  </si>
  <si>
    <t>Floor heated against unheated</t>
  </si>
  <si>
    <t>Pavimento risc. contro non risc.</t>
  </si>
  <si>
    <t>Plancher chauffé contre n.ch.</t>
  </si>
  <si>
    <t>Geschossfläche in Untergesch.</t>
  </si>
  <si>
    <t>Surface plancher sous-sols</t>
  </si>
  <si>
    <t>B15:B16</t>
  </si>
  <si>
    <t>C18:G42</t>
  </si>
  <si>
    <t>Kontrolle der Textlängen</t>
  </si>
  <si>
    <t>Floor slab, interior renovation with cement coating, 14cm XPS (BTK)</t>
  </si>
  <si>
    <t>Compact facade on masonry, 20cm EPS (BTK)</t>
  </si>
  <si>
    <t>Ventilated external thermal insulation on masonry, 20cm rock wool (BTK)</t>
  </si>
  <si>
    <t>Interior insulation with cladding on masonry, 22cm rock wool (BTK)</t>
  </si>
  <si>
    <t>Interior insulation on insulated beam ceiling to unheated, 16cm rock wool (BTK)</t>
  </si>
  <si>
    <t>Double roof on concrete ceiling (BTK)</t>
  </si>
  <si>
    <t>Reverse roof / plus roof on concrete ceiling, 22cm XPS (BTK)</t>
  </si>
  <si>
    <t>Double roof walkable on concrete ceiling (BTK)</t>
  </si>
  <si>
    <t>Exterior renovation of uninsulated pitched roof (BTK)</t>
  </si>
  <si>
    <t>Core refurbishment non-insulated pitched roof (BTK)</t>
  </si>
  <si>
    <t>Exterior refurbishment on masonry to unheated (BTK)</t>
  </si>
  <si>
    <t>External insulation on concrete ceiling to unheated (BTK)</t>
  </si>
  <si>
    <t>Internal insulation with ceiling cladding under insulated concrete ceiling to unheated (BTK)</t>
  </si>
  <si>
    <t>Core insulation beam ceiling to unheated (BTK)</t>
  </si>
  <si>
    <t>Internal insulation under beam ceiling with slag filling to unheated (BTK)</t>
  </si>
  <si>
    <t>R_BKP_B</t>
  </si>
  <si>
    <t>R_BKP_C211</t>
  </si>
  <si>
    <t>R_BKP_C43</t>
  </si>
  <si>
    <t>R_BKP_G</t>
  </si>
  <si>
    <t>Wählen Sie ein Bauteil aus der Liste. Achtung: wenn das Feld gelb ist, müssen Sie das Bauteil neu auswählen.</t>
  </si>
  <si>
    <t>Sélectionnez un élément de construction du menu déroulant. Attention: si le champs a un fond jaune, sélectionner l'élément de construction encore une fois.</t>
  </si>
  <si>
    <t>GE GW1</t>
  </si>
  <si>
    <t>GE GW2</t>
  </si>
  <si>
    <t>THGE GW1</t>
  </si>
  <si>
    <t>THGE GW2</t>
  </si>
  <si>
    <t>Basisgrenzwerte ECO Modernis. GE</t>
  </si>
  <si>
    <t>Aussenwände in kg CO2/m2BTFa</t>
  </si>
  <si>
    <t>Neubau in kg CO2/m2a</t>
  </si>
  <si>
    <t>Dächer in kg CO2/m2BTFa</t>
  </si>
  <si>
    <t>Bodenplatte in kg CO2/m2BTFa</t>
  </si>
  <si>
    <t>Fenster/Aussentüre in kg CO2/m2BTFa</t>
  </si>
  <si>
    <t>Innenbauteile in kg CO2/m2AEa</t>
  </si>
  <si>
    <t>Gebäudetechnik in kg CO2/m2AEa</t>
  </si>
  <si>
    <t>Basisgrenzwerte ECO Modernis. THGE</t>
  </si>
  <si>
    <t>MxEcoGWPE_M</t>
  </si>
  <si>
    <t>MxEcoGWPE_N</t>
  </si>
  <si>
    <t>MxEcoGWTH_M</t>
  </si>
  <si>
    <t>MxEcoGWTH_N</t>
  </si>
  <si>
    <t>Basisgrenzwerte ECO Neubauten GE</t>
  </si>
  <si>
    <t>Basisgrenzwerte ECO Neubauten THGE</t>
  </si>
  <si>
    <t>Neubau EcoGWPE1</t>
  </si>
  <si>
    <t>Neubau EcoGWPE2</t>
  </si>
  <si>
    <t>Modernisierung EcoGWPE1</t>
  </si>
  <si>
    <t>Modernisierung EcoGWPE2</t>
  </si>
  <si>
    <t>GWPEpv</t>
  </si>
  <si>
    <t>GWPEthermie</t>
  </si>
  <si>
    <t>GWPEerdsonde1</t>
  </si>
  <si>
    <t>GWPEerdsonde2</t>
  </si>
  <si>
    <t>GWTHpv</t>
  </si>
  <si>
    <t>GWTHthermie</t>
  </si>
  <si>
    <t>GWTHerdsonde1</t>
  </si>
  <si>
    <t>GWTHerdsonde2</t>
  </si>
  <si>
    <t>PV Kollektoren PE</t>
  </si>
  <si>
    <t>Thermische Kollektoren PE</t>
  </si>
  <si>
    <t>Erdsonden MuKEn/Minergie PE</t>
  </si>
  <si>
    <t>Erdsonden Minergie-P/-A PE</t>
  </si>
  <si>
    <t>PV Kollektoren THGE</t>
  </si>
  <si>
    <t>Thermische Kollektoren THGE</t>
  </si>
  <si>
    <t>Erdsonden MuKEn/Minergie THGE</t>
  </si>
  <si>
    <t>Erdsonden Minergie-P/-A THGE</t>
  </si>
  <si>
    <t>GWPE1unbeh</t>
  </si>
  <si>
    <t>GWPE2unbeh</t>
  </si>
  <si>
    <t>GW1 PE GF Unbeheizt</t>
  </si>
  <si>
    <t>GW2 PE GF Unbeheizt</t>
  </si>
  <si>
    <t>GWTH1unbeh</t>
  </si>
  <si>
    <t>GWTH2unbeh</t>
  </si>
  <si>
    <t>GW1 THGE GF Unbeheizt</t>
  </si>
  <si>
    <t>GW2 THGE GF Unbeheizt</t>
  </si>
  <si>
    <t>Steigerungswerte für unbeheizte Geschossflächen</t>
  </si>
  <si>
    <t>Steigerungswerte für Haustechnik</t>
  </si>
  <si>
    <t>MJ/m2 bzw. kg CO2/m2</t>
  </si>
  <si>
    <t>Umrechnungs- und Zuschlagsfaktoren</t>
  </si>
  <si>
    <t>Faktor MEP</t>
  </si>
  <si>
    <t>Zuschlagsfaktor für Bauteile Minergie-P</t>
  </si>
  <si>
    <t>Abminderungsfaktor für Wärmeerzeugung Minergie-P</t>
  </si>
  <si>
    <t>FaktorMEP_WE</t>
  </si>
  <si>
    <t>FaktorPE_TH_SNBS</t>
  </si>
  <si>
    <t>FaktorPE_TH_ECO_N</t>
  </si>
  <si>
    <t>FaktorPE_TH_ECO_M</t>
  </si>
  <si>
    <t>Umrechnungsfaktor kWh PE zu kg CO2</t>
  </si>
  <si>
    <t>Umrechnungsfaktor MJ PE zu kg CO2 für ME-ECO Neubauten</t>
  </si>
  <si>
    <t>Umrechnungsfaktor MJ PE zu kg CO2 für ME-ECO Modernisierung</t>
  </si>
  <si>
    <t>Neubau EcoGWTH1</t>
  </si>
  <si>
    <t>Neubau EcoGWTH2</t>
  </si>
  <si>
    <t>Modernisierung EcoGWTH1</t>
  </si>
  <si>
    <t>Modernisierung EcoGWTH2</t>
  </si>
  <si>
    <t>kg CO2eq/m2a</t>
  </si>
  <si>
    <t>PE Haustechnik Modernisierung</t>
  </si>
  <si>
    <t>THGE Haustechnik Modernisierung</t>
  </si>
  <si>
    <t>Minergie-Eco Grenzwert</t>
  </si>
  <si>
    <t>Minergie-Eco valeur limite</t>
  </si>
  <si>
    <t>Minergie-Eco valore limite</t>
  </si>
  <si>
    <t>Minergie-Eco limiting value</t>
  </si>
  <si>
    <t>Die Anforderung von Minergie-Eco an die Treibhausgasemissionen ist</t>
  </si>
  <si>
    <t>L'exigence Minergie-Eco pour les émissions de gaz à effet de serre est</t>
  </si>
  <si>
    <t>L'esigenza Minergie-Eco sull' energia grigia è</t>
  </si>
  <si>
    <t>L'esigenza Minergie-Eco sull' emissioni di gas serra è</t>
  </si>
  <si>
    <t>The requirement of Minergie-Eco regarding GHG emissions is</t>
  </si>
  <si>
    <t xml:space="preserve">The requirement of Minergie-Eco regarding embodied energy is </t>
  </si>
  <si>
    <t>ECO Ergebnis THGE</t>
  </si>
  <si>
    <t>AusmSonde</t>
  </si>
  <si>
    <t>Treibhausgasemissionen</t>
  </si>
  <si>
    <t>FaktorSondenME</t>
  </si>
  <si>
    <t>Umrechnungsfaktor EBF zu Sondenlänge, Annahmen 25W/m2 Heizleistung, 35 W/m Sonde</t>
  </si>
  <si>
    <t>M17</t>
  </si>
  <si>
    <t xml:space="preserve">Ausmass
</t>
  </si>
  <si>
    <t xml:space="preserve">Dimension
</t>
  </si>
  <si>
    <t xml:space="preserve">Dimensioni
</t>
  </si>
  <si>
    <t xml:space="preserve">Amount
</t>
  </si>
  <si>
    <t>Einh.</t>
  </si>
  <si>
    <t>Unit</t>
  </si>
  <si>
    <t>Unité</t>
  </si>
  <si>
    <t>Unità</t>
  </si>
  <si>
    <t>GHGE
kg/m2</t>
  </si>
  <si>
    <t>EPnr
kWh/m2</t>
  </si>
  <si>
    <t>Installation PV (surface d'absorbeurs)</t>
  </si>
  <si>
    <t>Installation solaire therm. (surface d'absorb.)</t>
  </si>
  <si>
    <t>Impianto solare term. (superficie assorb.)</t>
  </si>
  <si>
    <t>Installation de ventilation</t>
  </si>
  <si>
    <t xml:space="preserve">Installation sanitaires </t>
  </si>
  <si>
    <t>Installation électrique</t>
  </si>
  <si>
    <t>Production de chaleur</t>
  </si>
  <si>
    <t>Distribution de chaleur</t>
  </si>
  <si>
    <t>Diffusion de chaleur</t>
  </si>
  <si>
    <t>Impianto sanitario</t>
  </si>
  <si>
    <t>Impianto elettrico</t>
  </si>
  <si>
    <t>Generazione di calore</t>
  </si>
  <si>
    <t>Distribuzione di calore</t>
  </si>
  <si>
    <t>Emissione di calore</t>
  </si>
  <si>
    <t>Plancher chauffé vs. non chauffé/terre</t>
  </si>
  <si>
    <t>Approfondi-mento</t>
  </si>
  <si>
    <t>Impianto FV (superficie captante)</t>
  </si>
  <si>
    <t>SNBS Grenzwerte siehe SNBS Manual</t>
  </si>
  <si>
    <t>Valori limite SNBS vedi manuale SNBS</t>
  </si>
  <si>
    <t>For SNBS limiting values, see manual SNBS</t>
  </si>
  <si>
    <t>SNBS valeurs limites voir manuel SNBS</t>
  </si>
  <si>
    <t>Berechnung Graue Energie (PEne) und Treibhausgasemissionen (THGE)</t>
  </si>
  <si>
    <t>Calcul de l'énergie grise (EPnr) et des émissions de gaz à effet de serre (EGES)</t>
  </si>
  <si>
    <t>Calcolo dell'energia grigia (EPnr) e delle emissioni di gas serra (EGS)</t>
  </si>
  <si>
    <t>EGS
kg/m2</t>
  </si>
  <si>
    <t>EGES
kg/m2</t>
  </si>
  <si>
    <t>Grundrisstyp (Menge Innenwände)</t>
  </si>
  <si>
    <t>Tipologia pianta (Quantità di pareti interne)</t>
  </si>
  <si>
    <t>Floorplan type (quantity of internal walls)</t>
  </si>
  <si>
    <t>Type de plan (quantité de parois intérieures)</t>
  </si>
  <si>
    <t>Numero normale</t>
  </si>
  <si>
    <t>Poche (per es. loft)</t>
  </si>
  <si>
    <t>Molte (per es. hotel)</t>
  </si>
  <si>
    <t>Few (e.g. loft)</t>
  </si>
  <si>
    <t xml:space="preserve">Normal number </t>
  </si>
  <si>
    <t>Many (e.g. hotel)</t>
  </si>
  <si>
    <t>Wenig (z.B. Loft)</t>
  </si>
  <si>
    <t>Viel (z.B. Hotel)</t>
  </si>
  <si>
    <t>Normal</t>
  </si>
  <si>
    <t>Peu (p. ex. loft)</t>
  </si>
  <si>
    <t xml:space="preserve">Nombre usuel </t>
  </si>
  <si>
    <t>Nombre élevé (p. ex. hôtel)</t>
  </si>
  <si>
    <t>Il s'agit soit d'un immeuble locatif avec une surface de référence énergétique (SRE) de moins de 5'000 m2 ou d'une autre catégorie de bâtiment avec une SRE de moins de 2'000 m2.</t>
  </si>
  <si>
    <t>Agrandisse-ments</t>
  </si>
  <si>
    <t>Les éléments porteurs du bâtiment ne sont pas modifiés (excepté des percements isolés jusqu'à une surface de 3 m2 dans les parois porteurs ainsi que des renforts parasismiques).</t>
  </si>
  <si>
    <t>C4.4 Construction du toit</t>
  </si>
  <si>
    <t>E3 Fenêtres, portes, disp. de prot.</t>
  </si>
  <si>
    <t>C2.1 Parois porteuses ext. c. terre</t>
  </si>
  <si>
    <t>C2.1 Parois porteuses ext. h. terr.</t>
  </si>
  <si>
    <t>C 2.1 Parete grezza est. c. terra</t>
  </si>
  <si>
    <t>C 2.1 Parete grezza est. fuori terra</t>
  </si>
  <si>
    <t>E1 Revêtements de murs c. terre</t>
  </si>
  <si>
    <t>E 1 Rivestimento della parete esterna c. terra</t>
  </si>
  <si>
    <t>E 2 Rivestimento della parete est. fuori terra</t>
  </si>
  <si>
    <t>EPnr (én. grise)
kWh/m2a</t>
  </si>
  <si>
    <t>EPnr (en. grigia)
kWh/m2a</t>
  </si>
  <si>
    <t>NRE (Embod. En.)
kWh/m2a</t>
  </si>
  <si>
    <t>Note</t>
  </si>
  <si>
    <t>Grade</t>
  </si>
  <si>
    <t>Grado</t>
  </si>
  <si>
    <t>SNBS_Note</t>
  </si>
  <si>
    <t>Valori progetto</t>
  </si>
  <si>
    <t>Specific values</t>
  </si>
  <si>
    <t>A31</t>
  </si>
  <si>
    <t>Analog SIA 2040</t>
  </si>
  <si>
    <t>K18:K42</t>
  </si>
  <si>
    <t>Dieses Feld dient zur Anzeige von Links und erlaubt keine Eingaben.</t>
  </si>
  <si>
    <t>Klicken Sia auf den Link, um Genaueres über das gewählte Bauteil zu erfahren.</t>
  </si>
  <si>
    <t>Kein Eingabefeld</t>
  </si>
  <si>
    <t>Lien</t>
  </si>
  <si>
    <t>Cliquez sur le lien pour en savoir plus sur le composant sélectionné.</t>
  </si>
  <si>
    <t>Aucun champ de saisie</t>
  </si>
  <si>
    <t>Cette champ est utilisée pour afficher les liens et ne permet aucune entrée.</t>
  </si>
  <si>
    <t>Cliccare sul link per saperne di più sul componente selezionato.</t>
  </si>
  <si>
    <t>Nessun campo di ingresso</t>
  </si>
  <si>
    <t>Questo campo viene utilizzato per visualizzare i link e non consente alcuna immissione.</t>
  </si>
  <si>
    <t>Click on the link to learn more about the selected component.</t>
  </si>
  <si>
    <t>No input field</t>
  </si>
  <si>
    <t>This field is used to display links and does not allow any entries.</t>
  </si>
  <si>
    <t>TableNames</t>
  </si>
  <si>
    <t>Holzkonstruktion geneigtes Dach, gedämmt (SIA 2032)</t>
  </si>
  <si>
    <t>Costruzione in legno, tetto a falda, isolato (SIA 2032)</t>
  </si>
  <si>
    <t>Wooden construction, pitched roof, insulated (SIA 2032)</t>
  </si>
  <si>
    <t>Holzkonstruktion geneigtes Dach, ungedämmt (SIA 2032)</t>
  </si>
  <si>
    <t>Construction en bois, toit en pente, non isolé (SIA 2032)</t>
  </si>
  <si>
    <t>Construction en bois, toit en pente, isolé (SIA 2032)</t>
  </si>
  <si>
    <t>Costruzione in legno, tetto a falda, non isolato (SIA 2032)</t>
  </si>
  <si>
    <t>Wooden construction, pitched roof, uninsulated (SIA 2032)</t>
  </si>
  <si>
    <t>Profilblech Verbunddecke, gedämmt (SIA 2032)</t>
  </si>
  <si>
    <t>Plafond composite en tôle profilée, isolé (SIA 2032)</t>
  </si>
  <si>
    <t>Soffitto in lamiera profilata composita, isolato (SIA 2032)</t>
  </si>
  <si>
    <t>Profiled sheet composite ceiling, insulated (SIA 2032)</t>
  </si>
  <si>
    <t>Holzdecke mit unterer Gipsbekleidung, gedämmt (SIA 2032)</t>
  </si>
  <si>
    <t>Plafond en bois avec revêtement inférieur en plâtre, isolé (SIA 2032)</t>
  </si>
  <si>
    <t>Soffitto in legno con rivestimento inferiore in gesso, isolato (SIA 2032)</t>
  </si>
  <si>
    <t>Wooden ceiling with lower plaster covering, insulated (SIA 2032)</t>
  </si>
  <si>
    <t>Betondecke 25 cm mit Innenputz, gedämmt (SIA 2032)</t>
  </si>
  <si>
    <t>Plafond en béton 25 cm avec enduit intérieur, isolé (SIA 2032)</t>
  </si>
  <si>
    <t>Soffitto in calcestruzzo 25 cm con intonaco interno, isolato (SIA 2032)</t>
  </si>
  <si>
    <t>Concrete ceiling 25 cm with interior plaster, insulated (SIA 2032)</t>
  </si>
  <si>
    <t>Betondecke 40 cm mit Innenputz, gedämmt (SIA 2032)</t>
  </si>
  <si>
    <t>Plafond en béton 40 cm avec enduit intérieur, isolé (SIA 2032)</t>
  </si>
  <si>
    <t>Soffitto in calcestruzzo 40 cm con intonaco interno, isolato (SIA 2032)</t>
  </si>
  <si>
    <t>Concrete ceiling 40 cm with interior plaster, insulated (SIA 2032)</t>
  </si>
  <si>
    <t>Werte</t>
  </si>
  <si>
    <t>External wall construction brick wall with internal plaster,double shell (SIA 2032)</t>
  </si>
  <si>
    <t>Muro in mattoni con intonaco interno, parete a doppio guscio (SIA 2032)</t>
  </si>
  <si>
    <t>External wall construction brick wall with internal plaster, plastered external insulation (SIA 2032)</t>
  </si>
  <si>
    <t>External wall construction brick wall with internal plaster, cladding fibre cement/stone (SIA 2032)</t>
  </si>
  <si>
    <t>External wall construction brick wall with internal plaster, cladding wood (SIA 2032)</t>
  </si>
  <si>
    <t>External wall construction brick wall with internal plaster, cladding metal/glass (SIA 2032)</t>
  </si>
  <si>
    <t>Mur en béton avec enduit intérieur, parois extérieur en briques (SIA 2032)</t>
  </si>
  <si>
    <t>Mur en béton avec enduit intérieur, isolation extérieure crépie (SIA 2032)</t>
  </si>
  <si>
    <t>Parete in calcestruzzo con intonaco interno, parete esterna in mattoni (SIA 2032)</t>
  </si>
  <si>
    <t>Parete in calcestruzzo con intonaco interno, isolamento esterno intonacato (SIA 2032)</t>
  </si>
  <si>
    <t>Concrete wall with internal plaster, cladding fibre cement/stone (SIA 2032)</t>
  </si>
  <si>
    <t>Concrete wall with internal plaster, cladding metal/glass (SIA 2032)</t>
  </si>
  <si>
    <t>Concrete wall with internal plaster, plastered external insulation (SIA 2032)</t>
  </si>
  <si>
    <t>Wood construction, with inner plaster covering, cladding fibre cement/stone (SIA 2032)</t>
  </si>
  <si>
    <t>Wood construction, with inner plaster covering, cladding wood (SIA 2032)</t>
  </si>
  <si>
    <t>Wood construction, with inner plaster covering, cladding metal/glass (SIA 2032)</t>
  </si>
  <si>
    <t>Insulating single brick masonry, with internal and external plaster (SIA 2032)</t>
  </si>
  <si>
    <t>Maçonnerie isolante en briques avec enduit intérieur et extérieur (SIA 2032)</t>
  </si>
  <si>
    <t>Muratura monoblocco isolante, con intonaco interno e esterno (SIA 2032)</t>
  </si>
  <si>
    <t>Insulating single brick masonry, with internal plaster, plastered external insulation (SIA 2032)</t>
  </si>
  <si>
    <t>Grille de colonnes avec système de façade aluminium/verre (SIA 2032)</t>
  </si>
  <si>
    <t>Griglia a colonna con sistema di facciata alluminio/vetro (SIA 2032)</t>
  </si>
  <si>
    <t>Column grid with aluminum/glass facade system (SIA 2032)</t>
  </si>
  <si>
    <t>Betonwand mit Innenputz, äussere Backsteinverkleidung  (SIA 2032)</t>
  </si>
  <si>
    <t>Betonwand mit Innenputz, verputzte Aussenwärmedämmung (SIA 2032)</t>
  </si>
  <si>
    <t>Backsteinwand mit Innenputz, Zweischalenmauerwerk (SIA 2032)</t>
  </si>
  <si>
    <t>Backsteinwand mit Innenputz, hinterlüftete Bekleidung Faserzement/Naturstein (SIA 2032)</t>
  </si>
  <si>
    <t>Backsteinwand mit Innenputz, hinterlüftete Bekleidung Holz (SIA 2032)</t>
  </si>
  <si>
    <t>Backsteinwand mit Innenputz, hinterlüftete Bekleidung Metall/Glas (SIA 2032)</t>
  </si>
  <si>
    <t>Backsteinwand mit Innenputz, verputzte Aussenwärmedämmung (SIA 2032)</t>
  </si>
  <si>
    <t>Holzwand mit innerer Gipsbekleidung, hinterlüftete Bekleidung Faserzement/Naturstein (SIA 2032)</t>
  </si>
  <si>
    <t>Holzwand mit innerer Gipsbekleidung, hinterlüftete Bekleidung Holz (SIA 2032)</t>
  </si>
  <si>
    <t>Holzwand mit innerer Gipsbekleidung, hinterlüftete Bekleidung Metall/Glas (SIA 2032)</t>
  </si>
  <si>
    <t>Einsteinmauerwerk dämmend, mit Innenputz und Aussenputz (SIA 2032)</t>
  </si>
  <si>
    <t>Einsteinmauerwerk dämmend, mit Innenputz und verputzter Aussenwärmedämmung (SIA 2032)</t>
  </si>
  <si>
    <t>Stützenraster, Fassadensystem Alu/Glas (SIA 2032)</t>
  </si>
  <si>
    <t>Mur en briques avec enduit intérieur, double paroi (SIA 2032)</t>
  </si>
  <si>
    <t>Mur en briques avec enduit intérieur, isolation extérieure crépie (SIA 2032)</t>
  </si>
  <si>
    <t>Betonwand mit Innenputz, hinterlüftete Bekleidung Faserzement/Naturstein (SIA 2032)</t>
  </si>
  <si>
    <t>Betonwand mit Innenputz, hinterlüftete Bekleidung Metall/Glas (SIA 2032)</t>
  </si>
  <si>
    <t>Concrete wall with internal plaster, external brick cladding (SIA 2032)</t>
  </si>
  <si>
    <t>2.004</t>
  </si>
  <si>
    <t>Fehler in Bauteildaten korrigiert, Elemente E2 und F zu Wand und Dach zugeschlagen</t>
  </si>
  <si>
    <t>Parete in calcestruzzo con intonaco interno, rivest. in fibrocemento/pietra (SIA 2032)</t>
  </si>
  <si>
    <t>Parete in calcestruzzo con intonaco interno, rivest. in metallo/vetro (SIA 2032)</t>
  </si>
  <si>
    <t>Muro in mattoni con intonaco interno, rivest. in fibrocemento/pietra (SIA 2032)</t>
  </si>
  <si>
    <t>Muro in mattoni con intonaco interno, rivest. in legno (SIA 2032)</t>
  </si>
  <si>
    <t>Muro in mattoni con intonaco interno, rivest. in metallo/vetro (SIA 2032)</t>
  </si>
  <si>
    <t>Muro in mattoni con intonaco interno, isolamento esterno intonacato (SIA 2032)</t>
  </si>
  <si>
    <t>Mur en béton avec enduit intérieur, revêtement en fibrociment/pierre (SIA 2032)</t>
  </si>
  <si>
    <t>Mur en béton avec enduit intérieur, revêtement en métal/verre (SIA 2032)</t>
  </si>
  <si>
    <t>Mur en briques avec enduit intérieur, revêtement en fibrociment/pierre (SIA 2032)</t>
  </si>
  <si>
    <t>Mur en briques avec enduit intérieur, revêtementen bois (SIA 2032)</t>
  </si>
  <si>
    <t>Mur en briques avec enduit intérieur, revêtement en métal/verre (SIA 2032)</t>
  </si>
  <si>
    <t>Mur en bois, revêtement int. en plâtre, revêtement ext. en fibrociment/pierre (SIA 2032)</t>
  </si>
  <si>
    <t>Mur en bois, revêtement int. en plâtre, revêtement ext. en bois (SIA 2032)</t>
  </si>
  <si>
    <t>Mur en bois, revêtement int. en plâtre, revêtement ext. en métal/verre (SIA 2032)</t>
  </si>
  <si>
    <t>Maçonnerie isolante en briques avec enduit intérieur, isolation ext. crépie (SIA 2032)</t>
  </si>
  <si>
    <t>Muro in legno, rivest. interno in gesso, rivest. esterno in fibrocemento/pietra (SIA 2032)</t>
  </si>
  <si>
    <t>Muro in legno, rivest. interno in gesso, rivest. esterno in legno (SIA 2032)</t>
  </si>
  <si>
    <t>Muro in legno, rivest. interno in gesso, rivest. esterno in metallo/vetro (SIA 2032)</t>
  </si>
  <si>
    <t>Muratura monoblocco isolante, con intonaco int., isolamento est. intonacato  (SIA 2032)</t>
  </si>
  <si>
    <t>Cassette in lamiera con isol. aggiuntivo, rivest. in lamiera d'acciaio (BTK)</t>
  </si>
  <si>
    <t>Texte!$B$248</t>
  </si>
  <si>
    <t>Texte!$B$250</t>
  </si>
  <si>
    <t>Texte!$B$249</t>
  </si>
  <si>
    <t>Texte!$B$251</t>
  </si>
  <si>
    <t>Texte!$B$163</t>
  </si>
  <si>
    <t>Texte!$B$164</t>
  </si>
  <si>
    <t>Texte!$B$252</t>
  </si>
  <si>
    <t>Texte!$B$253</t>
  </si>
  <si>
    <t>Texte!$B$254</t>
  </si>
  <si>
    <t>Texte!$B$256</t>
  </si>
  <si>
    <t>Texte!$B$255</t>
  </si>
  <si>
    <t>Texte!$B$165</t>
  </si>
  <si>
    <t>Texte!$B$166</t>
  </si>
  <si>
    <t>Texte!$B$167</t>
  </si>
  <si>
    <t>Texte!$B$258</t>
  </si>
  <si>
    <t>Texte!$B$257</t>
  </si>
  <si>
    <t>Texte!$B$168</t>
  </si>
  <si>
    <t>Texte!$B$169</t>
  </si>
  <si>
    <t>Texte!$B$170</t>
  </si>
  <si>
    <t>Texte!$B$171</t>
  </si>
  <si>
    <t>Texte!$B$172</t>
  </si>
  <si>
    <t>Texte!$B$265</t>
  </si>
  <si>
    <t>Texte!$B$266</t>
  </si>
  <si>
    <t>Texte!$B$267</t>
  </si>
  <si>
    <t>Texte!$B$268</t>
  </si>
  <si>
    <t>Texte!$B$269</t>
  </si>
  <si>
    <t>Texte!$B$261</t>
  </si>
  <si>
    <t>Texte!$B$262</t>
  </si>
  <si>
    <t>Texte!$B$263</t>
  </si>
  <si>
    <t>Texte!$B$264</t>
  </si>
  <si>
    <t>Texte!$B$173</t>
  </si>
  <si>
    <t>Texte!$B$174</t>
  </si>
  <si>
    <t>Texte!$B$175</t>
  </si>
  <si>
    <t>Texte!$B$176</t>
  </si>
  <si>
    <t>Texte!$B$177</t>
  </si>
  <si>
    <t>Texte!$B$178</t>
  </si>
  <si>
    <t>Texte!$B$179</t>
  </si>
  <si>
    <t>Texte!$B$180</t>
  </si>
  <si>
    <t>Texte!$B$181</t>
  </si>
  <si>
    <t>Texte!$B$182</t>
  </si>
  <si>
    <t>Texte!$B$283</t>
  </si>
  <si>
    <t>Texte!$B$282</t>
  </si>
  <si>
    <t>Texte!$B$183</t>
  </si>
  <si>
    <t>Texte!$B$184</t>
  </si>
  <si>
    <t>Texte!$B$185</t>
  </si>
  <si>
    <t>Texte!$B$186</t>
  </si>
  <si>
    <t>Texte!$B$187</t>
  </si>
  <si>
    <t>Texte!$B$188</t>
  </si>
  <si>
    <t>Texte!$B$189</t>
  </si>
  <si>
    <t>Texte!$B$190</t>
  </si>
  <si>
    <t>Texte!$B$191</t>
  </si>
  <si>
    <t>Texte!$B$192</t>
  </si>
  <si>
    <t>Texte!$B$193</t>
  </si>
  <si>
    <t>Texte!$B$194</t>
  </si>
  <si>
    <t>Texte!$B$195</t>
  </si>
  <si>
    <t>Texte!$B$196</t>
  </si>
  <si>
    <t>Texte!$B$284</t>
  </si>
  <si>
    <t>Texte!$B$197</t>
  </si>
  <si>
    <t>Texte!$B$198</t>
  </si>
  <si>
    <t>Texte!$B$199</t>
  </si>
  <si>
    <t>Texte!$B$200</t>
  </si>
  <si>
    <t>Texte!$B$286</t>
  </si>
  <si>
    <t>Texte!$B$201</t>
  </si>
  <si>
    <t>Texte!$B$285</t>
  </si>
  <si>
    <t>Texte!$B$202</t>
  </si>
  <si>
    <t>Texte!$B$203</t>
  </si>
  <si>
    <t>Texte!$B$204</t>
  </si>
  <si>
    <t>Texte!$B$205</t>
  </si>
  <si>
    <t>Texte!$B$206</t>
  </si>
  <si>
    <t>Texte!$B$291</t>
  </si>
  <si>
    <t>Texte!$B$277</t>
  </si>
  <si>
    <t>Texte!$B$278</t>
  </si>
  <si>
    <t>Texte!$B$260</t>
  </si>
  <si>
    <t>Texte!$B$259</t>
  </si>
  <si>
    <t>Texte!$B$207</t>
  </si>
  <si>
    <t>Texte!$B$208</t>
  </si>
  <si>
    <t>Texte!$B$209</t>
  </si>
  <si>
    <t>Texte!$B$210</t>
  </si>
  <si>
    <t>Texte!$B$211</t>
  </si>
  <si>
    <t>Texte!$B$212</t>
  </si>
  <si>
    <t>Texte!$B$213</t>
  </si>
  <si>
    <t>Texte!$B$280</t>
  </si>
  <si>
    <t>Texte!$B$281</t>
  </si>
  <si>
    <t>Texte!$B$305</t>
  </si>
  <si>
    <t>Texte!$B$279</t>
  </si>
  <si>
    <t>Texte!$B$214</t>
  </si>
  <si>
    <t>Texte!$B$215</t>
  </si>
  <si>
    <t>Texte!$B$300</t>
  </si>
  <si>
    <t>Texte!$B$216</t>
  </si>
  <si>
    <t>Texte!$B$293</t>
  </si>
  <si>
    <t>Texte!$B$292</t>
  </si>
  <si>
    <t>Texte!$B$217</t>
  </si>
  <si>
    <t>Texte!$B$218</t>
  </si>
  <si>
    <t>Texte!$B$219</t>
  </si>
  <si>
    <t>Texte!$B$298</t>
  </si>
  <si>
    <t>Texte!$B$220</t>
  </si>
  <si>
    <t>Texte!$B$221</t>
  </si>
  <si>
    <t>Texte!$B$222</t>
  </si>
  <si>
    <t>Texte!$B$223</t>
  </si>
  <si>
    <t>Texte!$B$302</t>
  </si>
  <si>
    <t>Texte!$B$224</t>
  </si>
  <si>
    <t>Texte!$B$301</t>
  </si>
  <si>
    <t>Texte!$B$225</t>
  </si>
  <si>
    <t>Texte!$B$226</t>
  </si>
  <si>
    <t>Texte!$B$227</t>
  </si>
  <si>
    <t>Texte!$B$304</t>
  </si>
  <si>
    <t>Texte!$B$303</t>
  </si>
  <si>
    <t>Texte!$B$228</t>
  </si>
  <si>
    <t>Texte!$B$229</t>
  </si>
  <si>
    <t>Texte!$B$230</t>
  </si>
  <si>
    <t>Texte!$B$299</t>
  </si>
  <si>
    <t>Texte!$B$294</t>
  </si>
  <si>
    <t>Texte!$B$231</t>
  </si>
  <si>
    <t>Texte!$B$232</t>
  </si>
  <si>
    <t>Texte!$B$233</t>
  </si>
  <si>
    <t>Texte!$B$234</t>
  </si>
  <si>
    <t>Texte!$B$235</t>
  </si>
  <si>
    <t>Texte!$B$236</t>
  </si>
  <si>
    <t>Texte!$B$237</t>
  </si>
  <si>
    <t>Texte!$B$238</t>
  </si>
  <si>
    <t>Texte!$B$239</t>
  </si>
  <si>
    <t>Texte!$B$295</t>
  </si>
  <si>
    <t>Texte!$B$240</t>
  </si>
  <si>
    <t>Texte!$B$297</t>
  </si>
  <si>
    <t>Texte!$B$296</t>
  </si>
  <si>
    <t>Texte!$B$241</t>
  </si>
  <si>
    <t>Texte!$B$242</t>
  </si>
  <si>
    <t>Texte!$B$243</t>
  </si>
  <si>
    <t>Texte!$B$244</t>
  </si>
  <si>
    <t>Texte!$B$245</t>
  </si>
  <si>
    <t>Texte!$B$246</t>
  </si>
  <si>
    <t>Texte!$B$247</t>
  </si>
  <si>
    <t>Texte!$B$276</t>
  </si>
  <si>
    <t>Texte!$B$290</t>
  </si>
  <si>
    <t>Texte!$B$289</t>
  </si>
  <si>
    <t>Texte!$B$287</t>
  </si>
  <si>
    <t>Texte!$B$288</t>
  </si>
  <si>
    <t>Texte!$B$273</t>
  </si>
  <si>
    <t>Texte!$B$274</t>
  </si>
  <si>
    <t>Texte!$B$270</t>
  </si>
  <si>
    <t>Texte!$B$271</t>
  </si>
  <si>
    <t>Texte!$B$272</t>
  </si>
  <si>
    <t>Texte!$B$275</t>
  </si>
  <si>
    <t>B-1</t>
  </si>
  <si>
    <t>B-2</t>
  </si>
  <si>
    <t>B-3</t>
  </si>
  <si>
    <t>B-4</t>
  </si>
  <si>
    <t>B-5</t>
  </si>
  <si>
    <t>B-6</t>
  </si>
  <si>
    <t>B-7</t>
  </si>
  <si>
    <t>B-8</t>
  </si>
  <si>
    <t>B-9</t>
  </si>
  <si>
    <t>C1-1</t>
  </si>
  <si>
    <t>C1-2</t>
  </si>
  <si>
    <t>C1-3</t>
  </si>
  <si>
    <t>C1-4</t>
  </si>
  <si>
    <t>C1-5</t>
  </si>
  <si>
    <t>C211-1</t>
  </si>
  <si>
    <t>C211-2</t>
  </si>
  <si>
    <t>C211-3</t>
  </si>
  <si>
    <t>C211-4</t>
  </si>
  <si>
    <t>C211-5</t>
  </si>
  <si>
    <t>C212-1</t>
  </si>
  <si>
    <t>C212-2</t>
  </si>
  <si>
    <t>C212-3</t>
  </si>
  <si>
    <t>C212-4</t>
  </si>
  <si>
    <t>C212-5</t>
  </si>
  <si>
    <t>C212-6</t>
  </si>
  <si>
    <t>C212-7</t>
  </si>
  <si>
    <t>C212-8</t>
  </si>
  <si>
    <t>C212-9</t>
  </si>
  <si>
    <t>C212-10</t>
  </si>
  <si>
    <t>C212-11</t>
  </si>
  <si>
    <t>C212-12</t>
  </si>
  <si>
    <t>C212-13</t>
  </si>
  <si>
    <t>C212-14</t>
  </si>
  <si>
    <t>C212-15</t>
  </si>
  <si>
    <t>C212-16</t>
  </si>
  <si>
    <t>C212-17</t>
  </si>
  <si>
    <t>C212-18</t>
  </si>
  <si>
    <t>C212-19</t>
  </si>
  <si>
    <t>C212-20</t>
  </si>
  <si>
    <t>C212-21</t>
  </si>
  <si>
    <t>C212-22</t>
  </si>
  <si>
    <t>C212-23</t>
  </si>
  <si>
    <t>C212-24</t>
  </si>
  <si>
    <t>C22-1</t>
  </si>
  <si>
    <t>C22-2</t>
  </si>
  <si>
    <t>C22-3</t>
  </si>
  <si>
    <t>C22-4</t>
  </si>
  <si>
    <t>C22-5</t>
  </si>
  <si>
    <t>C22-6</t>
  </si>
  <si>
    <t>C22-7</t>
  </si>
  <si>
    <t>C22-8</t>
  </si>
  <si>
    <t>C22-9</t>
  </si>
  <si>
    <t>C22-10</t>
  </si>
  <si>
    <t>C22-11</t>
  </si>
  <si>
    <t>C41-1</t>
  </si>
  <si>
    <t>C41-2</t>
  </si>
  <si>
    <t>C41-3</t>
  </si>
  <si>
    <t>C41-4</t>
  </si>
  <si>
    <t>C41-5</t>
  </si>
  <si>
    <t>C41-6</t>
  </si>
  <si>
    <t>C41-7</t>
  </si>
  <si>
    <t>C41-8</t>
  </si>
  <si>
    <t>C41-9</t>
  </si>
  <si>
    <t>C41-10</t>
  </si>
  <si>
    <t>C41-11</t>
  </si>
  <si>
    <t>C41-12</t>
  </si>
  <si>
    <t>C41-13</t>
  </si>
  <si>
    <t>C41-14</t>
  </si>
  <si>
    <t>C41-15</t>
  </si>
  <si>
    <t>C41-16</t>
  </si>
  <si>
    <t>C41-17</t>
  </si>
  <si>
    <t>C41-18</t>
  </si>
  <si>
    <t>C41-19</t>
  </si>
  <si>
    <t>C41-20</t>
  </si>
  <si>
    <t>C41-21</t>
  </si>
  <si>
    <t>C43-1</t>
  </si>
  <si>
    <t>C44-1</t>
  </si>
  <si>
    <t>C44-2</t>
  </si>
  <si>
    <t>C44-3</t>
  </si>
  <si>
    <t>C44-4</t>
  </si>
  <si>
    <t>C44-5</t>
  </si>
  <si>
    <t>C44-6</t>
  </si>
  <si>
    <t>C44-7</t>
  </si>
  <si>
    <t>C44-8</t>
  </si>
  <si>
    <t>C44-9</t>
  </si>
  <si>
    <t>C44-10</t>
  </si>
  <si>
    <t>C44-11</t>
  </si>
  <si>
    <t>C44-12</t>
  </si>
  <si>
    <t>C44-13</t>
  </si>
  <si>
    <t>C44-14</t>
  </si>
  <si>
    <t>C44-15</t>
  </si>
  <si>
    <t>C44-16</t>
  </si>
  <si>
    <t>C44-17</t>
  </si>
  <si>
    <t>D-1</t>
  </si>
  <si>
    <t>D-2</t>
  </si>
  <si>
    <t>D-3</t>
  </si>
  <si>
    <t>D-4</t>
  </si>
  <si>
    <t>D-5</t>
  </si>
  <si>
    <t>D-6</t>
  </si>
  <si>
    <t>D-7</t>
  </si>
  <si>
    <t>D-8</t>
  </si>
  <si>
    <t>D-9</t>
  </si>
  <si>
    <t>D-10</t>
  </si>
  <si>
    <t>D-11</t>
  </si>
  <si>
    <t>D-12</t>
  </si>
  <si>
    <t>D-13</t>
  </si>
  <si>
    <t>D-14</t>
  </si>
  <si>
    <t>D-15</t>
  </si>
  <si>
    <t>D-16</t>
  </si>
  <si>
    <t>D-17</t>
  </si>
  <si>
    <t>D-18</t>
  </si>
  <si>
    <t>D-19</t>
  </si>
  <si>
    <t>D-20</t>
  </si>
  <si>
    <t>D-21</t>
  </si>
  <si>
    <t>D-22</t>
  </si>
  <si>
    <t>D-23</t>
  </si>
  <si>
    <t>D-24</t>
  </si>
  <si>
    <t>D-25</t>
  </si>
  <si>
    <t>D-26</t>
  </si>
  <si>
    <t>D-27</t>
  </si>
  <si>
    <t>D-28</t>
  </si>
  <si>
    <t>D-29</t>
  </si>
  <si>
    <t>D-30</t>
  </si>
  <si>
    <t>D-31</t>
  </si>
  <si>
    <t>D-32</t>
  </si>
  <si>
    <t>D-33</t>
  </si>
  <si>
    <t>D-34</t>
  </si>
  <si>
    <t>D-35</t>
  </si>
  <si>
    <t>D-36</t>
  </si>
  <si>
    <t>D-37</t>
  </si>
  <si>
    <t>D-38</t>
  </si>
  <si>
    <t>D-39</t>
  </si>
  <si>
    <t>D-40</t>
  </si>
  <si>
    <t>E3-1</t>
  </si>
  <si>
    <t>E3-2</t>
  </si>
  <si>
    <t>E3-3</t>
  </si>
  <si>
    <t>E3-4</t>
  </si>
  <si>
    <t>E3-5</t>
  </si>
  <si>
    <t>E3-6</t>
  </si>
  <si>
    <t>G-1</t>
  </si>
  <si>
    <t>G-2</t>
  </si>
  <si>
    <t>G-3</t>
  </si>
  <si>
    <t>G-4</t>
  </si>
  <si>
    <t>Texte!W312</t>
  </si>
  <si>
    <t>Texte!W310</t>
  </si>
  <si>
    <t>Texte!W311</t>
  </si>
  <si>
    <t>Texte!W309</t>
  </si>
  <si>
    <t>$B$30</t>
  </si>
  <si>
    <t>$B$31</t>
  </si>
  <si>
    <t>$B$32</t>
  </si>
  <si>
    <t>$B$33</t>
  </si>
  <si>
    <t>$B$34</t>
  </si>
  <si>
    <t>$B$35</t>
  </si>
  <si>
    <t>$B$36</t>
  </si>
  <si>
    <t>$B$37</t>
  </si>
  <si>
    <t>$B$38</t>
  </si>
  <si>
    <t>$B$39</t>
  </si>
  <si>
    <t>$B$40</t>
  </si>
  <si>
    <t>$B$41</t>
  </si>
  <si>
    <t>$B$42</t>
  </si>
  <si>
    <t>$B$43</t>
  </si>
  <si>
    <t>$B$44</t>
  </si>
  <si>
    <t>Texte!W180</t>
  </si>
  <si>
    <t>Texte!W181</t>
  </si>
  <si>
    <t>Texte!W182</t>
  </si>
  <si>
    <t>Texte!W183</t>
  </si>
  <si>
    <t>Texte!W184</t>
  </si>
  <si>
    <t>Texte!W185</t>
  </si>
  <si>
    <t>Texte!W186</t>
  </si>
  <si>
    <t>Texte!W187</t>
  </si>
  <si>
    <t>Texte!W188</t>
  </si>
  <si>
    <t>Texte!W313</t>
  </si>
  <si>
    <t>Texte!W189</t>
  </si>
  <si>
    <t>Texte!W190</t>
  </si>
  <si>
    <t>Texte!W191</t>
  </si>
  <si>
    <t>Texte!W192</t>
  </si>
  <si>
    <t>Texte!W193</t>
  </si>
  <si>
    <t>Texte!W194</t>
  </si>
  <si>
    <t>Texte!W195</t>
  </si>
  <si>
    <t>Texte!W196</t>
  </si>
  <si>
    <t>Texte!W197</t>
  </si>
  <si>
    <t>Texte!W198</t>
  </si>
  <si>
    <t>Texte!W199</t>
  </si>
  <si>
    <t>Texte!W200</t>
  </si>
  <si>
    <t>Texte!W201</t>
  </si>
  <si>
    <t>Texte!W202</t>
  </si>
  <si>
    <t>Texte!W317</t>
  </si>
  <si>
    <t>Texte!W314</t>
  </si>
  <si>
    <t>Texte!W316</t>
  </si>
  <si>
    <t>Texte!W315</t>
  </si>
  <si>
    <t>Texte!W203</t>
  </si>
  <si>
    <t>Texte!W204</t>
  </si>
  <si>
    <t>Texte!W205</t>
  </si>
  <si>
    <t>Texte!W206</t>
  </si>
  <si>
    <t>Texte!W321</t>
  </si>
  <si>
    <t>Texte!W318</t>
  </si>
  <si>
    <t>Texte!W320</t>
  </si>
  <si>
    <t>Texte!W322</t>
  </si>
  <si>
    <t>Texte!W319</t>
  </si>
  <si>
    <t>W85</t>
  </si>
  <si>
    <t>W86</t>
  </si>
  <si>
    <t>W96</t>
  </si>
  <si>
    <t>W97</t>
  </si>
  <si>
    <t>W98</t>
  </si>
  <si>
    <t>W99</t>
  </si>
  <si>
    <t>Texte!W216</t>
  </si>
  <si>
    <t>Texte!W217</t>
  </si>
  <si>
    <t>Texte!W218</t>
  </si>
  <si>
    <t>Texte!W219</t>
  </si>
  <si>
    <t>Texte!W220</t>
  </si>
  <si>
    <t>Texte!W221</t>
  </si>
  <si>
    <t>Texte!W222</t>
  </si>
  <si>
    <t>Texte!W223</t>
  </si>
  <si>
    <t>Texte!W224</t>
  </si>
  <si>
    <t>Texte!W225</t>
  </si>
  <si>
    <t>Texte!W226</t>
  </si>
  <si>
    <t>Texte!W227</t>
  </si>
  <si>
    <t>Texte!W228</t>
  </si>
  <si>
    <t>Texte!W229</t>
  </si>
  <si>
    <t>Texte!W230</t>
  </si>
  <si>
    <t>Texte!W231</t>
  </si>
  <si>
    <t>Texte!W232</t>
  </si>
  <si>
    <t>Texte!W233</t>
  </si>
  <si>
    <t>Texte!W234</t>
  </si>
  <si>
    <t>Texte!W235</t>
  </si>
  <si>
    <t>Texte!W236</t>
  </si>
  <si>
    <t>Texte!W237</t>
  </si>
  <si>
    <t>Texte!W238</t>
  </si>
  <si>
    <t>Texte!W239</t>
  </si>
  <si>
    <t>Texte!W240</t>
  </si>
  <si>
    <t>Texte!W241</t>
  </si>
  <si>
    <t>Texte!W242</t>
  </si>
  <si>
    <t>Texte!W243</t>
  </si>
  <si>
    <t>Texte!W244</t>
  </si>
  <si>
    <t>Texte!W245</t>
  </si>
  <si>
    <t>Texte!W246</t>
  </si>
  <si>
    <t>Texte!W247</t>
  </si>
  <si>
    <t>Texte!$B$308</t>
  </si>
  <si>
    <t>Texte!W283</t>
  </si>
  <si>
    <t>Texte!W282</t>
  </si>
  <si>
    <t>Texte!W284</t>
  </si>
  <si>
    <t>Texte!W286</t>
  </si>
  <si>
    <t>Texte!W285</t>
  </si>
  <si>
    <t>Texte!W291</t>
  </si>
  <si>
    <t>W87</t>
  </si>
  <si>
    <t>W88</t>
  </si>
  <si>
    <t>Texte!W300</t>
  </si>
  <si>
    <t>Texte!W293</t>
  </si>
  <si>
    <t>Texte!W292</t>
  </si>
  <si>
    <t>Texte!W298</t>
  </si>
  <si>
    <t>Texte!W302</t>
  </si>
  <si>
    <t>Texte!W301</t>
  </si>
  <si>
    <t>Texte!W304</t>
  </si>
  <si>
    <t>Texte!W303</t>
  </si>
  <si>
    <t>Texte!W299</t>
  </si>
  <si>
    <t>Texte!W294</t>
  </si>
  <si>
    <t>Texte!W295</t>
  </si>
  <si>
    <t>Texte!W297</t>
  </si>
  <si>
    <t>Texte!W296</t>
  </si>
  <si>
    <t>Texte!W276</t>
  </si>
  <si>
    <t>Texte!W290</t>
  </si>
  <si>
    <t>Texte!W289</t>
  </si>
  <si>
    <t>Texte!W287</t>
  </si>
  <si>
    <t>Texte!W288</t>
  </si>
  <si>
    <t/>
  </si>
  <si>
    <t>C41-22</t>
  </si>
  <si>
    <t>C41-23</t>
  </si>
  <si>
    <t>C41-24</t>
  </si>
  <si>
    <t>C41-25</t>
  </si>
  <si>
    <t>C41-26</t>
  </si>
  <si>
    <t>Bauteilbezeichnungen</t>
  </si>
  <si>
    <t>Bauteil-Code</t>
  </si>
  <si>
    <t>MJ/m2</t>
  </si>
  <si>
    <t>MJ/m2 EBF</t>
  </si>
  <si>
    <t>kg CO2/m2</t>
  </si>
  <si>
    <t>kg CO2/m2 EBF</t>
  </si>
  <si>
    <t>K5:K5</t>
  </si>
  <si>
    <t>K6:K6</t>
  </si>
  <si>
    <t>K7:K7</t>
  </si>
  <si>
    <t>K8:K8</t>
  </si>
  <si>
    <t>K10:K10</t>
  </si>
  <si>
    <t>K11:K11</t>
  </si>
  <si>
    <t>K12:K12</t>
  </si>
  <si>
    <t>K13:K13</t>
  </si>
  <si>
    <t>Version 2.02</t>
  </si>
  <si>
    <t>CmpltCheckN</t>
  </si>
  <si>
    <t>CmpltCheckR</t>
  </si>
  <si>
    <t>2.02</t>
  </si>
  <si>
    <t>Grenzwerte THGE aktualisiert (V 2021), Vollständigkeitcheck ergänzt</t>
  </si>
  <si>
    <t>Gruppe</t>
  </si>
  <si>
    <t>Baugrube</t>
  </si>
  <si>
    <t>Tech_LU</t>
  </si>
  <si>
    <t>Tech_EL</t>
  </si>
  <si>
    <t>Tech_SA</t>
  </si>
  <si>
    <t>Tech_SO</t>
  </si>
  <si>
    <t>Tech_KO</t>
  </si>
  <si>
    <t>Tech_PV</t>
  </si>
  <si>
    <t>Tech_WV</t>
  </si>
  <si>
    <t>Tech_WA</t>
  </si>
  <si>
    <t>Tech_WE</t>
  </si>
  <si>
    <t>Bauteilgruppen</t>
  </si>
  <si>
    <t>Vollständig?</t>
  </si>
  <si>
    <t>Elementcode</t>
  </si>
  <si>
    <t>Text</t>
  </si>
  <si>
    <t>Elektro</t>
  </si>
  <si>
    <t>Therm. Kollektoren</t>
  </si>
  <si>
    <t>Sanitär</t>
  </si>
  <si>
    <t>Photovoltaik</t>
  </si>
  <si>
    <t>Bauteile</t>
  </si>
  <si>
    <t>A49</t>
  </si>
  <si>
    <t>Bauteilgruppe</t>
  </si>
  <si>
    <t>Ventilation</t>
  </si>
  <si>
    <t>Technik ist vollständig erfasst.</t>
  </si>
  <si>
    <t>CmpltText</t>
  </si>
  <si>
    <t xml:space="preserve">Es fehlen die Technik-Elemente </t>
  </si>
  <si>
    <t>Bauteile sind vollständig erfasst.</t>
  </si>
  <si>
    <t xml:space="preserve">Es fehlen die Elementgruppen </t>
  </si>
  <si>
    <t>Sondes géoth.</t>
  </si>
  <si>
    <t>Sonde geot.</t>
  </si>
  <si>
    <t>Erdsonden</t>
  </si>
  <si>
    <t>Ground probes</t>
  </si>
  <si>
    <t>Coll. Solaires</t>
  </si>
  <si>
    <t>Coll. Solare</t>
  </si>
  <si>
    <t>solar collectors</t>
  </si>
  <si>
    <t>Inst. Sanitaires</t>
  </si>
  <si>
    <t>Imp. Sanitari</t>
  </si>
  <si>
    <t>Inst. électrique</t>
  </si>
  <si>
    <t>Imp. elettrico</t>
  </si>
  <si>
    <t>Emiss. Calore</t>
  </si>
  <si>
    <t>Heat emission</t>
  </si>
  <si>
    <t>Gen. Termico</t>
  </si>
  <si>
    <t>Distr. Calore</t>
  </si>
  <si>
    <t>Heat distribution</t>
  </si>
  <si>
    <t>Inst. Photovoltaïque</t>
  </si>
  <si>
    <t>Imp. Fotovoltaico</t>
  </si>
  <si>
    <t>Solar power panels</t>
  </si>
  <si>
    <t>Inst. ventilation</t>
  </si>
  <si>
    <t>Imp. ventilazione</t>
  </si>
  <si>
    <t>Prod. chaleur</t>
  </si>
  <si>
    <t>Distr. chaleur</t>
  </si>
  <si>
    <t>Diff. chaleur</t>
  </si>
  <si>
    <t>I componenti sono completamente registrati.</t>
  </si>
  <si>
    <t xml:space="preserve">Mancano i gruppi di elementi </t>
  </si>
  <si>
    <t>La tecnica è completamente registrata.</t>
  </si>
  <si>
    <t>Mancano gli elementi tecnici</t>
  </si>
  <si>
    <t>Les composants sont entièrement enregistrés.</t>
  </si>
  <si>
    <t>La technique est entièrement enregistrée.</t>
  </si>
  <si>
    <t xml:space="preserve">Ces groupes d'éléments sont manquants: </t>
  </si>
  <si>
    <t>Components are completely entered.</t>
  </si>
  <si>
    <t xml:space="preserve">These element groups are missing: </t>
  </si>
  <si>
    <t>Building Services are completely entered.</t>
  </si>
  <si>
    <t xml:space="preserve">These building service elements are missing: </t>
  </si>
  <si>
    <t>Select a component from the list. 
Warning: if the field is yellow, you must reselect the component.</t>
  </si>
  <si>
    <t xml:space="preserve">Ces éléments techniques sont manquants: </t>
  </si>
  <si>
    <t>SNBS 2.1 Hochbau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</si>
</sst>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3" formatCode="_ * #,##0.00_ ;_ * \-#,##0.00_ ;_ * &quot;-&quot;??_ ;_ @_ "/>
    <numFmt numFmtId="164" formatCode="0.0"/>
    <numFmt numFmtId="165" formatCode="#,##0.0"/>
    <numFmt numFmtId="166" formatCode="0\ &quot;MJ/m²a&quot;"/>
    <numFmt numFmtId="167" formatCode="0\ &quot;MWh/a&quot;"/>
    <numFmt numFmtId="168" formatCode="dd/mm/yyyy;@"/>
    <numFmt numFmtId="169" formatCode="0.000"/>
    <numFmt numFmtId="170" formatCode="00.000"/>
    <numFmt numFmtId="171" formatCode="_(* #,##0_);_(* \(#,##0\);_(* &quot;-&quot;_);_(@_)"/>
    <numFmt numFmtId="172" formatCode="_(* #,##0.00_);_(* \(#,##0.00\);_(* &quot;-&quot;??_);_(@_)"/>
    <numFmt numFmtId="173" formatCode="_(&quot;$&quot;* #,##0_);_(&quot;$&quot;* \(#,##0\);_(&quot;$&quot;* &quot;-&quot;_);_(@_)"/>
    <numFmt numFmtId="174" formatCode="_(&quot;$&quot;* #,##0.00_);_(&quot;$&quot;* \(#,##0.00\);_(&quot;$&quot;* &quot;-&quot;??_);_(@_)"/>
    <numFmt numFmtId="175" formatCode="#,##0.0&quot; dt&quot;;[Red]#,##0.0&quot; dt&quot;"/>
    <numFmt numFmtId="176" formatCode="0.00E+0;[=0]&quot;-&quot;;0.00E+0"/>
    <numFmt numFmtId="177" formatCode="_ [$€-2]\ * #,##0.00_ ;_ [$€-2]\ * \-#,##0.00_ ;_ [$€-2]\ * &quot;-&quot;??_ "/>
    <numFmt numFmtId="178" formatCode="&quot;$&quot;#,##0"/>
    <numFmt numFmtId="179" formatCode="#,##0&quot; kg&quot;;[Red]#,##0&quot; kg&quot;"/>
    <numFmt numFmtId="180" formatCode="#,##0&quot; Liter&quot;;[Red]#,##0&quot; Liter&quot;"/>
    <numFmt numFmtId="181" formatCode="#,##0&quot; m2&quot;;[Red]#,##0&quot; m2&quot;"/>
    <numFmt numFmtId="182" formatCode="#,##0&quot; m2a&quot;;[Red]#,##0&quot; m2a&quot;"/>
    <numFmt numFmtId="183" formatCode="#,##0.0&quot; m3&quot;;[Red]#,##0.0&quot; m3&quot;"/>
    <numFmt numFmtId="184" formatCode="0.00E+0;[=0]&quot;0&quot;;General"/>
    <numFmt numFmtId="185" formatCode="0.00%;[=0]&quot;0&quot;;General"/>
    <numFmt numFmtId="186" formatCode="0.0%;[=0]&quot;0%&quot;;0.0%"/>
    <numFmt numFmtId="187" formatCode="0.0%"/>
    <numFmt numFmtId="188" formatCode="[=0]&quot;&quot;;General"/>
    <numFmt numFmtId="189" formatCode="0.0E+0;[=0]&quot;-&quot;;0.0E+0"/>
    <numFmt numFmtId="190" formatCode="#,##0.0&quot; ZKh&quot;;[Red]#,##0.0&quot; ZKh&quot;"/>
  </numFmts>
  <fonts count="73">
    <font>
      <sz val="12"/>
      <name val="Arial"/>
    </font>
    <font>
      <sz val="11"/>
      <color theme="1"/>
      <name val="Calibri"/>
      <family val="2"/>
      <scheme val="minor"/>
    </font>
    <font>
      <sz val="11"/>
      <color theme="1"/>
      <name val="Calibri"/>
      <family val="2"/>
      <scheme val="minor"/>
    </font>
    <font>
      <sz val="12"/>
      <name val="Arial"/>
      <family val="2"/>
    </font>
    <font>
      <b/>
      <sz val="14"/>
      <name val="Arial"/>
      <family val="2"/>
    </font>
    <font>
      <sz val="14"/>
      <name val="Arial"/>
      <family val="2"/>
    </font>
    <font>
      <sz val="12"/>
      <name val="Arial"/>
      <family val="2"/>
    </font>
    <font>
      <b/>
      <sz val="12"/>
      <name val="Arial"/>
      <family val="2"/>
    </font>
    <font>
      <sz val="10"/>
      <name val="Arial"/>
      <family val="2"/>
    </font>
    <font>
      <b/>
      <sz val="10"/>
      <name val="Arial"/>
      <family val="2"/>
    </font>
    <font>
      <sz val="10"/>
      <name val="Arial"/>
      <family val="2"/>
    </font>
    <font>
      <b/>
      <sz val="10"/>
      <color indexed="9"/>
      <name val="Arial"/>
      <family val="2"/>
    </font>
    <font>
      <b/>
      <sz val="20"/>
      <name val="Arial"/>
      <family val="2"/>
    </font>
    <font>
      <sz val="9"/>
      <name val="Arial"/>
      <family val="2"/>
    </font>
    <font>
      <sz val="10"/>
      <name val="Arial Narrow"/>
      <family val="2"/>
    </font>
    <font>
      <sz val="8"/>
      <name val="Arial"/>
      <family val="2"/>
    </font>
    <font>
      <b/>
      <sz val="9"/>
      <name val="Arial"/>
      <family val="2"/>
    </font>
    <font>
      <vertAlign val="superscript"/>
      <sz val="10"/>
      <name val="Arial"/>
      <family val="2"/>
    </font>
    <font>
      <sz val="10"/>
      <color indexed="10"/>
      <name val="Arial"/>
      <family val="2"/>
    </font>
    <font>
      <vertAlign val="superscript"/>
      <sz val="10"/>
      <color indexed="9"/>
      <name val="Arial"/>
      <family val="2"/>
    </font>
    <font>
      <sz val="18"/>
      <name val="Arial"/>
      <family val="2"/>
    </font>
    <font>
      <sz val="9"/>
      <color indexed="81"/>
      <name val="Tahoma"/>
      <family val="2"/>
    </font>
    <font>
      <b/>
      <sz val="9"/>
      <color indexed="81"/>
      <name val="Tahoma"/>
      <family val="2"/>
    </font>
    <font>
      <sz val="10"/>
      <color theme="1"/>
      <name val="Arial"/>
      <family val="2"/>
    </font>
    <font>
      <sz val="10"/>
      <color theme="0"/>
      <name val="Arial"/>
      <family val="2"/>
    </font>
    <font>
      <sz val="11"/>
      <color rgb="FF000000"/>
      <name val="Calibri"/>
      <family val="2"/>
    </font>
    <font>
      <b/>
      <sz val="10"/>
      <color theme="0"/>
      <name val="Arial"/>
      <family val="2"/>
    </font>
    <font>
      <b/>
      <sz val="14"/>
      <color theme="0"/>
      <name val="Arial"/>
      <family val="2"/>
    </font>
    <font>
      <sz val="12"/>
      <color theme="0"/>
      <name val="Arial"/>
      <family val="2"/>
    </font>
    <font>
      <b/>
      <sz val="12"/>
      <color theme="0"/>
      <name val="Arial"/>
      <family val="2"/>
    </font>
    <font>
      <sz val="14"/>
      <color theme="0"/>
      <name val="Arial"/>
      <family val="2"/>
    </font>
    <font>
      <sz val="10"/>
      <color theme="5"/>
      <name val="Arial"/>
      <family val="2"/>
    </font>
    <font>
      <sz val="10"/>
      <color theme="0" tint="-0.499984740745262"/>
      <name val="Arial"/>
      <family val="2"/>
    </font>
    <font>
      <sz val="9"/>
      <color rgb="FF000000"/>
      <name val="Arial"/>
      <family val="2"/>
    </font>
    <font>
      <u/>
      <sz val="10"/>
      <name val="Arial"/>
      <family val="2"/>
    </font>
    <font>
      <vertAlign val="subscript"/>
      <sz val="10"/>
      <color theme="0"/>
      <name val="Arial"/>
      <family val="2"/>
    </font>
    <font>
      <b/>
      <sz val="10"/>
      <name val="DIN-Regular"/>
      <family val="2"/>
    </font>
    <font>
      <b/>
      <vertAlign val="subscript"/>
      <sz val="10"/>
      <name val="DIN-Regular"/>
      <family val="2"/>
    </font>
    <font>
      <b/>
      <vertAlign val="superscript"/>
      <sz val="10"/>
      <name val="DIN-Regular"/>
      <family val="2"/>
    </font>
    <font>
      <sz val="10"/>
      <color theme="0" tint="-0.34998626667073579"/>
      <name val="Arial"/>
      <family val="2"/>
    </font>
    <font>
      <sz val="12"/>
      <color theme="0" tint="-0.499984740745262"/>
      <name val="Arial"/>
      <family val="2"/>
    </font>
    <font>
      <sz val="10"/>
      <color rgb="FFC00000"/>
      <name val="Arial"/>
      <family val="2"/>
    </font>
    <font>
      <b/>
      <sz val="10"/>
      <color rgb="FFC00000"/>
      <name val="Arial"/>
      <family val="2"/>
    </font>
    <font>
      <sz val="12"/>
      <color theme="5"/>
      <name val="Arial"/>
      <family val="2"/>
    </font>
    <font>
      <sz val="12"/>
      <color rgb="FFFFFF99"/>
      <name val="Arial"/>
      <family val="2"/>
    </font>
    <font>
      <sz val="9"/>
      <name val="DIN-Regular"/>
      <family val="2"/>
    </font>
    <font>
      <sz val="9"/>
      <color rgb="FF898989"/>
      <name val="DIN-Bold"/>
      <family val="2"/>
    </font>
    <font>
      <sz val="8"/>
      <color rgb="FF898989"/>
      <name val="DIN-Bold"/>
      <family val="2"/>
    </font>
    <font>
      <sz val="9"/>
      <name val="DIN-Bold"/>
      <family val="2"/>
    </font>
    <font>
      <sz val="12"/>
      <color theme="5" tint="-0.249977111117893"/>
      <name val="Arial"/>
      <family val="2"/>
    </font>
    <font>
      <u/>
      <sz val="12"/>
      <color theme="10"/>
      <name val="Arial"/>
      <family val="2"/>
    </font>
    <font>
      <sz val="10"/>
      <name val="Arial Unicode MS"/>
      <family val="2"/>
    </font>
    <font>
      <sz val="12"/>
      <color theme="1"/>
      <name val="Calibri"/>
      <family val="2"/>
      <scheme val="minor"/>
    </font>
    <font>
      <sz val="9"/>
      <name val="Times New Roman"/>
      <family val="1"/>
    </font>
    <font>
      <sz val="9"/>
      <name val="Helvetica"/>
      <family val="2"/>
    </font>
    <font>
      <sz val="8"/>
      <name val="Verdana"/>
      <family val="2"/>
    </font>
    <font>
      <b/>
      <sz val="9"/>
      <name val="Times New Roman"/>
      <family val="1"/>
    </font>
    <font>
      <sz val="10"/>
      <color indexed="8"/>
      <name val="MS Sans Serif"/>
      <family val="2"/>
    </font>
    <font>
      <sz val="7"/>
      <name val="Helvetica"/>
      <family val="2"/>
    </font>
    <font>
      <sz val="9"/>
      <name val="Helv"/>
    </font>
    <font>
      <sz val="11"/>
      <color rgb="FF3F3F76"/>
      <name val="Arial"/>
      <family val="2"/>
    </font>
    <font>
      <b/>
      <sz val="8"/>
      <color indexed="9"/>
      <name val="Tahoma"/>
      <family val="2"/>
    </font>
    <font>
      <b/>
      <sz val="8"/>
      <color indexed="8"/>
      <name val="Tahoma"/>
      <family val="2"/>
    </font>
    <font>
      <b/>
      <sz val="12"/>
      <name val="Times New Roman"/>
      <family val="1"/>
    </font>
    <font>
      <sz val="10"/>
      <name val="Helv"/>
    </font>
    <font>
      <sz val="10"/>
      <name val="Geneva"/>
      <family val="2"/>
    </font>
    <font>
      <sz val="10"/>
      <color indexed="8"/>
      <name val="Arial"/>
      <family val="2"/>
    </font>
    <font>
      <sz val="10"/>
      <name val="Trebuchet MS"/>
      <family val="2"/>
    </font>
    <font>
      <b/>
      <sz val="16"/>
      <color indexed="9"/>
      <name val="Tahoma"/>
      <family val="2"/>
    </font>
    <font>
      <sz val="8"/>
      <name val="Helvetica"/>
      <family val="2"/>
    </font>
    <font>
      <u/>
      <sz val="9"/>
      <name val="Arial"/>
      <family val="2"/>
    </font>
    <font>
      <sz val="10"/>
      <color theme="6" tint="-0.249977111117893"/>
      <name val="Arial"/>
      <family val="2"/>
    </font>
    <font>
      <sz val="9"/>
      <color theme="6" tint="-0.249977111117893"/>
      <name val="Arial"/>
      <family val="2"/>
    </font>
  </fonts>
  <fills count="2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5"/>
        <bgColor indexed="64"/>
      </patternFill>
    </fill>
    <fill>
      <patternFill patternType="solid">
        <fgColor theme="0"/>
        <bgColor indexed="64"/>
      </patternFill>
    </fill>
    <fill>
      <patternFill patternType="solid">
        <fgColor rgb="FFEAEAEA"/>
        <bgColor indexed="64"/>
      </patternFill>
    </fill>
    <fill>
      <patternFill patternType="solid">
        <fgColor rgb="FFD7E5E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BDE90"/>
        <bgColor indexed="64"/>
      </patternFill>
    </fill>
    <fill>
      <patternFill patternType="solid">
        <fgColor rgb="FFC0504D"/>
        <bgColor indexed="64"/>
      </patternFill>
    </fill>
    <fill>
      <patternFill patternType="solid">
        <fgColor rgb="FFFFFFFF"/>
        <bgColor indexed="64"/>
      </patternFill>
    </fill>
    <fill>
      <patternFill patternType="solid">
        <fgColor rgb="FFFFCC99"/>
      </patternFill>
    </fill>
    <fill>
      <patternFill patternType="solid">
        <fgColor indexed="23"/>
        <bgColor indexed="64"/>
      </patternFill>
    </fill>
    <fill>
      <patternFill patternType="solid">
        <fgColor indexed="42"/>
        <bgColor indexed="64"/>
      </patternFill>
    </fill>
    <fill>
      <patternFill patternType="solid">
        <fgColor indexed="47"/>
        <bgColor indexed="64"/>
      </patternFill>
    </fill>
    <fill>
      <patternFill patternType="solid">
        <fgColor indexed="55"/>
        <bgColor indexed="64"/>
      </patternFill>
    </fill>
    <fill>
      <patternFill patternType="solid">
        <fgColor indexed="45"/>
        <bgColor indexed="64"/>
      </patternFill>
    </fill>
    <fill>
      <patternFill patternType="solid">
        <fgColor indexed="43"/>
        <bgColor indexed="64"/>
      </patternFill>
    </fill>
    <fill>
      <patternFill patternType="solid">
        <fgColor indexed="8"/>
        <bgColor indexed="64"/>
      </patternFill>
    </fill>
    <fill>
      <patternFill patternType="solid">
        <fgColor indexed="41"/>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5" tint="0.59999389629810485"/>
        <bgColor indexed="64"/>
      </patternFill>
    </fill>
  </fills>
  <borders count="214">
    <border>
      <left/>
      <right/>
      <top/>
      <bottom/>
      <diagonal/>
    </border>
    <border>
      <left/>
      <right/>
      <top/>
      <bottom style="thin">
        <color indexed="64"/>
      </bottom>
      <diagonal/>
    </border>
    <border>
      <left style="hair">
        <color theme="0"/>
      </left>
      <right style="hair">
        <color theme="0"/>
      </right>
      <top style="hair">
        <color theme="0"/>
      </top>
      <bottom style="thick">
        <color theme="0"/>
      </bottom>
      <diagonal/>
    </border>
    <border>
      <left style="hair">
        <color theme="0"/>
      </left>
      <right style="hair">
        <color theme="0"/>
      </right>
      <top style="thick">
        <color theme="0"/>
      </top>
      <bottom style="thick">
        <color theme="0"/>
      </bottom>
      <diagonal/>
    </border>
    <border>
      <left/>
      <right/>
      <top style="thick">
        <color theme="0"/>
      </top>
      <bottom/>
      <diagonal/>
    </border>
    <border>
      <left/>
      <right/>
      <top style="thick">
        <color theme="0"/>
      </top>
      <bottom style="thick">
        <color theme="0"/>
      </bottom>
      <diagonal/>
    </border>
    <border>
      <left style="thick">
        <color theme="0"/>
      </left>
      <right/>
      <top/>
      <bottom/>
      <diagonal/>
    </border>
    <border>
      <left/>
      <right style="thick">
        <color theme="0"/>
      </right>
      <top/>
      <bottom/>
      <diagonal/>
    </border>
    <border>
      <left style="hair">
        <color theme="0"/>
      </left>
      <right/>
      <top style="thick">
        <color theme="0"/>
      </top>
      <bottom style="thick">
        <color theme="0"/>
      </bottom>
      <diagonal/>
    </border>
    <border>
      <left/>
      <right style="hair">
        <color theme="0"/>
      </right>
      <top style="thick">
        <color theme="0"/>
      </top>
      <bottom style="thick">
        <color theme="0"/>
      </bottom>
      <diagonal/>
    </border>
    <border>
      <left/>
      <right/>
      <top/>
      <bottom style="hair">
        <color theme="0"/>
      </bottom>
      <diagonal/>
    </border>
    <border>
      <left/>
      <right style="hair">
        <color theme="0"/>
      </right>
      <top/>
      <bottom style="hair">
        <color theme="0"/>
      </bottom>
      <diagonal/>
    </border>
    <border>
      <left/>
      <right/>
      <top/>
      <bottom style="thick">
        <color theme="0"/>
      </bottom>
      <diagonal/>
    </border>
    <border>
      <left/>
      <right style="hair">
        <color theme="0"/>
      </right>
      <top/>
      <bottom style="thick">
        <color theme="0"/>
      </bottom>
      <diagonal/>
    </border>
    <border>
      <left style="hair">
        <color theme="0"/>
      </left>
      <right style="hair">
        <color theme="0"/>
      </right>
      <top/>
      <bottom style="thick">
        <color theme="0"/>
      </bottom>
      <diagonal/>
    </border>
    <border>
      <left style="hair">
        <color theme="0"/>
      </left>
      <right/>
      <top/>
      <bottom style="hair">
        <color theme="0"/>
      </bottom>
      <diagonal/>
    </border>
    <border>
      <left/>
      <right style="hair">
        <color theme="0"/>
      </right>
      <top style="hair">
        <color theme="0"/>
      </top>
      <bottom style="thick">
        <color theme="0"/>
      </bottom>
      <diagonal/>
    </border>
    <border>
      <left style="hair">
        <color theme="0"/>
      </left>
      <right/>
      <top style="hair">
        <color theme="0"/>
      </top>
      <bottom style="thick">
        <color theme="0"/>
      </bottom>
      <diagonal/>
    </border>
    <border>
      <left/>
      <right/>
      <top style="hair">
        <color theme="0"/>
      </top>
      <bottom style="thick">
        <color theme="0"/>
      </bottom>
      <diagonal/>
    </border>
    <border>
      <left/>
      <right/>
      <top style="thin">
        <color theme="0"/>
      </top>
      <bottom style="thick">
        <color theme="0"/>
      </bottom>
      <diagonal/>
    </border>
    <border>
      <left style="thin">
        <color theme="0"/>
      </left>
      <right/>
      <top style="thin">
        <color theme="0"/>
      </top>
      <bottom style="thick">
        <color theme="0"/>
      </bottom>
      <diagonal/>
    </border>
    <border>
      <left style="thin">
        <color theme="0"/>
      </left>
      <right/>
      <top style="thick">
        <color theme="0"/>
      </top>
      <bottom style="thick">
        <color theme="0"/>
      </bottom>
      <diagonal/>
    </border>
    <border>
      <left style="thin">
        <color theme="0"/>
      </left>
      <right/>
      <top style="thick">
        <color theme="0"/>
      </top>
      <bottom/>
      <diagonal/>
    </border>
    <border>
      <left style="thin">
        <color theme="0"/>
      </left>
      <right/>
      <top style="thin">
        <color theme="0"/>
      </top>
      <bottom/>
      <diagonal/>
    </border>
    <border>
      <left style="thin">
        <color theme="0"/>
      </left>
      <right style="thin">
        <color theme="0"/>
      </right>
      <top style="thick">
        <color theme="0"/>
      </top>
      <bottom/>
      <diagonal/>
    </border>
    <border>
      <left/>
      <right style="thin">
        <color theme="0"/>
      </right>
      <top style="thick">
        <color theme="0"/>
      </top>
      <bottom/>
      <diagonal/>
    </border>
    <border>
      <left/>
      <right style="thick">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top style="thin">
        <color auto="1"/>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right/>
      <top style="thin">
        <color indexed="64"/>
      </top>
      <bottom style="thin">
        <color indexed="64"/>
      </bottom>
      <diagonal/>
    </border>
    <border>
      <left/>
      <right style="thin">
        <color theme="0"/>
      </right>
      <top style="thick">
        <color theme="0"/>
      </top>
      <bottom style="thick">
        <color theme="0"/>
      </bottom>
      <diagonal/>
    </border>
  </borders>
  <cellStyleXfs count="441">
    <xf numFmtId="0" fontId="0" fillId="0" borderId="0"/>
    <xf numFmtId="0" fontId="25" fillId="0" borderId="0"/>
    <xf numFmtId="0" fontId="10" fillId="0" borderId="0"/>
    <xf numFmtId="0" fontId="8" fillId="0" borderId="0"/>
    <xf numFmtId="0" fontId="8" fillId="0" borderId="0"/>
    <xf numFmtId="0" fontId="50" fillId="0" borderId="0" applyNumberFormat="0" applyFill="0" applyBorder="0" applyAlignment="0" applyProtection="0"/>
    <xf numFmtId="0" fontId="52" fillId="0" borderId="0"/>
    <xf numFmtId="4" fontId="53" fillId="0" borderId="59" applyFill="0" applyBorder="0" applyProtection="0">
      <alignment horizontal="right" vertical="center"/>
    </xf>
    <xf numFmtId="49" fontId="56" fillId="0" borderId="107" applyNumberFormat="0" applyFill="0" applyBorder="0" applyProtection="0">
      <alignment horizontal="left" vertical="center"/>
    </xf>
    <xf numFmtId="178" fontId="62" fillId="3" borderId="55" applyBorder="0">
      <alignment horizontal="left" vertical="center" indent="1"/>
    </xf>
    <xf numFmtId="178" fontId="62" fillId="3" borderId="67" applyBorder="0">
      <alignment horizontal="left" vertical="center" indent="1"/>
    </xf>
    <xf numFmtId="178" fontId="62" fillId="3" borderId="70" applyBorder="0">
      <alignment horizontal="left" vertical="center" indent="1"/>
    </xf>
    <xf numFmtId="178" fontId="62" fillId="3" borderId="73" applyBorder="0">
      <alignment horizontal="left" vertical="center" indent="1"/>
    </xf>
    <xf numFmtId="178" fontId="62" fillId="3" borderId="76" applyBorder="0">
      <alignment horizontal="left" vertical="center" indent="1"/>
    </xf>
    <xf numFmtId="178" fontId="62" fillId="3" borderId="79" applyBorder="0">
      <alignment horizontal="left" vertical="center" indent="1"/>
    </xf>
    <xf numFmtId="178" fontId="62" fillId="3" borderId="82" applyBorder="0">
      <alignment horizontal="left" vertical="center" indent="1"/>
    </xf>
    <xf numFmtId="178" fontId="62" fillId="3" borderId="85" applyBorder="0">
      <alignment horizontal="left" vertical="center" indent="1"/>
    </xf>
    <xf numFmtId="178" fontId="62" fillId="3" borderId="88" applyBorder="0">
      <alignment horizontal="left" vertical="center" indent="1"/>
    </xf>
    <xf numFmtId="178" fontId="62" fillId="3" borderId="91" applyBorder="0">
      <alignment horizontal="left" vertical="center" indent="1"/>
    </xf>
    <xf numFmtId="178" fontId="62" fillId="3" borderId="103" applyBorder="0">
      <alignment horizontal="left" vertical="center" indent="1"/>
    </xf>
    <xf numFmtId="178" fontId="62" fillId="3" borderId="106" applyBorder="0">
      <alignment horizontal="left" vertical="center" indent="1"/>
    </xf>
    <xf numFmtId="178" fontId="62" fillId="3" borderId="109" applyBorder="0">
      <alignment horizontal="left" vertical="center" indent="1"/>
    </xf>
    <xf numFmtId="178" fontId="62" fillId="3" borderId="112" applyBorder="0">
      <alignment horizontal="left" vertical="center" indent="1"/>
    </xf>
    <xf numFmtId="178" fontId="62" fillId="3" borderId="115" applyBorder="0">
      <alignment horizontal="left" vertical="center" indent="1"/>
    </xf>
    <xf numFmtId="178" fontId="62" fillId="3" borderId="118" applyBorder="0">
      <alignment horizontal="left" vertical="center" indent="1"/>
    </xf>
    <xf numFmtId="178" fontId="62" fillId="3" borderId="121" applyBorder="0">
      <alignment horizontal="left" vertical="center" indent="1"/>
    </xf>
    <xf numFmtId="178" fontId="62" fillId="3" borderId="124" applyBorder="0">
      <alignment horizontal="left" vertical="center" indent="1"/>
    </xf>
    <xf numFmtId="178" fontId="62" fillId="3" borderId="127" applyBorder="0">
      <alignment horizontal="left" vertical="center" indent="1"/>
    </xf>
    <xf numFmtId="178" fontId="62" fillId="3" borderId="130" applyBorder="0">
      <alignment horizontal="left" vertical="center" indent="1"/>
    </xf>
    <xf numFmtId="178" fontId="62" fillId="3" borderId="133" applyBorder="0">
      <alignment horizontal="left" vertical="center" indent="1"/>
    </xf>
    <xf numFmtId="178" fontId="62" fillId="3" borderId="136" applyBorder="0">
      <alignment horizontal="left" vertical="center" indent="1"/>
    </xf>
    <xf numFmtId="178" fontId="62" fillId="3" borderId="139" applyBorder="0">
      <alignment horizontal="left" vertical="center" indent="1"/>
    </xf>
    <xf numFmtId="178" fontId="62" fillId="3" borderId="142" applyBorder="0">
      <alignment horizontal="left" vertical="center" indent="1"/>
    </xf>
    <xf numFmtId="178" fontId="62" fillId="3" borderId="145" applyBorder="0">
      <alignment horizontal="left" vertical="center" indent="1"/>
    </xf>
    <xf numFmtId="178" fontId="62" fillId="3" borderId="148" applyBorder="0">
      <alignment horizontal="left" vertical="center" indent="1"/>
    </xf>
    <xf numFmtId="178" fontId="62" fillId="3" borderId="151" applyBorder="0">
      <alignment horizontal="left" vertical="center" indent="1"/>
    </xf>
    <xf numFmtId="178" fontId="62" fillId="3" borderId="154" applyBorder="0">
      <alignment horizontal="left" vertical="center" indent="1"/>
    </xf>
    <xf numFmtId="178" fontId="62" fillId="3" borderId="157" applyBorder="0">
      <alignment horizontal="left" vertical="center" indent="1"/>
    </xf>
    <xf numFmtId="178" fontId="62" fillId="3" borderId="160" applyBorder="0">
      <alignment horizontal="left" vertical="center" indent="1"/>
    </xf>
    <xf numFmtId="178" fontId="62" fillId="3" borderId="163" applyBorder="0">
      <alignment horizontal="left" vertical="center" indent="1"/>
    </xf>
    <xf numFmtId="0" fontId="8" fillId="0" borderId="0"/>
    <xf numFmtId="0" fontId="8" fillId="0" borderId="0"/>
    <xf numFmtId="43" fontId="2" fillId="0" borderId="0" applyFont="0" applyFill="0" applyBorder="0" applyAlignment="0" applyProtection="0"/>
    <xf numFmtId="49" fontId="53" fillId="0" borderId="29" applyNumberFormat="0" applyFont="0" applyFill="0" applyBorder="0" applyProtection="0">
      <alignment horizontal="left" vertical="center" indent="2"/>
    </xf>
    <xf numFmtId="49" fontId="53" fillId="0" borderId="30" applyNumberFormat="0" applyFont="0" applyFill="0" applyBorder="0" applyProtection="0">
      <alignment horizontal="left" vertical="center" indent="5"/>
    </xf>
    <xf numFmtId="0" fontId="54" fillId="16" borderId="0">
      <alignment horizontal="left" vertical="center"/>
    </xf>
    <xf numFmtId="0" fontId="55" fillId="17" borderId="0" applyBorder="0">
      <alignment horizontal="left" vertical="center" indent="1"/>
    </xf>
    <xf numFmtId="4" fontId="56" fillId="0" borderId="31" applyFill="0" applyBorder="0" applyProtection="0">
      <alignment horizontal="right" vertical="center"/>
    </xf>
    <xf numFmtId="171" fontId="57" fillId="0" borderId="0" applyFont="0" applyFill="0" applyBorder="0" applyAlignment="0" applyProtection="0"/>
    <xf numFmtId="172" fontId="57" fillId="0" borderId="0" applyFont="0" applyFill="0" applyBorder="0" applyAlignment="0" applyProtection="0"/>
    <xf numFmtId="0" fontId="58" fillId="0" borderId="0">
      <alignment vertical="center"/>
    </xf>
    <xf numFmtId="173" fontId="57" fillId="0" borderId="0" applyFont="0" applyFill="0" applyBorder="0" applyAlignment="0" applyProtection="0"/>
    <xf numFmtId="174" fontId="57" fillId="0" borderId="0" applyFont="0" applyFill="0" applyBorder="0" applyAlignment="0" applyProtection="0"/>
    <xf numFmtId="175" fontId="59" fillId="0" borderId="0"/>
    <xf numFmtId="0" fontId="54" fillId="18" borderId="0">
      <alignment horizontal="center" vertical="center" wrapText="1"/>
    </xf>
    <xf numFmtId="176" fontId="59" fillId="19" borderId="0">
      <alignment horizontal="center" vertical="center"/>
    </xf>
    <xf numFmtId="0" fontId="60" fillId="13" borderId="28" applyNumberFormat="0" applyAlignment="0" applyProtection="0"/>
    <xf numFmtId="177" fontId="13" fillId="0" borderId="0" applyFont="0" applyFill="0" applyBorder="0" applyAlignment="0" applyProtection="0">
      <alignment vertical="center"/>
    </xf>
    <xf numFmtId="178" fontId="61" fillId="20" borderId="32" applyBorder="0" applyAlignment="0">
      <alignment horizontal="left" vertical="center" indent="1"/>
    </xf>
    <xf numFmtId="178" fontId="62" fillId="3" borderId="33" applyBorder="0">
      <alignment horizontal="left" vertical="center" indent="1"/>
    </xf>
    <xf numFmtId="0" fontId="63" fillId="0" borderId="0" applyNumberFormat="0" applyFill="0" applyBorder="0" applyAlignment="0" applyProtection="0"/>
    <xf numFmtId="179" fontId="59" fillId="0" borderId="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64" fillId="0" borderId="0"/>
    <xf numFmtId="0" fontId="54" fillId="19" borderId="0">
      <alignment horizontal="left" vertical="center"/>
    </xf>
    <xf numFmtId="181" fontId="64" fillId="0" borderId="0"/>
    <xf numFmtId="182" fontId="59" fillId="0" borderId="0"/>
    <xf numFmtId="183" fontId="64" fillId="0" borderId="0"/>
    <xf numFmtId="184" fontId="59" fillId="0" borderId="0" applyAlignment="0">
      <alignment wrapText="1"/>
    </xf>
    <xf numFmtId="185" fontId="59" fillId="0" borderId="0"/>
    <xf numFmtId="184" fontId="59" fillId="0" borderId="0"/>
    <xf numFmtId="4" fontId="53" fillId="0" borderId="29" applyFill="0" applyBorder="0" applyProtection="0">
      <alignment horizontal="right" vertical="center"/>
    </xf>
    <xf numFmtId="49" fontId="56" fillId="0" borderId="29" applyNumberFormat="0" applyFill="0" applyBorder="0" applyProtection="0">
      <alignment horizontal="left" vertical="center"/>
    </xf>
    <xf numFmtId="0" fontId="53" fillId="0" borderId="29" applyNumberFormat="0" applyFill="0" applyAlignment="0" applyProtection="0"/>
    <xf numFmtId="0" fontId="57" fillId="0" borderId="0"/>
    <xf numFmtId="0" fontId="65" fillId="0" borderId="34" applyFont="0" applyFill="0" applyBorder="0" applyProtection="0">
      <alignment horizontal="center"/>
    </xf>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6" fontId="8" fillId="0" borderId="0"/>
    <xf numFmtId="187" fontId="8" fillId="15" borderId="0">
      <alignment horizontal="center" vertical="center"/>
    </xf>
    <xf numFmtId="11" fontId="65" fillId="0" borderId="0" applyFont="0" applyFill="0" applyBorder="0" applyAlignment="0" applyProtection="0"/>
    <xf numFmtId="0" fontId="8" fillId="0" borderId="0"/>
    <xf numFmtId="0" fontId="54" fillId="0" borderId="0">
      <alignment vertical="center"/>
    </xf>
    <xf numFmtId="0" fontId="8" fillId="0" borderId="0"/>
    <xf numFmtId="0" fontId="2" fillId="0" borderId="0"/>
    <xf numFmtId="0" fontId="2" fillId="0" borderId="0"/>
    <xf numFmtId="0" fontId="2" fillId="0" borderId="0"/>
    <xf numFmtId="0" fontId="2" fillId="0" borderId="0"/>
    <xf numFmtId="0" fontId="66" fillId="0" borderId="0"/>
    <xf numFmtId="188" fontId="59" fillId="0" borderId="0">
      <alignment horizontal="center" vertical="center"/>
    </xf>
    <xf numFmtId="0" fontId="67" fillId="2" borderId="0">
      <alignment vertical="center" wrapText="1"/>
    </xf>
    <xf numFmtId="0" fontId="68" fillId="14" borderId="0" applyBorder="0">
      <alignment horizontal="left" vertical="center" indent="1"/>
    </xf>
    <xf numFmtId="188" fontId="69" fillId="0" borderId="0">
      <alignment horizontal="center" vertical="center"/>
    </xf>
    <xf numFmtId="0" fontId="54" fillId="21" borderId="0">
      <alignment horizontal="left" vertical="center"/>
    </xf>
    <xf numFmtId="0" fontId="54" fillId="21" borderId="0">
      <alignment horizontal="left" vertical="center"/>
    </xf>
    <xf numFmtId="11" fontId="59" fillId="0" borderId="0"/>
    <xf numFmtId="11" fontId="13" fillId="0" borderId="0">
      <alignment horizontal="center" vertical="center" wrapText="1"/>
    </xf>
    <xf numFmtId="176" fontId="8" fillId="0" borderId="0">
      <alignment horizontal="center" vertical="center"/>
    </xf>
    <xf numFmtId="176" fontId="8" fillId="0" borderId="0">
      <alignment horizontal="center" vertical="center"/>
    </xf>
    <xf numFmtId="189" fontId="64" fillId="0" borderId="0">
      <alignment horizontal="center" vertical="center"/>
    </xf>
    <xf numFmtId="190" fontId="64" fillId="0" borderId="0"/>
    <xf numFmtId="43" fontId="8" fillId="0" borderId="0" applyFont="0" applyFill="0" applyBorder="0" applyAlignment="0" applyProtection="0"/>
    <xf numFmtId="49" fontId="56" fillId="0" borderId="53" applyNumberFormat="0" applyFill="0" applyBorder="0" applyProtection="0">
      <alignment horizontal="left" vertical="center"/>
    </xf>
    <xf numFmtId="4" fontId="53" fillId="0" borderId="161" applyFill="0" applyBorder="0" applyProtection="0">
      <alignment horizontal="right" vertical="center"/>
    </xf>
    <xf numFmtId="4" fontId="53" fillId="0" borderId="62" applyFill="0" applyBorder="0" applyProtection="0">
      <alignment horizontal="right" vertical="center"/>
    </xf>
    <xf numFmtId="49" fontId="53" fillId="0" borderId="35" applyNumberFormat="0" applyFont="0" applyFill="0" applyBorder="0" applyProtection="0">
      <alignment horizontal="left" vertical="center" indent="2"/>
    </xf>
    <xf numFmtId="49" fontId="53" fillId="0" borderId="36" applyNumberFormat="0" applyFont="0" applyFill="0" applyBorder="0" applyProtection="0">
      <alignment horizontal="left" vertical="center" indent="5"/>
    </xf>
    <xf numFmtId="49" fontId="56" fillId="0" borderId="59" applyNumberFormat="0" applyFill="0" applyBorder="0" applyProtection="0">
      <alignment horizontal="left" vertical="center"/>
    </xf>
    <xf numFmtId="49" fontId="53" fillId="0" borderId="41" applyNumberFormat="0" applyFont="0" applyFill="0" applyBorder="0" applyProtection="0">
      <alignment horizontal="left" vertical="center" indent="2"/>
    </xf>
    <xf numFmtId="49" fontId="53" fillId="0" borderId="42" applyNumberFormat="0" applyFont="0" applyFill="0" applyBorder="0" applyProtection="0">
      <alignment horizontal="left" vertical="center" indent="5"/>
    </xf>
    <xf numFmtId="49" fontId="53" fillId="0" borderId="47" applyNumberFormat="0" applyFont="0" applyFill="0" applyBorder="0" applyProtection="0">
      <alignment horizontal="left" vertical="center" indent="2"/>
    </xf>
    <xf numFmtId="4" fontId="53" fillId="0" borderId="74" applyFill="0" applyBorder="0" applyProtection="0">
      <alignment horizontal="right" vertical="center"/>
    </xf>
    <xf numFmtId="49" fontId="53" fillId="0" borderId="54" applyNumberFormat="0" applyFont="0" applyFill="0" applyBorder="0" applyProtection="0">
      <alignment horizontal="left" vertical="center" indent="5"/>
    </xf>
    <xf numFmtId="49" fontId="53" fillId="0" borderId="59" applyNumberFormat="0" applyFont="0" applyFill="0" applyBorder="0" applyProtection="0">
      <alignment horizontal="left" vertical="center" indent="2"/>
    </xf>
    <xf numFmtId="49" fontId="53" fillId="0" borderId="65" applyNumberFormat="0" applyFont="0" applyFill="0" applyBorder="0" applyProtection="0">
      <alignment horizontal="left" vertical="center" indent="2"/>
    </xf>
    <xf numFmtId="49" fontId="53" fillId="0" borderId="77" applyNumberFormat="0" applyFont="0" applyFill="0" applyBorder="0" applyProtection="0">
      <alignment horizontal="left" vertical="center" indent="2"/>
    </xf>
    <xf numFmtId="49" fontId="53" fillId="0" borderId="83" applyNumberFormat="0" applyFont="0" applyFill="0" applyBorder="0" applyProtection="0">
      <alignment horizontal="left" vertical="center" indent="2"/>
    </xf>
    <xf numFmtId="49" fontId="53" fillId="0" borderId="95" applyNumberFormat="0" applyFont="0" applyFill="0" applyBorder="0" applyProtection="0">
      <alignment horizontal="left" vertical="center" indent="2"/>
    </xf>
    <xf numFmtId="49" fontId="53" fillId="0" borderId="137" applyNumberFormat="0" applyFont="0" applyFill="0" applyBorder="0" applyProtection="0">
      <alignment horizontal="left" vertical="center" indent="2"/>
    </xf>
    <xf numFmtId="178" fontId="62" fillId="3" borderId="37" applyBorder="0">
      <alignment horizontal="left" vertical="center" indent="1"/>
    </xf>
    <xf numFmtId="178" fontId="62" fillId="3" borderId="43" applyBorder="0">
      <alignment horizontal="left" vertical="center" indent="1"/>
    </xf>
    <xf numFmtId="0" fontId="53" fillId="0" borderId="62" applyNumberFormat="0" applyFill="0" applyAlignment="0" applyProtection="0"/>
    <xf numFmtId="0" fontId="53" fillId="0" borderId="56" applyNumberFormat="0" applyFill="0" applyAlignment="0" applyProtection="0"/>
    <xf numFmtId="49" fontId="56" fillId="0" borderId="56" applyNumberFormat="0" applyFill="0" applyBorder="0" applyProtection="0">
      <alignment horizontal="left" vertical="center"/>
    </xf>
    <xf numFmtId="0" fontId="53" fillId="0" borderId="50" applyNumberFormat="0" applyFill="0" applyAlignment="0" applyProtection="0"/>
    <xf numFmtId="49" fontId="56" fillId="0" borderId="50" applyNumberFormat="0" applyFill="0" applyBorder="0" applyProtection="0">
      <alignment horizontal="left" vertical="center"/>
    </xf>
    <xf numFmtId="4" fontId="53" fillId="0" borderId="50" applyFill="0" applyBorder="0" applyProtection="0">
      <alignment horizontal="right" vertical="center"/>
    </xf>
    <xf numFmtId="0" fontId="53" fillId="0" borderId="44" applyNumberFormat="0" applyFill="0" applyAlignment="0" applyProtection="0"/>
    <xf numFmtId="0" fontId="53" fillId="0" borderId="38" applyNumberFormat="0" applyFill="0" applyAlignment="0" applyProtection="0"/>
    <xf numFmtId="49" fontId="56" fillId="0" borderId="38" applyNumberFormat="0" applyFill="0" applyBorder="0" applyProtection="0">
      <alignment horizontal="left" vertical="center"/>
    </xf>
    <xf numFmtId="4" fontId="53" fillId="0" borderId="38" applyFill="0" applyBorder="0" applyProtection="0">
      <alignment horizontal="right" vertical="center"/>
    </xf>
    <xf numFmtId="49" fontId="56" fillId="0" borderId="44" applyNumberFormat="0" applyFill="0" applyBorder="0" applyProtection="0">
      <alignment horizontal="left" vertical="center"/>
    </xf>
    <xf numFmtId="4" fontId="53" fillId="0" borderId="44" applyFill="0" applyBorder="0" applyProtection="0">
      <alignment horizontal="right" vertical="center"/>
    </xf>
    <xf numFmtId="4" fontId="53" fillId="0" borderId="56" applyFill="0" applyBorder="0" applyProtection="0">
      <alignment horizontal="right" vertical="center"/>
    </xf>
    <xf numFmtId="4" fontId="53" fillId="0" borderId="92" applyFill="0" applyBorder="0" applyProtection="0">
      <alignment horizontal="right" vertical="center"/>
    </xf>
    <xf numFmtId="4" fontId="53" fillId="0" borderId="35" applyFill="0" applyBorder="0" applyProtection="0">
      <alignment horizontal="right" vertical="center"/>
    </xf>
    <xf numFmtId="49" fontId="56" fillId="0" borderId="35" applyNumberFormat="0" applyFill="0" applyBorder="0" applyProtection="0">
      <alignment horizontal="left" vertical="center"/>
    </xf>
    <xf numFmtId="0" fontId="53" fillId="0" borderId="35" applyNumberFormat="0" applyFill="0" applyAlignment="0" applyProtection="0"/>
    <xf numFmtId="0" fontId="53" fillId="0" borderId="161" applyNumberFormat="0" applyFill="0" applyAlignment="0" applyProtection="0"/>
    <xf numFmtId="49" fontId="56" fillId="0" borderId="161" applyNumberFormat="0" applyFill="0" applyBorder="0" applyProtection="0">
      <alignment horizontal="left" vertical="center"/>
    </xf>
    <xf numFmtId="4" fontId="53" fillId="0" borderId="41" applyFill="0" applyBorder="0" applyProtection="0">
      <alignment horizontal="right" vertical="center"/>
    </xf>
    <xf numFmtId="49" fontId="56" fillId="0" borderId="41" applyNumberFormat="0" applyFill="0" applyBorder="0" applyProtection="0">
      <alignment horizontal="left" vertical="center"/>
    </xf>
    <xf numFmtId="0" fontId="53" fillId="0" borderId="41" applyNumberFormat="0" applyFill="0" applyAlignment="0" applyProtection="0"/>
    <xf numFmtId="4" fontId="53" fillId="0" borderId="47" applyFill="0" applyBorder="0" applyProtection="0">
      <alignment horizontal="right" vertical="center"/>
    </xf>
    <xf numFmtId="49" fontId="56" fillId="0" borderId="47" applyNumberFormat="0" applyFill="0" applyBorder="0" applyProtection="0">
      <alignment horizontal="left" vertical="center"/>
    </xf>
    <xf numFmtId="0" fontId="53" fillId="0" borderId="47" applyNumberFormat="0" applyFill="0" applyAlignment="0" applyProtection="0"/>
    <xf numFmtId="0" fontId="53" fillId="0" borderId="53" applyNumberFormat="0" applyFill="0" applyAlignment="0" applyProtection="0"/>
    <xf numFmtId="178" fontId="62" fillId="3" borderId="40" applyBorder="0">
      <alignment horizontal="left" vertical="center" indent="1"/>
    </xf>
    <xf numFmtId="49" fontId="56" fillId="0" borderId="71" applyNumberFormat="0" applyFill="0" applyBorder="0" applyProtection="0">
      <alignment horizontal="left" vertical="center"/>
    </xf>
    <xf numFmtId="178" fontId="62" fillId="3" borderId="46" applyBorder="0">
      <alignment horizontal="left" vertical="center" indent="1"/>
    </xf>
    <xf numFmtId="178" fontId="62" fillId="3" borderId="58" applyBorder="0">
      <alignment horizontal="left" vertical="center" indent="1"/>
    </xf>
    <xf numFmtId="178" fontId="62" fillId="3" borderId="94" applyBorder="0">
      <alignment horizontal="left" vertical="center" indent="1"/>
    </xf>
    <xf numFmtId="49" fontId="53" fillId="0" borderId="104" applyNumberFormat="0" applyFont="0" applyFill="0" applyBorder="0" applyProtection="0">
      <alignment horizontal="left" vertical="center" indent="2"/>
    </xf>
    <xf numFmtId="49" fontId="53" fillId="0" borderId="98" applyNumberFormat="0" applyFont="0" applyFill="0" applyBorder="0" applyProtection="0">
      <alignment horizontal="left" vertical="center" indent="2"/>
    </xf>
    <xf numFmtId="49" fontId="53" fillId="0" borderId="86" applyNumberFormat="0" applyFont="0" applyFill="0" applyBorder="0" applyProtection="0">
      <alignment horizontal="left" vertical="center" indent="2"/>
    </xf>
    <xf numFmtId="49" fontId="53" fillId="0" borderId="80" applyNumberFormat="0" applyFont="0" applyFill="0" applyBorder="0" applyProtection="0">
      <alignment horizontal="left" vertical="center" indent="2"/>
    </xf>
    <xf numFmtId="49" fontId="53" fillId="0" borderId="74" applyNumberFormat="0" applyFont="0" applyFill="0" applyBorder="0" applyProtection="0">
      <alignment horizontal="left" vertical="center" indent="2"/>
    </xf>
    <xf numFmtId="49" fontId="53" fillId="0" borderId="68" applyNumberFormat="0" applyFont="0" applyFill="0" applyBorder="0" applyProtection="0">
      <alignment horizontal="left" vertical="center" indent="2"/>
    </xf>
    <xf numFmtId="49" fontId="53" fillId="0" borderId="62" applyNumberFormat="0" applyFont="0" applyFill="0" applyBorder="0" applyProtection="0">
      <alignment horizontal="left" vertical="center" indent="2"/>
    </xf>
    <xf numFmtId="49" fontId="53" fillId="0" borderId="38" applyNumberFormat="0" applyFont="0" applyFill="0" applyBorder="0" applyProtection="0">
      <alignment horizontal="left" vertical="center" indent="2"/>
    </xf>
    <xf numFmtId="4" fontId="53" fillId="0" borderId="53" applyFill="0" applyBorder="0" applyProtection="0">
      <alignment horizontal="right" vertical="center"/>
    </xf>
    <xf numFmtId="49" fontId="53" fillId="0" borderId="39" applyNumberFormat="0" applyFont="0" applyFill="0" applyBorder="0" applyProtection="0">
      <alignment horizontal="left" vertical="center" indent="5"/>
    </xf>
    <xf numFmtId="178" fontId="62" fillId="3" borderId="61" applyBorder="0">
      <alignment horizontal="left" vertical="center" indent="1"/>
    </xf>
    <xf numFmtId="49" fontId="53" fillId="0" borderId="71" applyNumberFormat="0" applyFont="0" applyFill="0" applyBorder="0" applyProtection="0">
      <alignment horizontal="left" vertical="center" indent="2"/>
    </xf>
    <xf numFmtId="4" fontId="53" fillId="0" borderId="65" applyFill="0" applyBorder="0" applyProtection="0">
      <alignment horizontal="right" vertical="center"/>
    </xf>
    <xf numFmtId="178" fontId="62" fillId="3" borderId="49" applyBorder="0">
      <alignment horizontal="left" vertical="center" indent="1"/>
    </xf>
    <xf numFmtId="178" fontId="62" fillId="3" borderId="52" applyBorder="0">
      <alignment horizontal="left" vertical="center" indent="1"/>
    </xf>
    <xf numFmtId="49" fontId="56" fillId="0" borderId="62" applyNumberFormat="0" applyFill="0" applyBorder="0" applyProtection="0">
      <alignment horizontal="left" vertical="center"/>
    </xf>
    <xf numFmtId="49" fontId="53" fillId="0" borderId="50" applyNumberFormat="0" applyFont="0" applyFill="0" applyBorder="0" applyProtection="0">
      <alignment horizontal="left" vertical="center" indent="2"/>
    </xf>
    <xf numFmtId="49" fontId="53" fillId="0" borderId="44" applyNumberFormat="0" applyFont="0" applyFill="0" applyBorder="0" applyProtection="0">
      <alignment horizontal="left" vertical="center" indent="2"/>
    </xf>
    <xf numFmtId="0" fontId="53" fillId="0" borderId="59" applyNumberFormat="0" applyFill="0" applyAlignment="0" applyProtection="0"/>
    <xf numFmtId="49" fontId="53" fillId="0" borderId="45" applyNumberFormat="0" applyFont="0" applyFill="0" applyBorder="0" applyProtection="0">
      <alignment horizontal="left" vertical="center" indent="5"/>
    </xf>
    <xf numFmtId="4" fontId="53" fillId="0" borderId="68" applyFill="0" applyBorder="0" applyProtection="0">
      <alignment horizontal="right" vertical="center"/>
    </xf>
    <xf numFmtId="4" fontId="53" fillId="0" borderId="110" applyFill="0" applyBorder="0" applyProtection="0">
      <alignment horizontal="right" vertical="center"/>
    </xf>
    <xf numFmtId="0" fontId="53" fillId="0" borderId="68" applyNumberFormat="0" applyFill="0" applyAlignment="0" applyProtection="0"/>
    <xf numFmtId="49" fontId="56" fillId="0" borderId="68" applyNumberFormat="0" applyFill="0" applyBorder="0" applyProtection="0">
      <alignment horizontal="left" vertical="center"/>
    </xf>
    <xf numFmtId="49" fontId="53" fillId="0" borderId="48" applyNumberFormat="0" applyFont="0" applyFill="0" applyBorder="0" applyProtection="0">
      <alignment horizontal="left" vertical="center" indent="5"/>
    </xf>
    <xf numFmtId="49" fontId="56" fillId="0" borderId="65" applyNumberFormat="0" applyFill="0" applyBorder="0" applyProtection="0">
      <alignment horizontal="left" vertical="center"/>
    </xf>
    <xf numFmtId="49" fontId="53" fillId="0" borderId="110" applyNumberFormat="0" applyFont="0" applyFill="0" applyBorder="0" applyProtection="0">
      <alignment horizontal="left" vertical="center" indent="2"/>
    </xf>
    <xf numFmtId="4" fontId="53" fillId="0" borderId="71" applyFill="0" applyBorder="0" applyProtection="0">
      <alignment horizontal="right" vertical="center"/>
    </xf>
    <xf numFmtId="0" fontId="53" fillId="0" borderId="65" applyNumberFormat="0" applyFill="0" applyAlignment="0" applyProtection="0"/>
    <xf numFmtId="49" fontId="53" fillId="0" borderId="51" applyNumberFormat="0" applyFont="0" applyFill="0" applyBorder="0" applyProtection="0">
      <alignment horizontal="left" vertical="center" indent="5"/>
    </xf>
    <xf numFmtId="49" fontId="56" fillId="0" borderId="74" applyNumberFormat="0" applyFill="0" applyBorder="0" applyProtection="0">
      <alignment horizontal="left" vertical="center"/>
    </xf>
    <xf numFmtId="49" fontId="53" fillId="0" borderId="90" applyNumberFormat="0" applyFont="0" applyFill="0" applyBorder="0" applyProtection="0">
      <alignment horizontal="left" vertical="center" indent="5"/>
    </xf>
    <xf numFmtId="178" fontId="62" fillId="3" borderId="97" applyBorder="0">
      <alignment horizontal="left" vertical="center" indent="1"/>
    </xf>
    <xf numFmtId="0" fontId="53" fillId="0" borderId="71" applyNumberFormat="0" applyFill="0" applyAlignment="0" applyProtection="0"/>
    <xf numFmtId="49" fontId="53" fillId="0" borderId="53" applyNumberFormat="0" applyFont="0" applyFill="0" applyBorder="0" applyProtection="0">
      <alignment horizontal="left" vertical="center" indent="2"/>
    </xf>
    <xf numFmtId="178" fontId="62" fillId="3" borderId="64" applyBorder="0">
      <alignment horizontal="left" vertical="center" indent="1"/>
    </xf>
    <xf numFmtId="49" fontId="56" fillId="0" borderId="77" applyNumberFormat="0" applyFill="0" applyBorder="0" applyProtection="0">
      <alignment horizontal="left" vertical="center"/>
    </xf>
    <xf numFmtId="49" fontId="53" fillId="0" borderId="56" applyNumberFormat="0" applyFont="0" applyFill="0" applyBorder="0" applyProtection="0">
      <alignment horizontal="left" vertical="center" indent="2"/>
    </xf>
    <xf numFmtId="4" fontId="53" fillId="0" borderId="77" applyFill="0" applyBorder="0" applyProtection="0">
      <alignment horizontal="right" vertical="center"/>
    </xf>
    <xf numFmtId="49" fontId="53" fillId="0" borderId="57" applyNumberFormat="0" applyFont="0" applyFill="0" applyBorder="0" applyProtection="0">
      <alignment horizontal="left" vertical="center" indent="5"/>
    </xf>
    <xf numFmtId="0" fontId="53" fillId="0" borderId="74" applyNumberFormat="0" applyFill="0" applyAlignment="0" applyProtection="0"/>
    <xf numFmtId="49" fontId="53" fillId="0" borderId="101" applyNumberFormat="0" applyFont="0" applyFill="0" applyBorder="0" applyProtection="0">
      <alignment horizontal="left" vertical="center" indent="2"/>
    </xf>
    <xf numFmtId="49" fontId="56" fillId="0" borderId="80" applyNumberFormat="0" applyFill="0" applyBorder="0" applyProtection="0">
      <alignment horizontal="left" vertical="center"/>
    </xf>
    <xf numFmtId="4" fontId="53" fillId="0" borderId="80" applyFill="0" applyBorder="0" applyProtection="0">
      <alignment horizontal="right" vertical="center"/>
    </xf>
    <xf numFmtId="49" fontId="53" fillId="0" borderId="60" applyNumberFormat="0" applyFont="0" applyFill="0" applyBorder="0" applyProtection="0">
      <alignment horizontal="left" vertical="center" indent="5"/>
    </xf>
    <xf numFmtId="0" fontId="53" fillId="0" borderId="77" applyNumberFormat="0" applyFill="0" applyAlignment="0" applyProtection="0"/>
    <xf numFmtId="49" fontId="53" fillId="0" borderId="116" applyNumberFormat="0" applyFont="0" applyFill="0" applyBorder="0" applyProtection="0">
      <alignment horizontal="left" vertical="center" indent="2"/>
    </xf>
    <xf numFmtId="49" fontId="56" fillId="0" borderId="83" applyNumberFormat="0" applyFill="0" applyBorder="0" applyProtection="0">
      <alignment horizontal="left" vertical="center"/>
    </xf>
    <xf numFmtId="4" fontId="53" fillId="0" borderId="83" applyFill="0" applyBorder="0" applyProtection="0">
      <alignment horizontal="right" vertical="center"/>
    </xf>
    <xf numFmtId="49" fontId="53" fillId="0" borderId="63" applyNumberFormat="0" applyFont="0" applyFill="0" applyBorder="0" applyProtection="0">
      <alignment horizontal="left" vertical="center" indent="5"/>
    </xf>
    <xf numFmtId="0" fontId="53" fillId="0" borderId="80" applyNumberFormat="0" applyFill="0" applyAlignment="0" applyProtection="0"/>
    <xf numFmtId="49" fontId="53" fillId="0" borderId="107" applyNumberFormat="0" applyFont="0" applyFill="0" applyBorder="0" applyProtection="0">
      <alignment horizontal="left" vertical="center" indent="2"/>
    </xf>
    <xf numFmtId="49" fontId="56" fillId="0" borderId="86" applyNumberFormat="0" applyFill="0" applyBorder="0" applyProtection="0">
      <alignment horizontal="left" vertical="center"/>
    </xf>
    <xf numFmtId="4" fontId="53" fillId="0" borderId="86" applyFill="0" applyBorder="0" applyProtection="0">
      <alignment horizontal="right" vertical="center"/>
    </xf>
    <xf numFmtId="49" fontId="53" fillId="0" borderId="66" applyNumberFormat="0" applyFont="0" applyFill="0" applyBorder="0" applyProtection="0">
      <alignment horizontal="left" vertical="center" indent="5"/>
    </xf>
    <xf numFmtId="0" fontId="53" fillId="0" borderId="83" applyNumberFormat="0" applyFill="0" applyAlignment="0" applyProtection="0"/>
    <xf numFmtId="49" fontId="53" fillId="0" borderId="122" applyNumberFormat="0" applyFont="0" applyFill="0" applyBorder="0" applyProtection="0">
      <alignment horizontal="left" vertical="center" indent="2"/>
    </xf>
    <xf numFmtId="4" fontId="53" fillId="0" borderId="89" applyFill="0" applyBorder="0" applyProtection="0">
      <alignment horizontal="right" vertical="center"/>
    </xf>
    <xf numFmtId="49" fontId="53" fillId="0" borderId="69" applyNumberFormat="0" applyFont="0" applyFill="0" applyBorder="0" applyProtection="0">
      <alignment horizontal="left" vertical="center" indent="5"/>
    </xf>
    <xf numFmtId="0" fontId="53" fillId="0" borderId="86" applyNumberFormat="0" applyFill="0" applyAlignment="0" applyProtection="0"/>
    <xf numFmtId="49" fontId="53" fillId="0" borderId="113" applyNumberFormat="0" applyFont="0" applyFill="0" applyBorder="0" applyProtection="0">
      <alignment horizontal="left" vertical="center" indent="2"/>
    </xf>
    <xf numFmtId="0" fontId="53" fillId="0" borderId="92" applyNumberFormat="0" applyFill="0" applyAlignment="0" applyProtection="0"/>
    <xf numFmtId="49" fontId="56" fillId="0" borderId="92" applyNumberFormat="0" applyFill="0" applyBorder="0" applyProtection="0">
      <alignment horizontal="left" vertical="center"/>
    </xf>
    <xf numFmtId="49" fontId="53" fillId="0" borderId="72" applyNumberFormat="0" applyFont="0" applyFill="0" applyBorder="0" applyProtection="0">
      <alignment horizontal="left" vertical="center" indent="5"/>
    </xf>
    <xf numFmtId="49" fontId="56" fillId="0" borderId="89" applyNumberFormat="0" applyFill="0" applyBorder="0" applyProtection="0">
      <alignment horizontal="left" vertical="center"/>
    </xf>
    <xf numFmtId="49" fontId="53" fillId="0" borderId="128" applyNumberFormat="0" applyFont="0" applyFill="0" applyBorder="0" applyProtection="0">
      <alignment horizontal="left" vertical="center" indent="2"/>
    </xf>
    <xf numFmtId="4" fontId="53" fillId="0" borderId="95" applyFill="0" applyBorder="0" applyProtection="0">
      <alignment horizontal="right" vertical="center"/>
    </xf>
    <xf numFmtId="0" fontId="53" fillId="0" borderId="89" applyNumberFormat="0" applyFill="0" applyAlignment="0" applyProtection="0"/>
    <xf numFmtId="49" fontId="53" fillId="0" borderId="75" applyNumberFormat="0" applyFont="0" applyFill="0" applyBorder="0" applyProtection="0">
      <alignment horizontal="left" vertical="center" indent="5"/>
    </xf>
    <xf numFmtId="4" fontId="53" fillId="0" borderId="98" applyFill="0" applyBorder="0" applyProtection="0">
      <alignment horizontal="right" vertical="center"/>
    </xf>
    <xf numFmtId="49" fontId="53" fillId="0" borderId="119" applyNumberFormat="0" applyFont="0" applyFill="0" applyBorder="0" applyProtection="0">
      <alignment horizontal="left" vertical="center" indent="2"/>
    </xf>
    <xf numFmtId="0" fontId="53" fillId="0" borderId="98" applyNumberFormat="0" applyFill="0" applyAlignment="0" applyProtection="0"/>
    <xf numFmtId="49" fontId="56" fillId="0" borderId="98" applyNumberFormat="0" applyFill="0" applyBorder="0" applyProtection="0">
      <alignment horizontal="left" vertical="center"/>
    </xf>
    <xf numFmtId="49" fontId="53" fillId="0" borderId="78" applyNumberFormat="0" applyFont="0" applyFill="0" applyBorder="0" applyProtection="0">
      <alignment horizontal="left" vertical="center" indent="5"/>
    </xf>
    <xf numFmtId="49" fontId="56" fillId="0" borderId="95" applyNumberFormat="0" applyFill="0" applyBorder="0" applyProtection="0">
      <alignment horizontal="left" vertical="center"/>
    </xf>
    <xf numFmtId="49" fontId="53" fillId="0" borderId="134" applyNumberFormat="0" applyFont="0" applyFill="0" applyBorder="0" applyProtection="0">
      <alignment horizontal="left" vertical="center" indent="2"/>
    </xf>
    <xf numFmtId="4" fontId="53" fillId="0" borderId="101" applyFill="0" applyBorder="0" applyProtection="0">
      <alignment horizontal="right" vertical="center"/>
    </xf>
    <xf numFmtId="0" fontId="53" fillId="0" borderId="95" applyNumberFormat="0" applyFill="0" applyAlignment="0" applyProtection="0"/>
    <xf numFmtId="49" fontId="53" fillId="0" borderId="81" applyNumberFormat="0" applyFont="0" applyFill="0" applyBorder="0" applyProtection="0">
      <alignment horizontal="left" vertical="center" indent="5"/>
    </xf>
    <xf numFmtId="4" fontId="53" fillId="0" borderId="104" applyFill="0" applyBorder="0" applyProtection="0">
      <alignment horizontal="right" vertical="center"/>
    </xf>
    <xf numFmtId="49" fontId="53" fillId="0" borderId="125" applyNumberFormat="0" applyFont="0" applyFill="0" applyBorder="0" applyProtection="0">
      <alignment horizontal="left" vertical="center" indent="2"/>
    </xf>
    <xf numFmtId="0" fontId="53" fillId="0" borderId="104" applyNumberFormat="0" applyFill="0" applyAlignment="0" applyProtection="0"/>
    <xf numFmtId="49" fontId="56" fillId="0" borderId="104" applyNumberFormat="0" applyFill="0" applyBorder="0" applyProtection="0">
      <alignment horizontal="left" vertical="center"/>
    </xf>
    <xf numFmtId="49" fontId="53" fillId="0" borderId="84" applyNumberFormat="0" applyFont="0" applyFill="0" applyBorder="0" applyProtection="0">
      <alignment horizontal="left" vertical="center" indent="5"/>
    </xf>
    <xf numFmtId="49" fontId="56" fillId="0" borderId="101" applyNumberFormat="0" applyFill="0" applyBorder="0" applyProtection="0">
      <alignment horizontal="left" vertical="center"/>
    </xf>
    <xf numFmtId="49" fontId="53" fillId="0" borderId="140" applyNumberFormat="0" applyFont="0" applyFill="0" applyBorder="0" applyProtection="0">
      <alignment horizontal="left" vertical="center" indent="2"/>
    </xf>
    <xf numFmtId="4" fontId="53" fillId="0" borderId="107" applyFill="0" applyBorder="0" applyProtection="0">
      <alignment horizontal="right" vertical="center"/>
    </xf>
    <xf numFmtId="0" fontId="53" fillId="0" borderId="101" applyNumberFormat="0" applyFill="0" applyAlignment="0" applyProtection="0"/>
    <xf numFmtId="49" fontId="53" fillId="0" borderId="87" applyNumberFormat="0" applyFont="0" applyFill="0" applyBorder="0" applyProtection="0">
      <alignment horizontal="left" vertical="center" indent="5"/>
    </xf>
    <xf numFmtId="49" fontId="56" fillId="0" borderId="110" applyNumberFormat="0" applyFill="0" applyBorder="0" applyProtection="0">
      <alignment horizontal="left" vertical="center"/>
    </xf>
    <xf numFmtId="49" fontId="53" fillId="0" borderId="131" applyNumberFormat="0" applyFont="0" applyFill="0" applyBorder="0" applyProtection="0">
      <alignment horizontal="left" vertical="center" indent="2"/>
    </xf>
    <xf numFmtId="0" fontId="53" fillId="0" borderId="107" applyNumberFormat="0" applyFill="0" applyAlignment="0" applyProtection="0"/>
    <xf numFmtId="49" fontId="53" fillId="0" borderId="89" applyNumberFormat="0" applyFont="0" applyFill="0" applyBorder="0" applyProtection="0">
      <alignment horizontal="left" vertical="center" indent="2"/>
    </xf>
    <xf numFmtId="178" fontId="62" fillId="3" borderId="100" applyBorder="0">
      <alignment horizontal="left" vertical="center" indent="1"/>
    </xf>
    <xf numFmtId="49" fontId="56" fillId="0" borderId="113" applyNumberFormat="0" applyFill="0" applyBorder="0" applyProtection="0">
      <alignment horizontal="left" vertical="center"/>
    </xf>
    <xf numFmtId="49" fontId="53" fillId="0" borderId="92" applyNumberFormat="0" applyFont="0" applyFill="0" applyBorder="0" applyProtection="0">
      <alignment horizontal="left" vertical="center" indent="2"/>
    </xf>
    <xf numFmtId="4" fontId="53" fillId="0" borderId="113" applyFill="0" applyBorder="0" applyProtection="0">
      <alignment horizontal="right" vertical="center"/>
    </xf>
    <xf numFmtId="49" fontId="53" fillId="0" borderId="93" applyNumberFormat="0" applyFont="0" applyFill="0" applyBorder="0" applyProtection="0">
      <alignment horizontal="left" vertical="center" indent="5"/>
    </xf>
    <xf numFmtId="0" fontId="53" fillId="0" borderId="110" applyNumberFormat="0" applyFill="0" applyAlignment="0" applyProtection="0"/>
    <xf numFmtId="49" fontId="53" fillId="0" borderId="143" applyNumberFormat="0" applyFont="0" applyFill="0" applyBorder="0" applyProtection="0">
      <alignment horizontal="left" vertical="center" indent="2"/>
    </xf>
    <xf numFmtId="49" fontId="56" fillId="0" borderId="116" applyNumberFormat="0" applyFill="0" applyBorder="0" applyProtection="0">
      <alignment horizontal="left" vertical="center"/>
    </xf>
    <xf numFmtId="4" fontId="53" fillId="0" borderId="116" applyFill="0" applyBorder="0" applyProtection="0">
      <alignment horizontal="right" vertical="center"/>
    </xf>
    <xf numFmtId="49" fontId="53" fillId="0" borderId="96" applyNumberFormat="0" applyFont="0" applyFill="0" applyBorder="0" applyProtection="0">
      <alignment horizontal="left" vertical="center" indent="5"/>
    </xf>
    <xf numFmtId="0" fontId="53" fillId="0" borderId="113" applyNumberFormat="0" applyFill="0" applyAlignment="0" applyProtection="0"/>
    <xf numFmtId="49" fontId="53" fillId="0" borderId="146" applyNumberFormat="0" applyFont="0" applyFill="0" applyBorder="0" applyProtection="0">
      <alignment horizontal="left" vertical="center" indent="2"/>
    </xf>
    <xf numFmtId="49" fontId="56" fillId="0" borderId="119" applyNumberFormat="0" applyFill="0" applyBorder="0" applyProtection="0">
      <alignment horizontal="left" vertical="center"/>
    </xf>
    <xf numFmtId="4" fontId="53" fillId="0" borderId="119" applyFill="0" applyBorder="0" applyProtection="0">
      <alignment horizontal="right" vertical="center"/>
    </xf>
    <xf numFmtId="49" fontId="53" fillId="0" borderId="99" applyNumberFormat="0" applyFont="0" applyFill="0" applyBorder="0" applyProtection="0">
      <alignment horizontal="left" vertical="center" indent="5"/>
    </xf>
    <xf numFmtId="0" fontId="53" fillId="0" borderId="116" applyNumberFormat="0" applyFill="0" applyAlignment="0" applyProtection="0"/>
    <xf numFmtId="49" fontId="53" fillId="0" borderId="149" applyNumberFormat="0" applyFont="0" applyFill="0" applyBorder="0" applyProtection="0">
      <alignment horizontal="left" vertical="center" indent="2"/>
    </xf>
    <xf numFmtId="49" fontId="56" fillId="0" borderId="122" applyNumberFormat="0" applyFill="0" applyBorder="0" applyProtection="0">
      <alignment horizontal="left" vertical="center"/>
    </xf>
    <xf numFmtId="4" fontId="53" fillId="0" borderId="122" applyFill="0" applyBorder="0" applyProtection="0">
      <alignment horizontal="right" vertical="center"/>
    </xf>
    <xf numFmtId="49" fontId="53" fillId="0" borderId="102" applyNumberFormat="0" applyFont="0" applyFill="0" applyBorder="0" applyProtection="0">
      <alignment horizontal="left" vertical="center" indent="5"/>
    </xf>
    <xf numFmtId="0" fontId="53" fillId="0" borderId="119" applyNumberFormat="0" applyFill="0" applyAlignment="0" applyProtection="0"/>
    <xf numFmtId="49" fontId="53" fillId="0" borderId="152" applyNumberFormat="0" applyFont="0" applyFill="0" applyBorder="0" applyProtection="0">
      <alignment horizontal="left" vertical="center" indent="2"/>
    </xf>
    <xf numFmtId="49" fontId="56" fillId="0" borderId="125" applyNumberFormat="0" applyFill="0" applyBorder="0" applyProtection="0">
      <alignment horizontal="left" vertical="center"/>
    </xf>
    <xf numFmtId="4" fontId="53" fillId="0" borderId="125" applyFill="0" applyBorder="0" applyProtection="0">
      <alignment horizontal="right" vertical="center"/>
    </xf>
    <xf numFmtId="49" fontId="53" fillId="0" borderId="105" applyNumberFormat="0" applyFont="0" applyFill="0" applyBorder="0" applyProtection="0">
      <alignment horizontal="left" vertical="center" indent="5"/>
    </xf>
    <xf numFmtId="0" fontId="53" fillId="0" borderId="122" applyNumberFormat="0" applyFill="0" applyAlignment="0" applyProtection="0"/>
    <xf numFmtId="49" fontId="53" fillId="0" borderId="155" applyNumberFormat="0" applyFont="0" applyFill="0" applyBorder="0" applyProtection="0">
      <alignment horizontal="left" vertical="center" indent="2"/>
    </xf>
    <xf numFmtId="49" fontId="56" fillId="0" borderId="128" applyNumberFormat="0" applyFill="0" applyBorder="0" applyProtection="0">
      <alignment horizontal="left" vertical="center"/>
    </xf>
    <xf numFmtId="4" fontId="53" fillId="0" borderId="128" applyFill="0" applyBorder="0" applyProtection="0">
      <alignment horizontal="right" vertical="center"/>
    </xf>
    <xf numFmtId="49" fontId="53" fillId="0" borderId="108" applyNumberFormat="0" applyFont="0" applyFill="0" applyBorder="0" applyProtection="0">
      <alignment horizontal="left" vertical="center" indent="5"/>
    </xf>
    <xf numFmtId="0" fontId="53" fillId="0" borderId="125" applyNumberFormat="0" applyFill="0" applyAlignment="0" applyProtection="0"/>
    <xf numFmtId="49" fontId="53" fillId="0" borderId="158" applyNumberFormat="0" applyFont="0" applyFill="0" applyBorder="0" applyProtection="0">
      <alignment horizontal="left" vertical="center" indent="2"/>
    </xf>
    <xf numFmtId="49" fontId="56" fillId="0" borderId="131" applyNumberFormat="0" applyFill="0" applyBorder="0" applyProtection="0">
      <alignment horizontal="left" vertical="center"/>
    </xf>
    <xf numFmtId="4" fontId="53" fillId="0" borderId="131" applyFill="0" applyBorder="0" applyProtection="0">
      <alignment horizontal="right" vertical="center"/>
    </xf>
    <xf numFmtId="49" fontId="53" fillId="0" borderId="111" applyNumberFormat="0" applyFont="0" applyFill="0" applyBorder="0" applyProtection="0">
      <alignment horizontal="left" vertical="center" indent="5"/>
    </xf>
    <xf numFmtId="0" fontId="53" fillId="0" borderId="128" applyNumberFormat="0" applyFill="0" applyAlignment="0" applyProtection="0"/>
    <xf numFmtId="49" fontId="56" fillId="0" borderId="134" applyNumberFormat="0" applyFill="0" applyBorder="0" applyProtection="0">
      <alignment horizontal="left" vertical="center"/>
    </xf>
    <xf numFmtId="4" fontId="53" fillId="0" borderId="134" applyFill="0" applyBorder="0" applyProtection="0">
      <alignment horizontal="right" vertical="center"/>
    </xf>
    <xf numFmtId="49" fontId="53" fillId="0" borderId="114" applyNumberFormat="0" applyFont="0" applyFill="0" applyBorder="0" applyProtection="0">
      <alignment horizontal="left" vertical="center" indent="5"/>
    </xf>
    <xf numFmtId="0" fontId="53" fillId="0" borderId="131" applyNumberFormat="0" applyFill="0" applyAlignment="0" applyProtection="0"/>
    <xf numFmtId="49" fontId="53" fillId="0" borderId="161" applyNumberFormat="0" applyFont="0" applyFill="0" applyBorder="0" applyProtection="0">
      <alignment horizontal="left" vertical="center" indent="2"/>
    </xf>
    <xf numFmtId="49" fontId="56" fillId="0" borderId="137" applyNumberFormat="0" applyFill="0" applyBorder="0" applyProtection="0">
      <alignment horizontal="left" vertical="center"/>
    </xf>
    <xf numFmtId="4" fontId="53" fillId="0" borderId="137" applyFill="0" applyBorder="0" applyProtection="0">
      <alignment horizontal="right" vertical="center"/>
    </xf>
    <xf numFmtId="49" fontId="53" fillId="0" borderId="117" applyNumberFormat="0" applyFont="0" applyFill="0" applyBorder="0" applyProtection="0">
      <alignment horizontal="left" vertical="center" indent="5"/>
    </xf>
    <xf numFmtId="0" fontId="53" fillId="0" borderId="134" applyNumberFormat="0" applyFill="0" applyAlignment="0" applyProtection="0"/>
    <xf numFmtId="49" fontId="56" fillId="0" borderId="140" applyNumberFormat="0" applyFill="0" applyBorder="0" applyProtection="0">
      <alignment horizontal="left" vertical="center"/>
    </xf>
    <xf numFmtId="4" fontId="53" fillId="0" borderId="140" applyFill="0" applyBorder="0" applyProtection="0">
      <alignment horizontal="right" vertical="center"/>
    </xf>
    <xf numFmtId="49" fontId="53" fillId="0" borderId="120" applyNumberFormat="0" applyFont="0" applyFill="0" applyBorder="0" applyProtection="0">
      <alignment horizontal="left" vertical="center" indent="5"/>
    </xf>
    <xf numFmtId="0" fontId="53" fillId="0" borderId="137" applyNumberFormat="0" applyFill="0" applyAlignment="0" applyProtection="0"/>
    <xf numFmtId="49" fontId="56" fillId="0" borderId="143" applyNumberFormat="0" applyFill="0" applyBorder="0" applyProtection="0">
      <alignment horizontal="left" vertical="center"/>
    </xf>
    <xf numFmtId="4" fontId="53" fillId="0" borderId="143" applyFill="0" applyBorder="0" applyProtection="0">
      <alignment horizontal="right" vertical="center"/>
    </xf>
    <xf numFmtId="49" fontId="53" fillId="0" borderId="123" applyNumberFormat="0" applyFont="0" applyFill="0" applyBorder="0" applyProtection="0">
      <alignment horizontal="left" vertical="center" indent="5"/>
    </xf>
    <xf numFmtId="0" fontId="53" fillId="0" borderId="140" applyNumberFormat="0" applyFill="0" applyAlignment="0" applyProtection="0"/>
    <xf numFmtId="49" fontId="56" fillId="0" borderId="146" applyNumberFormat="0" applyFill="0" applyBorder="0" applyProtection="0">
      <alignment horizontal="left" vertical="center"/>
    </xf>
    <xf numFmtId="4" fontId="53" fillId="0" borderId="146" applyFill="0" applyBorder="0" applyProtection="0">
      <alignment horizontal="right" vertical="center"/>
    </xf>
    <xf numFmtId="49" fontId="53" fillId="0" borderId="126" applyNumberFormat="0" applyFont="0" applyFill="0" applyBorder="0" applyProtection="0">
      <alignment horizontal="left" vertical="center" indent="5"/>
    </xf>
    <xf numFmtId="0" fontId="53" fillId="0" borderId="143" applyNumberFormat="0" applyFill="0" applyAlignment="0" applyProtection="0"/>
    <xf numFmtId="49" fontId="56" fillId="0" borderId="149" applyNumberFormat="0" applyFill="0" applyBorder="0" applyProtection="0">
      <alignment horizontal="left" vertical="center"/>
    </xf>
    <xf numFmtId="4" fontId="53" fillId="0" borderId="149" applyFill="0" applyBorder="0" applyProtection="0">
      <alignment horizontal="right" vertical="center"/>
    </xf>
    <xf numFmtId="49" fontId="53" fillId="0" borderId="129" applyNumberFormat="0" applyFont="0" applyFill="0" applyBorder="0" applyProtection="0">
      <alignment horizontal="left" vertical="center" indent="5"/>
    </xf>
    <xf numFmtId="0" fontId="53" fillId="0" borderId="146" applyNumberFormat="0" applyFill="0" applyAlignment="0" applyProtection="0"/>
    <xf numFmtId="49" fontId="56" fillId="0" borderId="152" applyNumberFormat="0" applyFill="0" applyBorder="0" applyProtection="0">
      <alignment horizontal="left" vertical="center"/>
    </xf>
    <xf numFmtId="4" fontId="53" fillId="0" borderId="152" applyFill="0" applyBorder="0" applyProtection="0">
      <alignment horizontal="right" vertical="center"/>
    </xf>
    <xf numFmtId="49" fontId="53" fillId="0" borderId="132" applyNumberFormat="0" applyFont="0" applyFill="0" applyBorder="0" applyProtection="0">
      <alignment horizontal="left" vertical="center" indent="5"/>
    </xf>
    <xf numFmtId="0" fontId="53" fillId="0" borderId="149" applyNumberFormat="0" applyFill="0" applyAlignment="0" applyProtection="0"/>
    <xf numFmtId="49" fontId="56" fillId="0" borderId="155" applyNumberFormat="0" applyFill="0" applyBorder="0" applyProtection="0">
      <alignment horizontal="left" vertical="center"/>
    </xf>
    <xf numFmtId="4" fontId="53" fillId="0" borderId="155" applyFill="0" applyBorder="0" applyProtection="0">
      <alignment horizontal="right" vertical="center"/>
    </xf>
    <xf numFmtId="49" fontId="53" fillId="0" borderId="135" applyNumberFormat="0" applyFont="0" applyFill="0" applyBorder="0" applyProtection="0">
      <alignment horizontal="left" vertical="center" indent="5"/>
    </xf>
    <xf numFmtId="0" fontId="53" fillId="0" borderId="152" applyNumberFormat="0" applyFill="0" applyAlignment="0" applyProtection="0"/>
    <xf numFmtId="49" fontId="56" fillId="0" borderId="158" applyNumberFormat="0" applyFill="0" applyBorder="0" applyProtection="0">
      <alignment horizontal="left" vertical="center"/>
    </xf>
    <xf numFmtId="4" fontId="53" fillId="0" borderId="158" applyFill="0" applyBorder="0" applyProtection="0">
      <alignment horizontal="right" vertical="center"/>
    </xf>
    <xf numFmtId="49" fontId="53" fillId="0" borderId="138" applyNumberFormat="0" applyFont="0" applyFill="0" applyBorder="0" applyProtection="0">
      <alignment horizontal="left" vertical="center" indent="5"/>
    </xf>
    <xf numFmtId="0" fontId="53" fillId="0" borderId="155" applyNumberFormat="0" applyFill="0" applyAlignment="0" applyProtection="0"/>
    <xf numFmtId="49" fontId="53" fillId="0" borderId="141" applyNumberFormat="0" applyFont="0" applyFill="0" applyBorder="0" applyProtection="0">
      <alignment horizontal="left" vertical="center" indent="5"/>
    </xf>
    <xf numFmtId="0" fontId="53" fillId="0" borderId="158" applyNumberFormat="0" applyFill="0" applyAlignment="0" applyProtection="0"/>
    <xf numFmtId="49" fontId="53" fillId="0" borderId="144" applyNumberFormat="0" applyFont="0" applyFill="0" applyBorder="0" applyProtection="0">
      <alignment horizontal="left" vertical="center" indent="5"/>
    </xf>
    <xf numFmtId="49" fontId="53" fillId="0" borderId="147" applyNumberFormat="0" applyFont="0" applyFill="0" applyBorder="0" applyProtection="0">
      <alignment horizontal="left" vertical="center" indent="5"/>
    </xf>
    <xf numFmtId="49" fontId="53" fillId="0" borderId="150" applyNumberFormat="0" applyFont="0" applyFill="0" applyBorder="0" applyProtection="0">
      <alignment horizontal="left" vertical="center" indent="5"/>
    </xf>
    <xf numFmtId="49" fontId="53" fillId="0" borderId="153" applyNumberFormat="0" applyFont="0" applyFill="0" applyBorder="0" applyProtection="0">
      <alignment horizontal="left" vertical="center" indent="5"/>
    </xf>
    <xf numFmtId="49" fontId="53" fillId="0" borderId="156" applyNumberFormat="0" applyFont="0" applyFill="0" applyBorder="0" applyProtection="0">
      <alignment horizontal="left" vertical="center" indent="5"/>
    </xf>
    <xf numFmtId="49" fontId="53" fillId="0" borderId="159" applyNumberFormat="0" applyFont="0" applyFill="0" applyBorder="0" applyProtection="0">
      <alignment horizontal="left" vertical="center" indent="5"/>
    </xf>
    <xf numFmtId="49" fontId="53" fillId="0" borderId="162" applyNumberFormat="0" applyFont="0" applyFill="0" applyBorder="0" applyProtection="0">
      <alignment horizontal="left" vertical="center" indent="5"/>
    </xf>
    <xf numFmtId="178" fontId="62" fillId="3" borderId="172" applyBorder="0">
      <alignment horizontal="left" vertical="center" indent="1"/>
    </xf>
    <xf numFmtId="178" fontId="62" fillId="3" borderId="175" applyBorder="0">
      <alignment horizontal="left" vertical="center" indent="1"/>
    </xf>
    <xf numFmtId="178" fontId="62" fillId="3" borderId="178" applyBorder="0">
      <alignment horizontal="left" vertical="center" indent="1"/>
    </xf>
    <xf numFmtId="178" fontId="62" fillId="3" borderId="181" applyBorder="0">
      <alignment horizontal="left" vertical="center" indent="1"/>
    </xf>
    <xf numFmtId="178" fontId="62" fillId="3" borderId="187" applyBorder="0">
      <alignment horizontal="left" vertical="center" indent="1"/>
    </xf>
    <xf numFmtId="178" fontId="62" fillId="3" borderId="193" applyBorder="0">
      <alignment horizontal="left" vertical="center" indent="1"/>
    </xf>
    <xf numFmtId="178" fontId="62" fillId="3" borderId="196" applyBorder="0">
      <alignment horizontal="left" vertical="center" indent="1"/>
    </xf>
    <xf numFmtId="178" fontId="62" fillId="3" borderId="199" applyBorder="0">
      <alignment horizontal="left" vertical="center" indent="1"/>
    </xf>
    <xf numFmtId="178" fontId="62" fillId="3" borderId="202" applyBorder="0">
      <alignment horizontal="left" vertical="center" indent="1"/>
    </xf>
    <xf numFmtId="178" fontId="62" fillId="3" borderId="208" applyBorder="0">
      <alignment horizontal="left" vertical="center" indent="1"/>
    </xf>
    <xf numFmtId="49" fontId="53" fillId="0" borderId="185" applyNumberFormat="0" applyFont="0" applyFill="0" applyBorder="0" applyProtection="0">
      <alignment horizontal="left" vertical="center" indent="2"/>
    </xf>
    <xf numFmtId="43" fontId="1" fillId="0" borderId="0" applyFont="0" applyFill="0" applyBorder="0" applyAlignment="0" applyProtection="0"/>
    <xf numFmtId="0" fontId="53" fillId="0" borderId="203" applyNumberFormat="0" applyFill="0" applyAlignment="0" applyProtection="0"/>
    <xf numFmtId="49" fontId="53" fillId="0" borderId="189" applyNumberFormat="0" applyFont="0" applyFill="0" applyBorder="0" applyProtection="0">
      <alignment horizontal="left" vertical="center" indent="5"/>
    </xf>
    <xf numFmtId="4" fontId="53" fillId="0" borderId="209" applyFill="0" applyBorder="0" applyProtection="0">
      <alignment horizontal="right" vertical="center"/>
    </xf>
    <xf numFmtId="49" fontId="53" fillId="0" borderId="204" applyNumberFormat="0" applyFont="0" applyFill="0" applyBorder="0" applyProtection="0">
      <alignment horizontal="left" vertical="center" indent="5"/>
    </xf>
    <xf numFmtId="49" fontId="53" fillId="0" borderId="203" applyNumberFormat="0" applyFont="0" applyFill="0" applyBorder="0" applyProtection="0">
      <alignment horizontal="left" vertical="center" indent="2"/>
    </xf>
    <xf numFmtId="49" fontId="53" fillId="0" borderId="206" applyNumberFormat="0" applyFont="0" applyFill="0" applyBorder="0" applyProtection="0">
      <alignment horizontal="left" vertical="center" indent="2"/>
    </xf>
    <xf numFmtId="178" fontId="62" fillId="3" borderId="166" applyBorder="0">
      <alignment horizontal="left" vertical="center" indent="1"/>
    </xf>
    <xf numFmtId="49" fontId="56" fillId="0" borderId="185" applyNumberFormat="0" applyFill="0" applyBorder="0" applyProtection="0">
      <alignment horizontal="left" vertical="center"/>
    </xf>
    <xf numFmtId="4" fontId="53" fillId="0" borderId="185" applyFill="0" applyBorder="0" applyProtection="0">
      <alignment horizontal="right" vertical="center"/>
    </xf>
    <xf numFmtId="0" fontId="53" fillId="0" borderId="173" applyNumberFormat="0" applyFill="0" applyAlignment="0" applyProtection="0"/>
    <xf numFmtId="49" fontId="56" fillId="0" borderId="173" applyNumberFormat="0" applyFill="0" applyBorder="0" applyProtection="0">
      <alignment horizontal="left" vertical="center"/>
    </xf>
    <xf numFmtId="4" fontId="53" fillId="0" borderId="173" applyFill="0" applyBorder="0" applyProtection="0">
      <alignment horizontal="right" vertical="center"/>
    </xf>
    <xf numFmtId="0" fontId="53" fillId="0" borderId="167" applyNumberFormat="0" applyFill="0" applyAlignment="0" applyProtection="0"/>
    <xf numFmtId="49" fontId="56" fillId="0" borderId="167" applyNumberFormat="0" applyFill="0" applyBorder="0" applyProtection="0">
      <alignment horizontal="left" vertical="center"/>
    </xf>
    <xf numFmtId="4" fontId="53" fillId="0" borderId="167" applyFill="0" applyBorder="0" applyProtection="0">
      <alignment horizontal="right" vertical="center"/>
    </xf>
    <xf numFmtId="0" fontId="53" fillId="0" borderId="200" applyNumberFormat="0" applyFill="0" applyAlignment="0" applyProtection="0"/>
    <xf numFmtId="4" fontId="53" fillId="0" borderId="179" applyFill="0" applyBorder="0" applyProtection="0">
      <alignment horizontal="righ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56" fillId="0" borderId="179" applyNumberFormat="0" applyFill="0" applyBorder="0" applyProtection="0">
      <alignment horizontal="left" vertical="center"/>
    </xf>
    <xf numFmtId="0" fontId="53" fillId="0" borderId="179" applyNumberFormat="0" applyFill="0" applyAlignment="0" applyProtection="0"/>
    <xf numFmtId="4" fontId="53" fillId="0" borderId="164" applyFill="0" applyBorder="0" applyProtection="0">
      <alignment horizontal="right" vertical="center"/>
    </xf>
    <xf numFmtId="49" fontId="56" fillId="0" borderId="164" applyNumberFormat="0" applyFill="0" applyBorder="0" applyProtection="0">
      <alignment horizontal="left" vertical="center"/>
    </xf>
    <xf numFmtId="0" fontId="53" fillId="0" borderId="164" applyNumberFormat="0" applyFill="0" applyAlignment="0" applyProtection="0"/>
    <xf numFmtId="4" fontId="53" fillId="0" borderId="170" applyFill="0" applyBorder="0" applyProtection="0">
      <alignment horizontal="right" vertical="center"/>
    </xf>
    <xf numFmtId="49" fontId="56" fillId="0" borderId="170" applyNumberFormat="0" applyFill="0" applyBorder="0" applyProtection="0">
      <alignment horizontal="left" vertical="center"/>
    </xf>
    <xf numFmtId="0" fontId="53" fillId="0" borderId="170" applyNumberFormat="0" applyFill="0" applyAlignment="0" applyProtection="0"/>
    <xf numFmtId="4" fontId="53" fillId="0" borderId="176" applyFill="0" applyBorder="0" applyProtection="0">
      <alignment horizontal="right" vertical="center"/>
    </xf>
    <xf numFmtId="49" fontId="56" fillId="0" borderId="176" applyNumberFormat="0" applyFill="0" applyBorder="0" applyProtection="0">
      <alignment horizontal="left" vertical="center"/>
    </xf>
    <xf numFmtId="0" fontId="53" fillId="0" borderId="176" applyNumberFormat="0" applyFill="0" applyAlignment="0" applyProtection="0"/>
    <xf numFmtId="49" fontId="56" fillId="0" borderId="200" applyNumberFormat="0" applyFill="0" applyBorder="0" applyProtection="0">
      <alignment horizontal="left" vertical="center"/>
    </xf>
    <xf numFmtId="4" fontId="53" fillId="0" borderId="200" applyFill="0" applyBorder="0" applyProtection="0">
      <alignment horizontal="right" vertical="center"/>
    </xf>
    <xf numFmtId="9" fontId="1" fillId="0" borderId="0" applyFont="0" applyFill="0" applyBorder="0" applyAlignment="0" applyProtection="0"/>
    <xf numFmtId="9" fontId="1" fillId="0" borderId="0" applyFont="0" applyFill="0" applyBorder="0" applyAlignment="0" applyProtection="0"/>
    <xf numFmtId="49" fontId="53" fillId="0" borderId="210" applyNumberFormat="0" applyFont="0" applyFill="0" applyBorder="0" applyProtection="0">
      <alignment horizontal="left" vertical="center" indent="5"/>
    </xf>
    <xf numFmtId="49" fontId="53" fillId="0" borderId="182" applyNumberFormat="0" applyFont="0" applyFill="0" applyBorder="0" applyProtection="0">
      <alignment horizontal="left" vertical="center" indent="2"/>
    </xf>
    <xf numFmtId="4" fontId="53" fillId="0" borderId="206" applyFill="0" applyBorder="0" applyProtection="0">
      <alignment horizontal="right" vertical="center"/>
    </xf>
    <xf numFmtId="0" fontId="1" fillId="0" borderId="0"/>
    <xf numFmtId="0" fontId="1" fillId="0" borderId="0"/>
    <xf numFmtId="0" fontId="1" fillId="0" borderId="0"/>
    <xf numFmtId="0" fontId="1" fillId="0" borderId="0"/>
    <xf numFmtId="49" fontId="53" fillId="0" borderId="183" applyNumberFormat="0" applyFont="0" applyFill="0" applyBorder="0" applyProtection="0">
      <alignment horizontal="left" vertical="center" indent="5"/>
    </xf>
    <xf numFmtId="49" fontId="53" fillId="0" borderId="173" applyNumberFormat="0" applyFont="0" applyFill="0" applyBorder="0" applyProtection="0">
      <alignment horizontal="left" vertical="center" indent="2"/>
    </xf>
    <xf numFmtId="49" fontId="53" fillId="0" borderId="167" applyNumberFormat="0" applyFont="0" applyFill="0" applyBorder="0" applyProtection="0">
      <alignment horizontal="left" vertical="center" indent="2"/>
    </xf>
    <xf numFmtId="4" fontId="53" fillId="0" borderId="188" applyFill="0" applyBorder="0" applyProtection="0">
      <alignment horizontal="right" vertical="center"/>
    </xf>
    <xf numFmtId="49" fontId="53" fillId="0" borderId="168" applyNumberFormat="0" applyFont="0" applyFill="0" applyBorder="0" applyProtection="0">
      <alignment horizontal="left" vertical="center" indent="5"/>
    </xf>
    <xf numFmtId="0" fontId="53" fillId="0" borderId="182" applyNumberFormat="0" applyFill="0" applyAlignment="0" applyProtection="0"/>
    <xf numFmtId="49" fontId="53" fillId="0" borderId="188" applyNumberFormat="0" applyFont="0" applyFill="0" applyBorder="0" applyProtection="0">
      <alignment horizontal="left" vertical="center" indent="2"/>
    </xf>
    <xf numFmtId="178" fontId="62" fillId="3" borderId="169" applyBorder="0">
      <alignment horizontal="left" vertical="center" indent="1"/>
    </xf>
    <xf numFmtId="0" fontId="53" fillId="0" borderId="185" applyNumberFormat="0" applyFill="0" applyAlignment="0" applyProtection="0"/>
    <xf numFmtId="49" fontId="56" fillId="0" borderId="182" applyNumberFormat="0" applyFill="0" applyBorder="0" applyProtection="0">
      <alignment horizontal="left" vertical="center"/>
    </xf>
    <xf numFmtId="49" fontId="53" fillId="0" borderId="209" applyNumberFormat="0" applyFont="0" applyFill="0" applyBorder="0" applyProtection="0">
      <alignment horizontal="left" vertical="center" indent="2"/>
    </xf>
    <xf numFmtId="49" fontId="53" fillId="0" borderId="179" applyNumberFormat="0" applyFont="0" applyFill="0" applyBorder="0" applyProtection="0">
      <alignment horizontal="left" vertical="center" indent="2"/>
    </xf>
    <xf numFmtId="49" fontId="53" fillId="0" borderId="176" applyNumberFormat="0" applyFont="0" applyFill="0" applyBorder="0" applyProtection="0">
      <alignment horizontal="left" vertical="center" indent="2"/>
    </xf>
    <xf numFmtId="49" fontId="53" fillId="0" borderId="170" applyNumberFormat="0" applyFont="0" applyFill="0" applyBorder="0" applyProtection="0">
      <alignment horizontal="left" vertical="center" indent="2"/>
    </xf>
    <xf numFmtId="49" fontId="53" fillId="0" borderId="164" applyNumberFormat="0" applyFont="0" applyFill="0" applyBorder="0" applyProtection="0">
      <alignment horizontal="left" vertical="center" indent="2"/>
    </xf>
    <xf numFmtId="4" fontId="53" fillId="0" borderId="182" applyFill="0" applyBorder="0" applyProtection="0">
      <alignment horizontal="right" vertical="center"/>
    </xf>
    <xf numFmtId="49" fontId="53" fillId="0" borderId="165" applyNumberFormat="0" applyFont="0" applyFill="0" applyBorder="0" applyProtection="0">
      <alignment horizontal="left" vertical="center" indent="5"/>
    </xf>
    <xf numFmtId="49" fontId="56" fillId="0" borderId="191" applyNumberFormat="0" applyFill="0" applyBorder="0" applyProtection="0">
      <alignment horizontal="left" vertical="center"/>
    </xf>
    <xf numFmtId="49" fontId="56" fillId="0" borderId="188" applyNumberFormat="0" applyFill="0" applyBorder="0" applyProtection="0">
      <alignment horizontal="left" vertical="center"/>
    </xf>
    <xf numFmtId="4" fontId="53" fillId="0" borderId="191" applyFill="0" applyBorder="0" applyProtection="0">
      <alignment horizontal="right" vertical="center"/>
    </xf>
    <xf numFmtId="49" fontId="53" fillId="0" borderId="171" applyNumberFormat="0" applyFont="0" applyFill="0" applyBorder="0" applyProtection="0">
      <alignment horizontal="left" vertical="center" indent="5"/>
    </xf>
    <xf numFmtId="0" fontId="53" fillId="0" borderId="188" applyNumberFormat="0" applyFill="0" applyAlignment="0" applyProtection="0"/>
    <xf numFmtId="49" fontId="53" fillId="0" borderId="191" applyNumberFormat="0" applyFont="0" applyFill="0" applyBorder="0" applyProtection="0">
      <alignment horizontal="left" vertical="center" indent="2"/>
    </xf>
    <xf numFmtId="49" fontId="56" fillId="0" borderId="194" applyNumberFormat="0" applyFill="0" applyBorder="0" applyProtection="0">
      <alignment horizontal="left" vertical="center"/>
    </xf>
    <xf numFmtId="4" fontId="53" fillId="0" borderId="194" applyFill="0" applyBorder="0" applyProtection="0">
      <alignment horizontal="right" vertical="center"/>
    </xf>
    <xf numFmtId="49" fontId="53" fillId="0" borderId="174" applyNumberFormat="0" applyFont="0" applyFill="0" applyBorder="0" applyProtection="0">
      <alignment horizontal="left" vertical="center" indent="5"/>
    </xf>
    <xf numFmtId="0" fontId="53" fillId="0" borderId="191" applyNumberFormat="0" applyFill="0" applyAlignment="0" applyProtection="0"/>
    <xf numFmtId="49" fontId="53" fillId="0" borderId="194" applyNumberFormat="0" applyFont="0" applyFill="0" applyBorder="0" applyProtection="0">
      <alignment horizontal="left" vertical="center" indent="2"/>
    </xf>
    <xf numFmtId="49" fontId="56" fillId="0" borderId="197" applyNumberFormat="0" applyFill="0" applyBorder="0" applyProtection="0">
      <alignment horizontal="left" vertical="center"/>
    </xf>
    <xf numFmtId="4" fontId="53" fillId="0" borderId="197" applyFill="0" applyBorder="0" applyProtection="0">
      <alignment horizontal="right" vertical="center"/>
    </xf>
    <xf numFmtId="49" fontId="53" fillId="0" borderId="177" applyNumberFormat="0" applyFont="0" applyFill="0" applyBorder="0" applyProtection="0">
      <alignment horizontal="left" vertical="center" indent="5"/>
    </xf>
    <xf numFmtId="49" fontId="53" fillId="0" borderId="197" applyNumberFormat="0" applyFont="0" applyFill="0" applyBorder="0" applyProtection="0">
      <alignment horizontal="left" vertical="center" indent="2"/>
    </xf>
    <xf numFmtId="178" fontId="62" fillId="3" borderId="184" applyBorder="0">
      <alignment horizontal="left" vertical="center" indent="1"/>
    </xf>
    <xf numFmtId="0" fontId="53" fillId="0" borderId="197" applyNumberFormat="0" applyFill="0" applyAlignment="0" applyProtection="0"/>
    <xf numFmtId="49" fontId="53" fillId="0" borderId="180" applyNumberFormat="0" applyFont="0" applyFill="0" applyBorder="0" applyProtection="0">
      <alignment horizontal="left" vertical="center" indent="5"/>
    </xf>
    <xf numFmtId="0" fontId="53" fillId="0" borderId="194" applyNumberFormat="0" applyFill="0" applyAlignment="0" applyProtection="0"/>
    <xf numFmtId="49" fontId="53" fillId="0" borderId="200" applyNumberFormat="0" applyFont="0" applyFill="0" applyBorder="0" applyProtection="0">
      <alignment horizontal="left" vertical="center" indent="2"/>
    </xf>
    <xf numFmtId="49" fontId="56" fillId="0" borderId="206" applyNumberFormat="0" applyFill="0" applyBorder="0" applyProtection="0">
      <alignment horizontal="left" vertical="center"/>
    </xf>
    <xf numFmtId="178" fontId="62" fillId="3" borderId="190" applyBorder="0">
      <alignment horizontal="left" vertical="center" indent="1"/>
    </xf>
    <xf numFmtId="0" fontId="53" fillId="0" borderId="206" applyNumberFormat="0" applyFill="0" applyAlignment="0" applyProtection="0"/>
    <xf numFmtId="49" fontId="56" fillId="0" borderId="203" applyNumberFormat="0" applyFill="0" applyBorder="0" applyProtection="0">
      <alignment horizontal="left" vertical="center"/>
    </xf>
    <xf numFmtId="4" fontId="53" fillId="0" borderId="203" applyFill="0" applyBorder="0" applyProtection="0">
      <alignment horizontal="right" vertical="center"/>
    </xf>
    <xf numFmtId="49" fontId="53" fillId="0" borderId="186" applyNumberFormat="0" applyFont="0" applyFill="0" applyBorder="0" applyProtection="0">
      <alignment horizontal="left" vertical="center" indent="5"/>
    </xf>
    <xf numFmtId="49" fontId="56" fillId="0" borderId="209" applyNumberFormat="0" applyFill="0" applyBorder="0" applyProtection="0">
      <alignment horizontal="left" vertical="center"/>
    </xf>
    <xf numFmtId="49" fontId="53" fillId="0" borderId="192" applyNumberFormat="0" applyFont="0" applyFill="0" applyBorder="0" applyProtection="0">
      <alignment horizontal="left" vertical="center" indent="5"/>
    </xf>
    <xf numFmtId="0" fontId="53" fillId="0" borderId="209" applyNumberFormat="0" applyFill="0" applyAlignment="0" applyProtection="0"/>
    <xf numFmtId="49" fontId="53" fillId="0" borderId="195" applyNumberFormat="0" applyFont="0" applyFill="0" applyBorder="0" applyProtection="0">
      <alignment horizontal="left" vertical="center" indent="5"/>
    </xf>
    <xf numFmtId="49" fontId="53" fillId="0" borderId="198" applyNumberFormat="0" applyFont="0" applyFill="0" applyBorder="0" applyProtection="0">
      <alignment horizontal="left" vertical="center" indent="5"/>
    </xf>
    <xf numFmtId="178" fontId="62" fillId="3" borderId="205" applyBorder="0">
      <alignment horizontal="left" vertical="center" indent="1"/>
    </xf>
    <xf numFmtId="49" fontId="53" fillId="0" borderId="201" applyNumberFormat="0" applyFont="0" applyFill="0" applyBorder="0" applyProtection="0">
      <alignment horizontal="left" vertical="center" indent="5"/>
    </xf>
    <xf numFmtId="178" fontId="62" fillId="3" borderId="211" applyBorder="0">
      <alignment horizontal="left" vertical="center" indent="1"/>
    </xf>
    <xf numFmtId="49" fontId="53" fillId="0" borderId="207" applyNumberFormat="0" applyFont="0" applyFill="0" applyBorder="0" applyProtection="0">
      <alignment horizontal="left" vertical="center" indent="5"/>
    </xf>
  </cellStyleXfs>
  <cellXfs count="303">
    <xf numFmtId="0" fontId="0" fillId="0" borderId="0" xfId="0"/>
    <xf numFmtId="0" fontId="8" fillId="0" borderId="0" xfId="0" applyFont="1" applyProtection="1">
      <protection hidden="1"/>
    </xf>
    <xf numFmtId="0" fontId="10" fillId="0" borderId="0" xfId="2" applyFont="1" applyFill="1" applyBorder="1" applyProtection="1">
      <protection hidden="1"/>
    </xf>
    <xf numFmtId="0" fontId="16" fillId="0" borderId="0" xfId="0" applyFont="1"/>
    <xf numFmtId="0" fontId="16" fillId="0" borderId="1" xfId="0" applyFont="1" applyBorder="1"/>
    <xf numFmtId="0" fontId="13" fillId="0" borderId="0" xfId="0" applyFont="1"/>
    <xf numFmtId="9" fontId="13" fillId="0" borderId="0" xfId="0" applyNumberFormat="1" applyFont="1"/>
    <xf numFmtId="0" fontId="8" fillId="0" borderId="0" xfId="0" applyFont="1" applyFill="1" applyBorder="1" applyAlignment="1" applyProtection="1">
      <alignment vertical="center"/>
    </xf>
    <xf numFmtId="0" fontId="8" fillId="0" borderId="0" xfId="0" applyFont="1"/>
    <xf numFmtId="0" fontId="8" fillId="0" borderId="0" xfId="2" applyFont="1" applyFill="1" applyBorder="1" applyProtection="1">
      <protection hidden="1"/>
    </xf>
    <xf numFmtId="0" fontId="8" fillId="0" borderId="0" xfId="0" applyFont="1" applyFill="1"/>
    <xf numFmtId="0" fontId="26" fillId="4" borderId="0" xfId="0" applyFont="1" applyFill="1"/>
    <xf numFmtId="0" fontId="20" fillId="0" borderId="0" xfId="0" applyFont="1" applyBorder="1"/>
    <xf numFmtId="0" fontId="8" fillId="0" borderId="0" xfId="0" applyFont="1" applyBorder="1"/>
    <xf numFmtId="0" fontId="5" fillId="0" borderId="0" xfId="0" applyFont="1" applyBorder="1"/>
    <xf numFmtId="0" fontId="26" fillId="4" borderId="0" xfId="0" applyFont="1" applyFill="1" applyBorder="1"/>
    <xf numFmtId="0" fontId="13" fillId="6" borderId="0" xfId="0" applyFont="1" applyFill="1"/>
    <xf numFmtId="0" fontId="9" fillId="7" borderId="6" xfId="2" applyFont="1" applyFill="1" applyBorder="1" applyAlignment="1" applyProtection="1">
      <alignment horizontal="center" vertical="center"/>
      <protection locked="0"/>
    </xf>
    <xf numFmtId="0" fontId="8" fillId="5" borderId="6" xfId="0" applyFont="1" applyFill="1" applyBorder="1" applyAlignment="1" applyProtection="1">
      <alignment horizontal="center" vertical="center"/>
      <protection locked="0"/>
    </xf>
    <xf numFmtId="0" fontId="9" fillId="5" borderId="0" xfId="2" applyFont="1" applyFill="1" applyBorder="1" applyAlignment="1" applyProtection="1">
      <alignment horizontal="center" vertical="center"/>
      <protection locked="0"/>
    </xf>
    <xf numFmtId="0" fontId="8" fillId="5" borderId="0" xfId="0" applyFont="1" applyFill="1" applyBorder="1" applyAlignment="1" applyProtection="1">
      <alignment vertical="center"/>
    </xf>
    <xf numFmtId="0" fontId="8" fillId="0" borderId="0" xfId="0" applyFont="1" applyAlignment="1"/>
    <xf numFmtId="0" fontId="8" fillId="0" borderId="0" xfId="3" applyFont="1" applyFill="1" applyBorder="1" applyAlignment="1" applyProtection="1">
      <alignment vertical="top" wrapText="1"/>
      <protection hidden="1"/>
    </xf>
    <xf numFmtId="0" fontId="20" fillId="0" borderId="0" xfId="2" applyFont="1" applyFill="1" applyAlignment="1" applyProtection="1">
      <alignment vertical="center"/>
    </xf>
    <xf numFmtId="0" fontId="20" fillId="0" borderId="0" xfId="0" applyFont="1" applyFill="1" applyBorder="1" applyProtection="1"/>
    <xf numFmtId="0" fontId="12" fillId="0" borderId="0" xfId="0" applyFont="1" applyFill="1" applyBorder="1" applyAlignment="1" applyProtection="1"/>
    <xf numFmtId="0" fontId="8" fillId="0" borderId="0" xfId="0" applyFont="1" applyFill="1" applyBorder="1" applyAlignment="1" applyProtection="1">
      <alignment horizontal="right" vertical="center"/>
    </xf>
    <xf numFmtId="0" fontId="12" fillId="5" borderId="0" xfId="0" applyFont="1" applyFill="1" applyAlignment="1" applyProtection="1"/>
    <xf numFmtId="0" fontId="6" fillId="0" borderId="0" xfId="0" applyFont="1" applyFill="1" applyBorder="1" applyProtection="1"/>
    <xf numFmtId="0" fontId="6" fillId="0" borderId="0" xfId="0" applyFont="1" applyProtection="1"/>
    <xf numFmtId="0" fontId="6" fillId="2" borderId="0" xfId="0" applyFont="1" applyFill="1" applyProtection="1"/>
    <xf numFmtId="0" fontId="6" fillId="5" borderId="0" xfId="0" applyFont="1" applyFill="1" applyProtection="1"/>
    <xf numFmtId="0" fontId="30" fillId="4" borderId="0" xfId="0" applyFont="1" applyFill="1" applyBorder="1" applyAlignment="1" applyProtection="1">
      <alignment vertical="center"/>
    </xf>
    <xf numFmtId="0" fontId="5" fillId="5" borderId="0" xfId="0" applyFont="1" applyFill="1" applyBorder="1" applyProtection="1"/>
    <xf numFmtId="0" fontId="5" fillId="0" borderId="0" xfId="0" applyFont="1" applyFill="1" applyBorder="1" applyProtection="1"/>
    <xf numFmtId="0" fontId="6" fillId="5" borderId="0" xfId="0" applyFont="1" applyFill="1" applyBorder="1" applyAlignment="1" applyProtection="1">
      <alignment vertical="center"/>
    </xf>
    <xf numFmtId="0" fontId="8" fillId="0" borderId="0" xfId="0" applyFont="1" applyAlignment="1" applyProtection="1">
      <alignment vertical="center"/>
    </xf>
    <xf numFmtId="0" fontId="9" fillId="5"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1" fillId="2" borderId="0" xfId="0" applyFont="1" applyFill="1" applyBorder="1" applyAlignment="1" applyProtection="1">
      <alignment vertical="center"/>
    </xf>
    <xf numFmtId="0" fontId="18" fillId="2" borderId="0" xfId="0" applyFont="1" applyFill="1" applyBorder="1" applyAlignment="1" applyProtection="1">
      <alignment vertical="center"/>
    </xf>
    <xf numFmtId="166" fontId="9" fillId="5" borderId="0" xfId="0" applyNumberFormat="1" applyFont="1" applyFill="1" applyBorder="1" applyAlignment="1" applyProtection="1">
      <alignment horizontal="center" vertical="center"/>
    </xf>
    <xf numFmtId="166" fontId="11" fillId="0" borderId="0" xfId="0" applyNumberFormat="1" applyFont="1" applyFill="1" applyBorder="1" applyAlignment="1" applyProtection="1">
      <alignment horizontal="center" vertical="center"/>
    </xf>
    <xf numFmtId="167" fontId="9" fillId="5" borderId="0" xfId="0" applyNumberFormat="1" applyFont="1" applyFill="1" applyBorder="1" applyAlignment="1" applyProtection="1">
      <alignment horizontal="center" vertical="center"/>
    </xf>
    <xf numFmtId="167" fontId="11" fillId="0" borderId="0" xfId="0" applyNumberFormat="1" applyFont="1" applyFill="1" applyBorder="1" applyAlignment="1" applyProtection="1">
      <alignment horizontal="center" vertical="center"/>
    </xf>
    <xf numFmtId="0" fontId="14" fillId="5" borderId="0" xfId="0" applyFont="1" applyFill="1" applyBorder="1" applyAlignment="1" applyProtection="1">
      <alignment vertical="center"/>
    </xf>
    <xf numFmtId="0" fontId="8" fillId="5"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8" fillId="0" borderId="0" xfId="0" applyFont="1" applyAlignment="1" applyProtection="1">
      <alignment vertical="center" wrapText="1"/>
    </xf>
    <xf numFmtId="0" fontId="8" fillId="5" borderId="0" xfId="0" applyFont="1" applyFill="1" applyAlignment="1" applyProtection="1">
      <alignment vertical="center"/>
    </xf>
    <xf numFmtId="0" fontId="3" fillId="2" borderId="0" xfId="0" applyFont="1" applyFill="1" applyAlignment="1" applyProtection="1">
      <alignment vertical="center"/>
    </xf>
    <xf numFmtId="0" fontId="27" fillId="4" borderId="0" xfId="0" applyFont="1" applyFill="1" applyBorder="1" applyAlignment="1" applyProtection="1">
      <alignment vertical="center"/>
    </xf>
    <xf numFmtId="0" fontId="6" fillId="5" borderId="0" xfId="0" applyFont="1" applyFill="1" applyAlignment="1" applyProtection="1">
      <alignment vertical="center"/>
    </xf>
    <xf numFmtId="0" fontId="6" fillId="0" borderId="0" xfId="0" applyFont="1" applyFill="1" applyBorder="1" applyAlignment="1" applyProtection="1">
      <alignment vertical="center"/>
    </xf>
    <xf numFmtId="0" fontId="6" fillId="0" borderId="0" xfId="0" applyFont="1" applyAlignment="1" applyProtection="1">
      <alignment vertical="center"/>
    </xf>
    <xf numFmtId="0" fontId="8" fillId="3" borderId="5" xfId="0" applyFont="1" applyFill="1" applyBorder="1" applyAlignment="1" applyProtection="1">
      <alignment vertical="center"/>
    </xf>
    <xf numFmtId="0" fontId="24" fillId="4" borderId="0" xfId="0" applyFont="1" applyFill="1" applyBorder="1" applyAlignment="1" applyProtection="1">
      <alignment horizontal="right" vertical="center"/>
    </xf>
    <xf numFmtId="0" fontId="7" fillId="2" borderId="0" xfId="0" applyFont="1" applyFill="1" applyBorder="1" applyAlignment="1" applyProtection="1">
      <alignment horizontal="center" vertical="center"/>
    </xf>
    <xf numFmtId="165" fontId="7" fillId="2" borderId="0" xfId="0" applyNumberFormat="1" applyFont="1" applyFill="1" applyBorder="1" applyAlignment="1" applyProtection="1">
      <alignment horizontal="center" vertical="center"/>
    </xf>
    <xf numFmtId="0" fontId="6" fillId="5" borderId="0" xfId="0" applyFont="1" applyFill="1" applyAlignment="1" applyProtection="1">
      <alignment vertical="top"/>
    </xf>
    <xf numFmtId="0" fontId="6" fillId="0" borderId="0" xfId="0" applyFont="1" applyFill="1" applyBorder="1" applyAlignment="1" applyProtection="1">
      <alignment vertical="top"/>
    </xf>
    <xf numFmtId="0" fontId="6" fillId="0" borderId="0" xfId="0" applyFont="1" applyAlignment="1" applyProtection="1">
      <alignment vertical="top"/>
    </xf>
    <xf numFmtId="0" fontId="6" fillId="0" borderId="0" xfId="0" applyFont="1" applyAlignment="1" applyProtection="1">
      <alignment horizontal="left" vertical="center"/>
    </xf>
    <xf numFmtId="0" fontId="8" fillId="0" borderId="0" xfId="0" applyFont="1" applyFill="1" applyProtection="1"/>
    <xf numFmtId="0" fontId="8" fillId="0" borderId="0" xfId="0" applyFont="1" applyProtection="1"/>
    <xf numFmtId="0" fontId="24" fillId="0" borderId="0" xfId="0" applyFont="1" applyFill="1" applyProtection="1"/>
    <xf numFmtId="0" fontId="8" fillId="6" borderId="13" xfId="0" applyFont="1" applyFill="1" applyBorder="1" applyProtection="1"/>
    <xf numFmtId="2" fontId="8" fillId="9" borderId="14" xfId="0" applyNumberFormat="1" applyFont="1" applyFill="1" applyBorder="1" applyProtection="1"/>
    <xf numFmtId="0" fontId="8" fillId="9" borderId="14" xfId="0" applyFont="1" applyFill="1" applyBorder="1" applyProtection="1"/>
    <xf numFmtId="0" fontId="8" fillId="6" borderId="9" xfId="0" applyFont="1" applyFill="1" applyBorder="1" applyProtection="1"/>
    <xf numFmtId="0" fontId="8" fillId="9" borderId="3" xfId="0" applyFont="1" applyFill="1" applyBorder="1" applyProtection="1"/>
    <xf numFmtId="0" fontId="8" fillId="0" borderId="0" xfId="0" applyFont="1" applyFill="1" applyAlignment="1"/>
    <xf numFmtId="0" fontId="24" fillId="4" borderId="16" xfId="0" applyFont="1" applyFill="1" applyBorder="1" applyAlignment="1" applyProtection="1">
      <alignment wrapText="1"/>
    </xf>
    <xf numFmtId="0" fontId="8" fillId="2" borderId="0" xfId="0" applyFont="1" applyFill="1" applyBorder="1" applyAlignment="1" applyProtection="1">
      <alignment horizontal="left" vertical="center"/>
    </xf>
    <xf numFmtId="0" fontId="3" fillId="3" borderId="4" xfId="0" applyFont="1" applyFill="1" applyBorder="1" applyAlignment="1" applyProtection="1">
      <alignment vertical="center"/>
    </xf>
    <xf numFmtId="0" fontId="3" fillId="3" borderId="4" xfId="0" applyFont="1" applyFill="1" applyBorder="1" applyAlignment="1" applyProtection="1">
      <alignment horizontal="left" vertical="center"/>
    </xf>
    <xf numFmtId="0" fontId="32" fillId="0" borderId="0" xfId="0" applyFont="1"/>
    <xf numFmtId="0" fontId="8" fillId="0" borderId="0" xfId="0" applyFont="1" applyAlignment="1">
      <alignment wrapText="1"/>
    </xf>
    <xf numFmtId="0" fontId="23" fillId="0" borderId="0" xfId="0" applyFont="1" applyAlignment="1"/>
    <xf numFmtId="0" fontId="8" fillId="5" borderId="0" xfId="0" applyFont="1" applyFill="1" applyAlignment="1" applyProtection="1">
      <alignment horizontal="left" vertical="top"/>
    </xf>
    <xf numFmtId="0" fontId="8" fillId="7" borderId="14" xfId="0" applyFont="1" applyFill="1" applyBorder="1" applyProtection="1">
      <protection locked="0"/>
    </xf>
    <xf numFmtId="2" fontId="8" fillId="7" borderId="14" xfId="0" applyNumberFormat="1" applyFont="1" applyFill="1" applyBorder="1" applyAlignment="1" applyProtection="1">
      <alignment horizontal="center"/>
      <protection locked="0"/>
    </xf>
    <xf numFmtId="0" fontId="8" fillId="7" borderId="3" xfId="0" applyFont="1" applyFill="1" applyBorder="1" applyProtection="1">
      <protection locked="0"/>
    </xf>
    <xf numFmtId="2" fontId="8" fillId="7" borderId="3" xfId="0" applyNumberFormat="1" applyFont="1" applyFill="1" applyBorder="1" applyAlignment="1" applyProtection="1">
      <alignment horizontal="center"/>
      <protection locked="0"/>
    </xf>
    <xf numFmtId="0" fontId="7" fillId="0" borderId="0" xfId="0" applyFont="1"/>
    <xf numFmtId="0" fontId="8" fillId="9" borderId="5" xfId="0" applyFont="1" applyFill="1" applyBorder="1" applyProtection="1"/>
    <xf numFmtId="0" fontId="8" fillId="9" borderId="4" xfId="0" applyFont="1" applyFill="1" applyBorder="1" applyProtection="1"/>
    <xf numFmtId="3" fontId="8" fillId="8" borderId="14" xfId="0" applyNumberFormat="1" applyFont="1" applyFill="1" applyBorder="1" applyAlignment="1" applyProtection="1">
      <alignment horizontal="center"/>
      <protection locked="0"/>
    </xf>
    <xf numFmtId="3" fontId="8" fillId="8" borderId="3" xfId="0" applyNumberFormat="1" applyFont="1" applyFill="1" applyBorder="1" applyAlignment="1" applyProtection="1">
      <alignment horizontal="center"/>
      <protection locked="0"/>
    </xf>
    <xf numFmtId="1" fontId="8" fillId="9" borderId="14" xfId="0" applyNumberFormat="1" applyFont="1" applyFill="1" applyBorder="1" applyProtection="1"/>
    <xf numFmtId="0" fontId="26" fillId="11" borderId="0" xfId="0" applyFont="1" applyFill="1" applyBorder="1"/>
    <xf numFmtId="0" fontId="24" fillId="11" borderId="0" xfId="0" applyFont="1" applyFill="1" applyBorder="1" applyAlignment="1">
      <alignment wrapText="1"/>
    </xf>
    <xf numFmtId="0" fontId="5" fillId="0" borderId="0" xfId="0" applyFont="1"/>
    <xf numFmtId="0" fontId="26" fillId="11" borderId="0" xfId="0" applyFont="1" applyFill="1" applyBorder="1" applyAlignment="1">
      <alignment vertical="top" wrapText="1"/>
    </xf>
    <xf numFmtId="0" fontId="24" fillId="11" borderId="19" xfId="0" applyFont="1" applyFill="1" applyBorder="1" applyAlignment="1" applyProtection="1">
      <alignment horizontal="left" vertical="center"/>
    </xf>
    <xf numFmtId="0" fontId="24" fillId="11" borderId="19" xfId="0" applyFont="1" applyFill="1" applyBorder="1" applyAlignment="1" applyProtection="1">
      <alignment horizontal="left" vertical="center" wrapText="1"/>
    </xf>
    <xf numFmtId="164" fontId="8" fillId="3" borderId="21" xfId="0" applyNumberFormat="1" applyFont="1" applyFill="1" applyBorder="1" applyAlignment="1" applyProtection="1">
      <alignment vertical="center"/>
    </xf>
    <xf numFmtId="0" fontId="24" fillId="4" borderId="2" xfId="0" applyFont="1" applyFill="1" applyBorder="1" applyAlignment="1" applyProtection="1">
      <alignment horizontal="center" vertical="top" wrapText="1"/>
    </xf>
    <xf numFmtId="0" fontId="24" fillId="4" borderId="2" xfId="0" applyFont="1" applyFill="1" applyBorder="1" applyAlignment="1" applyProtection="1">
      <alignment vertical="top" wrapText="1"/>
    </xf>
    <xf numFmtId="0" fontId="24" fillId="4" borderId="2" xfId="2" applyFont="1" applyFill="1" applyBorder="1" applyAlignment="1" applyProtection="1">
      <alignment horizontal="center" vertical="top" wrapText="1"/>
    </xf>
    <xf numFmtId="164" fontId="8" fillId="9" borderId="24" xfId="0" applyNumberFormat="1" applyFont="1" applyFill="1" applyBorder="1" applyProtection="1"/>
    <xf numFmtId="0" fontId="24" fillId="4" borderId="2" xfId="0" applyFont="1" applyFill="1" applyBorder="1" applyAlignment="1" applyProtection="1">
      <alignment horizontal="right" vertical="top" wrapText="1"/>
    </xf>
    <xf numFmtId="3" fontId="8" fillId="8" borderId="3" xfId="0" applyNumberFormat="1" applyFont="1" applyFill="1" applyBorder="1" applyAlignment="1" applyProtection="1">
      <alignment horizontal="right"/>
      <protection locked="0"/>
    </xf>
    <xf numFmtId="2" fontId="8" fillId="8" borderId="3" xfId="0" applyNumberFormat="1" applyFont="1" applyFill="1" applyBorder="1" applyAlignment="1" applyProtection="1">
      <alignment horizontal="right"/>
      <protection locked="0"/>
    </xf>
    <xf numFmtId="0" fontId="9" fillId="0" borderId="1" xfId="2" applyFont="1" applyFill="1" applyBorder="1" applyProtection="1">
      <protection hidden="1"/>
    </xf>
    <xf numFmtId="0" fontId="9" fillId="9" borderId="4" xfId="0" applyFont="1" applyFill="1" applyBorder="1" applyProtection="1"/>
    <xf numFmtId="0" fontId="28" fillId="4" borderId="0" xfId="0" applyFont="1" applyFill="1" applyBorder="1" applyAlignment="1" applyProtection="1">
      <alignment vertical="center"/>
    </xf>
    <xf numFmtId="0" fontId="8" fillId="9" borderId="0" xfId="0" applyFont="1" applyFill="1" applyBorder="1" applyProtection="1"/>
    <xf numFmtId="0" fontId="36" fillId="0" borderId="1" xfId="4" applyFont="1" applyBorder="1" applyAlignment="1">
      <alignment horizontal="right"/>
    </xf>
    <xf numFmtId="0" fontId="8" fillId="9" borderId="3" xfId="0" applyFont="1" applyFill="1" applyBorder="1" applyAlignment="1" applyProtection="1">
      <alignment wrapText="1"/>
    </xf>
    <xf numFmtId="0" fontId="32" fillId="9" borderId="4" xfId="0" applyFont="1" applyFill="1" applyBorder="1" applyAlignment="1" applyProtection="1">
      <alignment vertical="center"/>
    </xf>
    <xf numFmtId="0" fontId="40" fillId="9" borderId="4" xfId="0" applyFont="1" applyFill="1" applyBorder="1" applyAlignment="1" applyProtection="1">
      <alignment vertical="center"/>
    </xf>
    <xf numFmtId="2" fontId="8" fillId="9" borderId="25" xfId="0" applyNumberFormat="1" applyFont="1" applyFill="1" applyBorder="1" applyProtection="1"/>
    <xf numFmtId="0" fontId="41" fillId="5" borderId="0" xfId="0" applyFont="1" applyFill="1" applyBorder="1" applyAlignment="1" applyProtection="1">
      <alignment vertical="top"/>
    </xf>
    <xf numFmtId="167" fontId="42" fillId="0" borderId="0" xfId="0" applyNumberFormat="1" applyFont="1" applyFill="1" applyBorder="1" applyAlignment="1" applyProtection="1">
      <alignment horizontal="center" vertical="center"/>
    </xf>
    <xf numFmtId="0" fontId="41" fillId="2" borderId="0" xfId="0" applyFont="1" applyFill="1" applyBorder="1" applyAlignment="1" applyProtection="1">
      <alignment vertical="top"/>
    </xf>
    <xf numFmtId="0" fontId="28" fillId="4" borderId="11" xfId="0" applyFont="1" applyFill="1" applyBorder="1" applyAlignment="1" applyProtection="1">
      <alignment horizontal="right" vertical="center" wrapText="1"/>
    </xf>
    <xf numFmtId="0" fontId="8" fillId="0" borderId="1" xfId="2" applyFont="1" applyFill="1" applyBorder="1" applyProtection="1">
      <protection hidden="1"/>
    </xf>
    <xf numFmtId="0" fontId="46" fillId="0" borderId="0" xfId="0" applyFont="1" applyFill="1" applyBorder="1" applyAlignment="1">
      <alignment vertical="center" wrapText="1"/>
    </xf>
    <xf numFmtId="0" fontId="47" fillId="0" borderId="0" xfId="0" applyFont="1" applyFill="1" applyBorder="1" applyAlignment="1">
      <alignment horizontal="center" vertical="center" wrapText="1"/>
    </xf>
    <xf numFmtId="0" fontId="48" fillId="0" borderId="0" xfId="0" applyFont="1" applyFill="1" applyBorder="1" applyAlignment="1">
      <alignment vertical="center" wrapText="1"/>
    </xf>
    <xf numFmtId="0" fontId="48" fillId="0" borderId="0" xfId="0" applyFont="1" applyFill="1" applyBorder="1" applyAlignment="1">
      <alignment horizontal="center" vertical="center" wrapText="1"/>
    </xf>
    <xf numFmtId="0" fontId="0" fillId="0" borderId="0" xfId="0" applyFill="1" applyBorder="1" applyAlignment="1">
      <alignment vertical="center" wrapText="1"/>
    </xf>
    <xf numFmtId="0" fontId="45" fillId="0" borderId="0" xfId="0" applyFont="1" applyFill="1" applyBorder="1" applyAlignment="1">
      <alignment vertical="center" wrapText="1"/>
    </xf>
    <xf numFmtId="0" fontId="45" fillId="0" borderId="0" xfId="0" applyFont="1" applyFill="1" applyBorder="1" applyAlignment="1">
      <alignment horizontal="center" vertical="center" wrapText="1"/>
    </xf>
    <xf numFmtId="0" fontId="8" fillId="0" borderId="5" xfId="0" applyFont="1" applyFill="1" applyBorder="1" applyProtection="1"/>
    <xf numFmtId="0" fontId="9" fillId="0" borderId="0" xfId="0" applyFont="1" applyProtection="1"/>
    <xf numFmtId="0" fontId="8" fillId="0" borderId="0" xfId="0" applyFont="1" applyFill="1" applyBorder="1" applyProtection="1"/>
    <xf numFmtId="164" fontId="9" fillId="9" borderId="24" xfId="0" applyNumberFormat="1" applyFont="1" applyFill="1" applyBorder="1" applyProtection="1"/>
    <xf numFmtId="2" fontId="9" fillId="9" borderId="24" xfId="0" applyNumberFormat="1" applyFont="1" applyFill="1" applyBorder="1" applyProtection="1"/>
    <xf numFmtId="0" fontId="3" fillId="3" borderId="5" xfId="0" applyFont="1" applyFill="1" applyBorder="1" applyAlignment="1" applyProtection="1">
      <alignment vertical="center"/>
    </xf>
    <xf numFmtId="0" fontId="8" fillId="3" borderId="4" xfId="0" applyFont="1" applyFill="1" applyBorder="1" applyAlignment="1" applyProtection="1">
      <alignment vertical="center"/>
    </xf>
    <xf numFmtId="164" fontId="8" fillId="9" borderId="14" xfId="0" applyNumberFormat="1" applyFont="1" applyFill="1" applyBorder="1" applyAlignment="1" applyProtection="1">
      <alignment horizontal="right"/>
    </xf>
    <xf numFmtId="2" fontId="8" fillId="9" borderId="14" xfId="0" applyNumberFormat="1" applyFont="1" applyFill="1" applyBorder="1" applyAlignment="1" applyProtection="1">
      <alignment horizontal="right"/>
    </xf>
    <xf numFmtId="0" fontId="8" fillId="9" borderId="14" xfId="0" applyFont="1" applyFill="1" applyBorder="1" applyAlignment="1" applyProtection="1">
      <alignment horizontal="center"/>
    </xf>
    <xf numFmtId="0" fontId="8" fillId="7" borderId="4" xfId="0" applyFont="1" applyFill="1" applyBorder="1" applyProtection="1">
      <protection locked="0"/>
    </xf>
    <xf numFmtId="3" fontId="8" fillId="9" borderId="12" xfId="0" applyNumberFormat="1" applyFont="1" applyFill="1" applyBorder="1" applyProtection="1">
      <protection locked="0"/>
    </xf>
    <xf numFmtId="3" fontId="8" fillId="9" borderId="5" xfId="0" applyNumberFormat="1" applyFont="1" applyFill="1" applyBorder="1" applyProtection="1">
      <protection locked="0"/>
    </xf>
    <xf numFmtId="0" fontId="8" fillId="9" borderId="5" xfId="0" applyFont="1" applyFill="1" applyBorder="1" applyProtection="1">
      <protection locked="0"/>
    </xf>
    <xf numFmtId="0" fontId="20" fillId="0" borderId="0" xfId="2" applyFont="1" applyFill="1" applyBorder="1" applyAlignment="1" applyProtection="1">
      <alignment vertical="center"/>
    </xf>
    <xf numFmtId="0" fontId="7" fillId="0" borderId="0" xfId="2" applyFont="1" applyFill="1" applyBorder="1" applyAlignment="1" applyProtection="1"/>
    <xf numFmtId="0" fontId="7" fillId="0" borderId="0" xfId="2" applyFont="1" applyFill="1" applyBorder="1" applyProtection="1"/>
    <xf numFmtId="0" fontId="12" fillId="0" borderId="0" xfId="0" applyFont="1" applyFill="1" applyAlignment="1" applyProtection="1"/>
    <xf numFmtId="0" fontId="12" fillId="0" borderId="0" xfId="0" applyFont="1" applyAlignment="1" applyProtection="1"/>
    <xf numFmtId="0" fontId="6" fillId="0" borderId="0" xfId="0" applyFont="1" applyFill="1" applyAlignment="1" applyProtection="1"/>
    <xf numFmtId="0" fontId="6" fillId="0" borderId="0" xfId="0" applyFont="1" applyFill="1" applyProtection="1"/>
    <xf numFmtId="0" fontId="29" fillId="4" borderId="0" xfId="0" applyFont="1" applyFill="1" applyBorder="1" applyAlignment="1" applyProtection="1"/>
    <xf numFmtId="0" fontId="29" fillId="4" borderId="0" xfId="0" applyFont="1" applyFill="1" applyBorder="1" applyProtection="1"/>
    <xf numFmtId="0" fontId="28" fillId="4" borderId="0" xfId="0" applyFont="1" applyFill="1" applyBorder="1" applyAlignment="1" applyProtection="1">
      <alignment horizontal="center" vertical="center"/>
    </xf>
    <xf numFmtId="0" fontId="8" fillId="6" borderId="0" xfId="0" applyFont="1" applyFill="1" applyAlignment="1" applyProtection="1">
      <alignment horizontal="left" vertical="top" wrapText="1"/>
    </xf>
    <xf numFmtId="0" fontId="6" fillId="0" borderId="0" xfId="0" applyFont="1" applyFill="1" applyAlignment="1" applyProtection="1">
      <alignment vertical="center"/>
    </xf>
    <xf numFmtId="0" fontId="8" fillId="5" borderId="0" xfId="0" applyFont="1" applyFill="1" applyAlignment="1" applyProtection="1">
      <alignment horizontal="left" vertical="top" wrapText="1"/>
    </xf>
    <xf numFmtId="0" fontId="8" fillId="0" borderId="0" xfId="0" applyFont="1" applyFill="1" applyAlignment="1" applyProtection="1">
      <alignment vertical="center"/>
    </xf>
    <xf numFmtId="166" fontId="9" fillId="0" borderId="0" xfId="0" applyNumberFormat="1" applyFont="1" applyFill="1" applyBorder="1" applyAlignment="1" applyProtection="1">
      <alignment horizontal="center" vertical="center"/>
    </xf>
    <xf numFmtId="167" fontId="9"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vertical="center"/>
    </xf>
    <xf numFmtId="0" fontId="9" fillId="5" borderId="0" xfId="2" applyFont="1" applyFill="1" applyBorder="1" applyAlignment="1" applyProtection="1">
      <alignment horizontal="center" vertical="center"/>
    </xf>
    <xf numFmtId="0" fontId="8" fillId="5" borderId="0" xfId="0" applyFont="1" applyFill="1" applyAlignment="1" applyProtection="1">
      <alignment horizontal="left"/>
    </xf>
    <xf numFmtId="0" fontId="8" fillId="5" borderId="0" xfId="0" applyFont="1" applyFill="1" applyAlignment="1" applyProtection="1">
      <alignment horizontal="left" wrapText="1"/>
    </xf>
    <xf numFmtId="0" fontId="27" fillId="4" borderId="0" xfId="0" applyFont="1" applyFill="1" applyBorder="1" applyAlignment="1" applyProtection="1"/>
    <xf numFmtId="0" fontId="43" fillId="4" borderId="0" xfId="0" applyFont="1" applyFill="1" applyBorder="1" applyAlignment="1" applyProtection="1">
      <alignment horizontal="right"/>
    </xf>
    <xf numFmtId="0" fontId="4" fillId="0" borderId="0" xfId="0" applyFont="1" applyFill="1" applyBorder="1" applyAlignment="1" applyProtection="1"/>
    <xf numFmtId="0" fontId="6" fillId="0" borderId="0" xfId="0" applyFont="1" applyAlignment="1" applyProtection="1">
      <alignment vertical="center" wrapText="1"/>
    </xf>
    <xf numFmtId="9" fontId="6" fillId="0" borderId="0" xfId="0" applyNumberFormat="1" applyFont="1" applyFill="1" applyAlignment="1" applyProtection="1">
      <alignment vertical="center"/>
    </xf>
    <xf numFmtId="0" fontId="8" fillId="0" borderId="0" xfId="0" applyFont="1" applyAlignment="1" applyProtection="1"/>
    <xf numFmtId="0" fontId="6" fillId="0" borderId="0" xfId="0" applyFont="1" applyAlignment="1" applyProtection="1"/>
    <xf numFmtId="0" fontId="39" fillId="10" borderId="0" xfId="0" applyFont="1" applyFill="1"/>
    <xf numFmtId="0" fontId="39" fillId="0" borderId="0" xfId="0" applyFont="1"/>
    <xf numFmtId="3" fontId="8" fillId="9" borderId="26" xfId="0" applyNumberFormat="1" applyFont="1" applyFill="1" applyBorder="1" applyProtection="1"/>
    <xf numFmtId="3" fontId="8" fillId="9" borderId="27" xfId="0" applyNumberFormat="1" applyFont="1" applyFill="1" applyBorder="1" applyProtection="1"/>
    <xf numFmtId="2" fontId="8" fillId="9" borderId="27" xfId="0" applyNumberFormat="1" applyFont="1" applyFill="1" applyBorder="1" applyProtection="1"/>
    <xf numFmtId="0" fontId="8" fillId="0" borderId="4" xfId="0" applyFont="1" applyFill="1" applyBorder="1" applyProtection="1"/>
    <xf numFmtId="164" fontId="8" fillId="0" borderId="4" xfId="0" applyNumberFormat="1" applyFont="1" applyFill="1" applyBorder="1" applyProtection="1"/>
    <xf numFmtId="2" fontId="8" fillId="0" borderId="25" xfId="0" applyNumberFormat="1" applyFont="1" applyFill="1" applyBorder="1" applyProtection="1"/>
    <xf numFmtId="3" fontId="9" fillId="9" borderId="26" xfId="0" applyNumberFormat="1" applyFont="1" applyFill="1" applyBorder="1" applyProtection="1"/>
    <xf numFmtId="3" fontId="9" fillId="9" borderId="27" xfId="0" applyNumberFormat="1" applyFont="1" applyFill="1" applyBorder="1" applyProtection="1"/>
    <xf numFmtId="2" fontId="9" fillId="9" borderId="27" xfId="0" applyNumberFormat="1" applyFont="1" applyFill="1" applyBorder="1" applyProtection="1"/>
    <xf numFmtId="164" fontId="8" fillId="0" borderId="0" xfId="0" applyNumberFormat="1" applyFont="1"/>
    <xf numFmtId="0" fontId="8" fillId="12" borderId="0" xfId="0" applyFont="1" applyFill="1" applyAlignment="1">
      <alignment vertical="center"/>
    </xf>
    <xf numFmtId="169" fontId="13" fillId="0" borderId="0" xfId="0" applyNumberFormat="1" applyFont="1"/>
    <xf numFmtId="0" fontId="13" fillId="0" borderId="0" xfId="2" applyFont="1" applyFill="1" applyBorder="1" applyProtection="1">
      <protection hidden="1"/>
    </xf>
    <xf numFmtId="0" fontId="8" fillId="0" borderId="0" xfId="0" applyFont="1" applyBorder="1" applyAlignment="1"/>
    <xf numFmtId="0" fontId="26" fillId="4" borderId="0" xfId="0" applyFont="1" applyFill="1" applyAlignment="1"/>
    <xf numFmtId="0" fontId="8" fillId="0" borderId="0" xfId="0" applyFont="1" applyFill="1" applyAlignment="1" applyProtection="1"/>
    <xf numFmtId="0" fontId="8" fillId="0" borderId="0" xfId="3" applyFont="1" applyFill="1" applyBorder="1" applyAlignment="1" applyProtection="1">
      <protection hidden="1"/>
    </xf>
    <xf numFmtId="0" fontId="8" fillId="0" borderId="0" xfId="3" applyFill="1" applyBorder="1" applyAlignment="1" applyProtection="1">
      <protection hidden="1"/>
    </xf>
    <xf numFmtId="0" fontId="8" fillId="0" borderId="0" xfId="3" applyFont="1" applyFill="1" applyBorder="1" applyAlignment="1" applyProtection="1">
      <alignment vertical="top"/>
      <protection hidden="1"/>
    </xf>
    <xf numFmtId="0" fontId="8" fillId="0" borderId="0" xfId="2" applyFont="1" applyFill="1" applyBorder="1" applyAlignment="1" applyProtection="1">
      <protection hidden="1"/>
    </xf>
    <xf numFmtId="0" fontId="13" fillId="0" borderId="0" xfId="0" applyFont="1" applyAlignment="1"/>
    <xf numFmtId="0" fontId="39" fillId="0" borderId="0" xfId="0" applyFont="1" applyAlignment="1"/>
    <xf numFmtId="170" fontId="8" fillId="0" borderId="0" xfId="1" applyNumberFormat="1" applyFont="1" applyFill="1" applyBorder="1" applyAlignment="1">
      <alignment vertical="center"/>
    </xf>
    <xf numFmtId="0" fontId="8" fillId="0" borderId="0" xfId="0" applyFont="1" applyFill="1" applyBorder="1" applyAlignment="1">
      <alignment vertical="center"/>
    </xf>
    <xf numFmtId="0" fontId="8" fillId="0" borderId="0" xfId="0" applyFont="1" applyAlignment="1">
      <alignment vertical="center"/>
    </xf>
    <xf numFmtId="1" fontId="8" fillId="0" borderId="0" xfId="0" applyNumberFormat="1" applyFont="1" applyFill="1" applyBorder="1" applyAlignment="1">
      <alignment vertical="center"/>
    </xf>
    <xf numFmtId="0" fontId="8" fillId="0" borderId="0" xfId="0" applyFont="1" applyFill="1" applyBorder="1" applyAlignment="1">
      <alignment horizontal="right" vertical="center"/>
    </xf>
    <xf numFmtId="164" fontId="8" fillId="0" borderId="0" xfId="0" applyNumberFormat="1" applyFont="1" applyFill="1" applyBorder="1" applyAlignment="1">
      <alignment horizontal="right" vertical="center"/>
    </xf>
    <xf numFmtId="164" fontId="8" fillId="0" borderId="0" xfId="0" applyNumberFormat="1" applyFont="1" applyFill="1" applyBorder="1" applyAlignment="1">
      <alignment horizontal="right" vertical="center" wrapText="1"/>
    </xf>
    <xf numFmtId="164" fontId="8" fillId="0" borderId="0" xfId="0" applyNumberFormat="1" applyFont="1" applyFill="1" applyBorder="1" applyAlignment="1">
      <alignment horizontal="right" vertical="center" shrinkToFit="1"/>
    </xf>
    <xf numFmtId="1" fontId="8" fillId="0" borderId="0" xfId="0" applyNumberFormat="1" applyFont="1" applyFill="1" applyBorder="1" applyAlignment="1">
      <alignment horizontal="right" vertical="center" wrapText="1"/>
    </xf>
    <xf numFmtId="2" fontId="8" fillId="0" borderId="0" xfId="0" applyNumberFormat="1" applyFont="1" applyFill="1" applyBorder="1" applyAlignment="1">
      <alignment horizontal="right" vertical="center"/>
    </xf>
    <xf numFmtId="2" fontId="8" fillId="0" borderId="0" xfId="0" applyNumberFormat="1" applyFont="1" applyFill="1" applyBorder="1" applyAlignment="1">
      <alignment horizontal="right" vertical="center" wrapText="1"/>
    </xf>
    <xf numFmtId="2" fontId="8" fillId="0" borderId="0" xfId="0" applyNumberFormat="1" applyFont="1" applyFill="1" applyBorder="1" applyAlignment="1">
      <alignment horizontal="right" vertical="center" shrinkToFit="1"/>
    </xf>
    <xf numFmtId="1" fontId="8" fillId="0" borderId="0" xfId="0" applyNumberFormat="1" applyFont="1" applyFill="1" applyBorder="1" applyAlignment="1">
      <alignment horizontal="right" vertical="center"/>
    </xf>
    <xf numFmtId="1" fontId="8" fillId="0" borderId="0" xfId="0" applyNumberFormat="1" applyFont="1" applyFill="1" applyBorder="1" applyAlignment="1">
      <alignment horizontal="right" vertical="center" shrinkToFit="1"/>
    </xf>
    <xf numFmtId="0" fontId="24" fillId="11" borderId="2" xfId="0" applyFont="1" applyFill="1" applyBorder="1" applyAlignment="1" applyProtection="1">
      <alignment horizontal="left" vertical="top" wrapText="1"/>
    </xf>
    <xf numFmtId="0" fontId="51" fillId="0" borderId="0" xfId="0" applyFont="1" applyAlignment="1">
      <alignment horizontal="left" vertical="center"/>
    </xf>
    <xf numFmtId="2" fontId="8" fillId="0" borderId="0" xfId="0" applyNumberFormat="1" applyFont="1"/>
    <xf numFmtId="164" fontId="8" fillId="0" borderId="0" xfId="0" applyNumberFormat="1" applyFont="1" applyAlignment="1">
      <alignment horizontal="right"/>
    </xf>
    <xf numFmtId="3" fontId="8" fillId="0" borderId="0" xfId="0" applyNumberFormat="1" applyFont="1" applyFill="1" applyBorder="1" applyAlignment="1">
      <alignment horizontal="right" vertical="center"/>
    </xf>
    <xf numFmtId="0" fontId="13" fillId="0" borderId="0" xfId="0" quotePrefix="1" applyFont="1"/>
    <xf numFmtId="14" fontId="13" fillId="0" borderId="0" xfId="0" applyNumberFormat="1" applyFont="1"/>
    <xf numFmtId="0" fontId="13" fillId="0" borderId="1" xfId="0" applyFont="1" applyBorder="1"/>
    <xf numFmtId="2" fontId="26" fillId="4" borderId="0" xfId="0" applyNumberFormat="1" applyFont="1" applyFill="1"/>
    <xf numFmtId="0" fontId="8" fillId="0" borderId="0" xfId="0" applyFont="1" applyFill="1" applyAlignment="1">
      <alignment wrapText="1"/>
    </xf>
    <xf numFmtId="0" fontId="8" fillId="0" borderId="0" xfId="0" applyFont="1" applyFill="1" applyAlignment="1">
      <alignment vertical="top"/>
    </xf>
    <xf numFmtId="0" fontId="8" fillId="0" borderId="0" xfId="0" applyFont="1" applyFill="1" applyBorder="1" applyAlignment="1"/>
    <xf numFmtId="0" fontId="11" fillId="4" borderId="0" xfId="0" applyFont="1" applyFill="1" applyAlignment="1">
      <alignment wrapText="1"/>
    </xf>
    <xf numFmtId="0" fontId="8" fillId="0" borderId="0" xfId="3" applyFont="1" applyFill="1" applyBorder="1" applyAlignment="1" applyProtection="1">
      <alignment wrapText="1"/>
      <protection hidden="1"/>
    </xf>
    <xf numFmtId="0" fontId="8" fillId="0" borderId="0" xfId="0" applyFont="1" applyBorder="1" applyAlignment="1">
      <alignment wrapText="1"/>
    </xf>
    <xf numFmtId="0" fontId="32" fillId="0" borderId="0" xfId="0" applyFont="1" applyAlignment="1"/>
    <xf numFmtId="0" fontId="39" fillId="22" borderId="0" xfId="0" applyFont="1" applyFill="1"/>
    <xf numFmtId="0" fontId="39" fillId="23" borderId="0" xfId="0" applyFont="1" applyFill="1"/>
    <xf numFmtId="0" fontId="8" fillId="24" borderId="0" xfId="0" applyFont="1" applyFill="1"/>
    <xf numFmtId="164" fontId="13" fillId="0" borderId="0" xfId="0" applyNumberFormat="1" applyFont="1"/>
    <xf numFmtId="0" fontId="16" fillId="0" borderId="1" xfId="2" applyFont="1" applyFill="1" applyBorder="1" applyProtection="1">
      <protection hidden="1"/>
    </xf>
    <xf numFmtId="0" fontId="8" fillId="9" borderId="3" xfId="0" applyFont="1" applyFill="1" applyBorder="1" applyAlignment="1" applyProtection="1">
      <alignment vertical="top"/>
    </xf>
    <xf numFmtId="0" fontId="3" fillId="0" borderId="0" xfId="0" applyFont="1"/>
    <xf numFmtId="2" fontId="8" fillId="9" borderId="14" xfId="0" applyNumberFormat="1" applyFont="1" applyFill="1" applyBorder="1" applyAlignment="1" applyProtection="1">
      <alignment horizontal="center"/>
    </xf>
    <xf numFmtId="0" fontId="24" fillId="11" borderId="20" xfId="0" applyFont="1" applyFill="1" applyBorder="1" applyAlignment="1" applyProtection="1">
      <alignment horizontal="right" vertical="center" wrapText="1"/>
    </xf>
    <xf numFmtId="0" fontId="24" fillId="11" borderId="23" xfId="0" applyFont="1" applyFill="1" applyBorder="1" applyAlignment="1" applyProtection="1">
      <alignment horizontal="right" vertical="center" wrapText="1"/>
    </xf>
    <xf numFmtId="2" fontId="13" fillId="0" borderId="0" xfId="2" applyNumberFormat="1" applyFont="1" applyFill="1" applyBorder="1" applyProtection="1">
      <protection hidden="1"/>
    </xf>
    <xf numFmtId="0" fontId="13" fillId="0" borderId="0" xfId="0" applyFont="1" applyFill="1"/>
    <xf numFmtId="0" fontId="9" fillId="3" borderId="5" xfId="0" applyFont="1" applyFill="1" applyBorder="1" applyAlignment="1" applyProtection="1">
      <alignment vertical="center"/>
    </xf>
    <xf numFmtId="164" fontId="9" fillId="3" borderId="21" xfId="0" applyNumberFormat="1" applyFont="1" applyFill="1" applyBorder="1" applyAlignment="1" applyProtection="1">
      <alignment vertical="center"/>
    </xf>
    <xf numFmtId="0" fontId="70" fillId="9" borderId="14" xfId="5" applyNumberFormat="1" applyFont="1" applyFill="1" applyBorder="1" applyAlignment="1" applyProtection="1">
      <alignment horizontal="center"/>
      <protection locked="0" hidden="1"/>
    </xf>
    <xf numFmtId="0" fontId="11" fillId="4" borderId="0" xfId="0" applyFont="1" applyFill="1" applyAlignment="1">
      <alignment wrapText="1"/>
    </xf>
    <xf numFmtId="14" fontId="26" fillId="4" borderId="0" xfId="0" applyNumberFormat="1" applyFont="1" applyFill="1"/>
    <xf numFmtId="1" fontId="8" fillId="0" borderId="0" xfId="0" applyNumberFormat="1" applyFont="1"/>
    <xf numFmtId="164" fontId="0" fillId="0" borderId="0" xfId="0" applyNumberFormat="1"/>
    <xf numFmtId="2" fontId="8" fillId="0" borderId="0" xfId="0" applyNumberFormat="1" applyFont="1" applyAlignment="1">
      <alignment vertical="center"/>
    </xf>
    <xf numFmtId="164" fontId="8" fillId="0" borderId="0" xfId="0" applyNumberFormat="1" applyFont="1" applyAlignment="1">
      <alignment vertical="center"/>
    </xf>
    <xf numFmtId="1" fontId="8" fillId="0" borderId="0" xfId="0" applyNumberFormat="1" applyFont="1" applyAlignment="1">
      <alignment vertical="center"/>
    </xf>
    <xf numFmtId="0" fontId="0" fillId="0" borderId="0" xfId="0" applyNumberFormat="1"/>
    <xf numFmtId="49" fontId="8" fillId="0" borderId="0" xfId="0" applyNumberFormat="1" applyFont="1" applyFill="1" applyBorder="1"/>
    <xf numFmtId="49" fontId="8" fillId="0" borderId="0" xfId="0" applyNumberFormat="1" applyFont="1" applyFill="1" applyAlignment="1"/>
    <xf numFmtId="49" fontId="8" fillId="0" borderId="0" xfId="0" applyNumberFormat="1" applyFont="1"/>
    <xf numFmtId="49" fontId="8" fillId="0" borderId="0" xfId="0" applyNumberFormat="1" applyFont="1" applyAlignment="1"/>
    <xf numFmtId="49" fontId="23" fillId="0" borderId="0" xfId="6" applyNumberFormat="1" applyFont="1" applyAlignment="1"/>
    <xf numFmtId="49" fontId="8" fillId="0" borderId="0" xfId="0" applyNumberFormat="1" applyFont="1" applyFill="1" applyBorder="1" applyAlignment="1">
      <alignment vertical="center"/>
    </xf>
    <xf numFmtId="49" fontId="34" fillId="0" borderId="0" xfId="5" applyNumberFormat="1" applyFont="1" applyFill="1" applyBorder="1" applyAlignment="1">
      <alignment vertical="center"/>
    </xf>
    <xf numFmtId="49" fontId="8" fillId="0" borderId="0" xfId="1" applyNumberFormat="1" applyFont="1" applyFill="1" applyBorder="1" applyAlignment="1">
      <alignment vertical="center"/>
    </xf>
    <xf numFmtId="49" fontId="8" fillId="0" borderId="0" xfId="0" applyNumberFormat="1" applyFont="1" applyAlignment="1">
      <alignment vertical="center"/>
    </xf>
    <xf numFmtId="49" fontId="50" fillId="0" borderId="0" xfId="5" applyNumberFormat="1"/>
    <xf numFmtId="0" fontId="28" fillId="4" borderId="10" xfId="0" applyFont="1" applyFill="1" applyBorder="1" applyAlignment="1" applyProtection="1">
      <alignment vertical="center"/>
    </xf>
    <xf numFmtId="0" fontId="28" fillId="4" borderId="15" xfId="0" applyFont="1" applyFill="1" applyBorder="1" applyAlignment="1" applyProtection="1">
      <alignment vertical="center"/>
    </xf>
    <xf numFmtId="1" fontId="8" fillId="9" borderId="27" xfId="0" applyNumberFormat="1" applyFont="1" applyFill="1" applyBorder="1" applyProtection="1"/>
    <xf numFmtId="0" fontId="13" fillId="0" borderId="0" xfId="0" applyFont="1" applyFill="1" applyBorder="1"/>
    <xf numFmtId="2" fontId="13" fillId="0" borderId="0" xfId="0" applyNumberFormat="1" applyFont="1" applyFill="1" applyBorder="1" applyProtection="1"/>
    <xf numFmtId="0" fontId="13" fillId="0" borderId="212" xfId="0" applyFont="1" applyBorder="1"/>
    <xf numFmtId="0" fontId="24" fillId="4" borderId="11" xfId="0" applyFont="1" applyFill="1" applyBorder="1" applyAlignment="1" applyProtection="1">
      <alignment horizontal="right" vertical="center"/>
    </xf>
    <xf numFmtId="0" fontId="71" fillId="0" borderId="4" xfId="0" applyFont="1" applyFill="1" applyBorder="1" applyProtection="1"/>
    <xf numFmtId="0" fontId="9" fillId="7" borderId="0" xfId="0" applyFont="1" applyFill="1" applyBorder="1" applyAlignment="1" applyProtection="1">
      <alignment vertical="center"/>
      <protection locked="0"/>
    </xf>
    <xf numFmtId="0" fontId="8" fillId="5" borderId="0" xfId="0" applyFont="1" applyFill="1" applyAlignment="1" applyProtection="1">
      <alignment horizontal="left" vertical="top"/>
    </xf>
    <xf numFmtId="168" fontId="8" fillId="8" borderId="0" xfId="0" applyNumberFormat="1" applyFont="1" applyFill="1" applyBorder="1" applyAlignment="1" applyProtection="1">
      <alignment horizontal="left" vertical="center"/>
      <protection locked="0"/>
    </xf>
    <xf numFmtId="0" fontId="3" fillId="3" borderId="22"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164" fontId="3" fillId="3" borderId="21" xfId="0" applyNumberFormat="1" applyFont="1" applyFill="1" applyBorder="1" applyAlignment="1" applyProtection="1">
      <alignment horizontal="center" vertical="center"/>
    </xf>
    <xf numFmtId="164" fontId="3" fillId="3" borderId="5" xfId="0" applyNumberFormat="1" applyFont="1" applyFill="1" applyBorder="1" applyAlignment="1" applyProtection="1">
      <alignment horizontal="center" vertical="center"/>
    </xf>
    <xf numFmtId="0" fontId="8" fillId="8" borderId="12" xfId="0" applyFont="1" applyFill="1" applyBorder="1" applyAlignment="1" applyProtection="1">
      <alignment vertical="center"/>
      <protection locked="0"/>
    </xf>
    <xf numFmtId="0" fontId="8" fillId="8" borderId="4" xfId="0" applyFont="1" applyFill="1" applyBorder="1" applyAlignment="1" applyProtection="1">
      <alignment vertical="center"/>
      <protection locked="0"/>
    </xf>
    <xf numFmtId="0" fontId="8" fillId="0" borderId="0" xfId="0" applyFont="1" applyAlignment="1" applyProtection="1">
      <alignment horizontal="left" vertical="top"/>
    </xf>
    <xf numFmtId="0" fontId="40" fillId="9" borderId="4" xfId="0" applyFont="1" applyFill="1" applyBorder="1" applyAlignment="1" applyProtection="1">
      <alignment horizontal="center" vertical="center"/>
    </xf>
    <xf numFmtId="0" fontId="40" fillId="9" borderId="25" xfId="0" applyFont="1" applyFill="1" applyBorder="1" applyAlignment="1" applyProtection="1">
      <alignment horizontal="center" vertical="center"/>
    </xf>
    <xf numFmtId="0" fontId="44" fillId="4" borderId="10" xfId="0" applyFont="1" applyFill="1" applyBorder="1" applyAlignment="1" applyProtection="1">
      <alignment horizontal="right" vertical="center" wrapText="1"/>
    </xf>
    <xf numFmtId="3" fontId="8" fillId="9" borderId="5" xfId="0" applyNumberFormat="1" applyFont="1" applyFill="1" applyBorder="1" applyProtection="1">
      <protection locked="0"/>
    </xf>
    <xf numFmtId="3" fontId="8" fillId="9" borderId="12" xfId="0" applyNumberFormat="1" applyFont="1" applyFill="1" applyBorder="1" applyProtection="1">
      <protection locked="0"/>
    </xf>
    <xf numFmtId="0" fontId="8" fillId="9" borderId="5" xfId="0" applyFont="1" applyFill="1" applyBorder="1" applyProtection="1">
      <protection locked="0"/>
    </xf>
    <xf numFmtId="0" fontId="8" fillId="9" borderId="4" xfId="0" applyFont="1" applyFill="1" applyBorder="1" applyProtection="1">
      <protection locked="0"/>
    </xf>
    <xf numFmtId="0" fontId="8" fillId="7" borderId="5" xfId="0" applyFont="1" applyFill="1" applyBorder="1" applyProtection="1">
      <protection locked="0"/>
    </xf>
    <xf numFmtId="0" fontId="8" fillId="7" borderId="4" xfId="0" applyFont="1" applyFill="1" applyBorder="1" applyProtection="1">
      <protection locked="0"/>
    </xf>
    <xf numFmtId="0" fontId="8" fillId="7" borderId="8" xfId="0" applyFont="1" applyFill="1" applyBorder="1" applyProtection="1">
      <protection locked="0"/>
    </xf>
    <xf numFmtId="0" fontId="8" fillId="7" borderId="9" xfId="0" applyFont="1" applyFill="1" applyBorder="1" applyProtection="1">
      <protection locked="0"/>
    </xf>
    <xf numFmtId="0" fontId="28" fillId="4" borderId="15" xfId="0" applyFont="1" applyFill="1" applyBorder="1" applyAlignment="1" applyProtection="1">
      <alignment vertical="center" wrapText="1"/>
    </xf>
    <xf numFmtId="0" fontId="28" fillId="4" borderId="10" xfId="0" applyFont="1" applyFill="1" applyBorder="1" applyAlignment="1" applyProtection="1">
      <alignment vertical="center" wrapText="1"/>
    </xf>
    <xf numFmtId="0" fontId="28" fillId="0" borderId="15" xfId="0" applyFont="1" applyFill="1" applyBorder="1" applyAlignment="1" applyProtection="1">
      <alignment vertical="center" wrapText="1"/>
    </xf>
    <xf numFmtId="0" fontId="28" fillId="0" borderId="10" xfId="0" applyFont="1" applyFill="1" applyBorder="1" applyAlignment="1" applyProtection="1">
      <alignment vertical="center" wrapText="1"/>
    </xf>
    <xf numFmtId="0" fontId="28" fillId="4" borderId="11" xfId="0" applyFont="1" applyFill="1" applyBorder="1" applyAlignment="1" applyProtection="1">
      <alignment vertical="center" wrapText="1"/>
    </xf>
    <xf numFmtId="0" fontId="72" fillId="0" borderId="5" xfId="0" applyFont="1" applyFill="1" applyBorder="1" applyAlignment="1" applyProtection="1">
      <alignment vertical="center" wrapText="1"/>
    </xf>
    <xf numFmtId="0" fontId="72" fillId="0" borderId="213" xfId="0" applyFont="1" applyFill="1" applyBorder="1" applyAlignment="1" applyProtection="1">
      <alignment vertical="center" wrapText="1"/>
    </xf>
    <xf numFmtId="0" fontId="28" fillId="4" borderId="10" xfId="0" applyFont="1" applyFill="1" applyBorder="1" applyAlignment="1" applyProtection="1">
      <alignment vertical="center"/>
    </xf>
    <xf numFmtId="0" fontId="28" fillId="4" borderId="11" xfId="0" applyFont="1" applyFill="1" applyBorder="1" applyAlignment="1" applyProtection="1">
      <alignment vertical="center"/>
    </xf>
    <xf numFmtId="0" fontId="24" fillId="4" borderId="17" xfId="0" applyFont="1" applyFill="1" applyBorder="1" applyAlignment="1" applyProtection="1">
      <alignment horizontal="left" vertical="top" wrapText="1"/>
    </xf>
    <xf numFmtId="0" fontId="24" fillId="4" borderId="18" xfId="0" applyFont="1" applyFill="1" applyBorder="1" applyAlignment="1" applyProtection="1">
      <alignment horizontal="left" vertical="top" wrapText="1"/>
    </xf>
    <xf numFmtId="0" fontId="24" fillId="4" borderId="16" xfId="0" applyFont="1" applyFill="1" applyBorder="1" applyAlignment="1" applyProtection="1">
      <alignment horizontal="left" vertical="top" wrapText="1"/>
    </xf>
    <xf numFmtId="0" fontId="28" fillId="4" borderId="15" xfId="0" applyFont="1" applyFill="1" applyBorder="1" applyAlignment="1" applyProtection="1">
      <alignment vertical="center"/>
    </xf>
    <xf numFmtId="0" fontId="8" fillId="5" borderId="0" xfId="0" applyFont="1" applyFill="1" applyAlignment="1" applyProtection="1">
      <alignment horizontal="left" vertical="top" wrapText="1"/>
    </xf>
    <xf numFmtId="0" fontId="8" fillId="6" borderId="0" xfId="0" applyFont="1" applyFill="1" applyAlignment="1" applyProtection="1">
      <alignment horizontal="left" vertical="top" wrapText="1"/>
    </xf>
    <xf numFmtId="0" fontId="8" fillId="6" borderId="7" xfId="0" applyFont="1" applyFill="1" applyBorder="1" applyAlignment="1" applyProtection="1">
      <alignment horizontal="left" vertical="top" wrapText="1"/>
    </xf>
    <xf numFmtId="0" fontId="49" fillId="5" borderId="0" xfId="0" applyFont="1" applyFill="1" applyBorder="1" applyAlignment="1" applyProtection="1">
      <alignment horizontal="left" vertical="center" wrapText="1"/>
    </xf>
    <xf numFmtId="0" fontId="8" fillId="5" borderId="7" xfId="0" applyFont="1" applyFill="1" applyBorder="1" applyAlignment="1" applyProtection="1">
      <alignment horizontal="left" vertical="top"/>
    </xf>
    <xf numFmtId="0" fontId="8" fillId="5" borderId="7" xfId="0" applyFont="1" applyFill="1" applyBorder="1" applyAlignment="1" applyProtection="1">
      <alignment horizontal="left" vertical="top" wrapText="1"/>
    </xf>
    <xf numFmtId="0" fontId="11" fillId="4" borderId="0" xfId="0" applyFont="1" applyFill="1" applyAlignment="1">
      <alignment wrapText="1"/>
    </xf>
    <xf numFmtId="0" fontId="26" fillId="11" borderId="0" xfId="0" applyFont="1" applyFill="1" applyBorder="1" applyAlignment="1">
      <alignment horizontal="left"/>
    </xf>
  </cellXfs>
  <cellStyles count="441">
    <cellStyle name="2x indented GHG Textfiels" xfId="43" xr:uid="{00000000-0005-0000-0000-000000000000}"/>
    <cellStyle name="2x indented GHG Textfiels 10" xfId="119" xr:uid="{00000000-0005-0000-0000-000001000000}"/>
    <cellStyle name="2x indented GHG Textfiels 11" xfId="164" xr:uid="{00000000-0005-0000-0000-000002000000}"/>
    <cellStyle name="2x indented GHG Textfiels 12" xfId="120" xr:uid="{00000000-0005-0000-0000-000003000000}"/>
    <cellStyle name="2x indented GHG Textfiels 13" xfId="163" xr:uid="{00000000-0005-0000-0000-000004000000}"/>
    <cellStyle name="2x indented GHG Textfiels 14" xfId="169" xr:uid="{00000000-0005-0000-0000-000005000000}"/>
    <cellStyle name="2x indented GHG Textfiels 15" xfId="162" xr:uid="{00000000-0005-0000-0000-000006000000}"/>
    <cellStyle name="2x indented GHG Textfiels 16" xfId="121" xr:uid="{00000000-0005-0000-0000-000007000000}"/>
    <cellStyle name="2x indented GHG Textfiels 17" xfId="161" xr:uid="{00000000-0005-0000-0000-000008000000}"/>
    <cellStyle name="2x indented GHG Textfiels 18" xfId="122" xr:uid="{00000000-0005-0000-0000-000009000000}"/>
    <cellStyle name="2x indented GHG Textfiels 19" xfId="160" xr:uid="{00000000-0005-0000-0000-00000A000000}"/>
    <cellStyle name="2x indented GHG Textfiels 2" xfId="111" xr:uid="{00000000-0005-0000-0000-00000B000000}"/>
    <cellStyle name="2x indented GHG Textfiels 20" xfId="250" xr:uid="{00000000-0005-0000-0000-00000C000000}"/>
    <cellStyle name="2x indented GHG Textfiels 21" xfId="253" xr:uid="{00000000-0005-0000-0000-00000D000000}"/>
    <cellStyle name="2x indented GHG Textfiels 22" xfId="123" xr:uid="{00000000-0005-0000-0000-00000E000000}"/>
    <cellStyle name="2x indented GHG Textfiels 23" xfId="159" xr:uid="{00000000-0005-0000-0000-00000F000000}"/>
    <cellStyle name="2x indented GHG Textfiels 24" xfId="199" xr:uid="{00000000-0005-0000-0000-000010000000}"/>
    <cellStyle name="2x indented GHG Textfiels 25" xfId="158" xr:uid="{00000000-0005-0000-0000-000011000000}"/>
    <cellStyle name="2x indented GHG Textfiels 26" xfId="209" xr:uid="{00000000-0005-0000-0000-000012000000}"/>
    <cellStyle name="2x indented GHG Textfiels 27" xfId="184" xr:uid="{00000000-0005-0000-0000-000013000000}"/>
    <cellStyle name="2x indented GHG Textfiels 28" xfId="218" xr:uid="{00000000-0005-0000-0000-000014000000}"/>
    <cellStyle name="2x indented GHG Textfiels 29" xfId="204" xr:uid="{00000000-0005-0000-0000-000015000000}"/>
    <cellStyle name="2x indented GHG Textfiels 3" xfId="165" xr:uid="{00000000-0005-0000-0000-000016000000}"/>
    <cellStyle name="2x indented GHG Textfiels 30" xfId="228" xr:uid="{00000000-0005-0000-0000-000017000000}"/>
    <cellStyle name="2x indented GHG Textfiels 31" xfId="214" xr:uid="{00000000-0005-0000-0000-000018000000}"/>
    <cellStyle name="2x indented GHG Textfiels 32" xfId="238" xr:uid="{00000000-0005-0000-0000-000019000000}"/>
    <cellStyle name="2x indented GHG Textfiels 33" xfId="223" xr:uid="{00000000-0005-0000-0000-00001A000000}"/>
    <cellStyle name="2x indented GHG Textfiels 34" xfId="248" xr:uid="{00000000-0005-0000-0000-00001B000000}"/>
    <cellStyle name="2x indented GHG Textfiels 35" xfId="233" xr:uid="{00000000-0005-0000-0000-00001C000000}"/>
    <cellStyle name="2x indented GHG Textfiels 36" xfId="124" xr:uid="{00000000-0005-0000-0000-00001D000000}"/>
    <cellStyle name="2x indented GHG Textfiels 37" xfId="243" xr:uid="{00000000-0005-0000-0000-00001E000000}"/>
    <cellStyle name="2x indented GHG Textfiels 38" xfId="257" xr:uid="{00000000-0005-0000-0000-00001F000000}"/>
    <cellStyle name="2x indented GHG Textfiels 39" xfId="262" xr:uid="{00000000-0005-0000-0000-000020000000}"/>
    <cellStyle name="2x indented GHG Textfiels 4" xfId="114" xr:uid="{00000000-0005-0000-0000-000021000000}"/>
    <cellStyle name="2x indented GHG Textfiels 40" xfId="267" xr:uid="{00000000-0005-0000-0000-000022000000}"/>
    <cellStyle name="2x indented GHG Textfiels 41" xfId="272" xr:uid="{00000000-0005-0000-0000-000023000000}"/>
    <cellStyle name="2x indented GHG Textfiels 42" xfId="277" xr:uid="{00000000-0005-0000-0000-000024000000}"/>
    <cellStyle name="2x indented GHG Textfiels 43" xfId="282" xr:uid="{00000000-0005-0000-0000-000025000000}"/>
    <cellStyle name="2x indented GHG Textfiels 44" xfId="291" xr:uid="{00000000-0005-0000-0000-000026000000}"/>
    <cellStyle name="2x indented GHG Textfiels 45" xfId="403" xr:uid="{00000000-0005-0000-0000-000027000000}"/>
    <cellStyle name="2x indented GHG Textfiels 46" xfId="391" xr:uid="{00000000-0005-0000-0000-000028000000}"/>
    <cellStyle name="2x indented GHG Textfiels 47" xfId="402" xr:uid="{00000000-0005-0000-0000-000029000000}"/>
    <cellStyle name="2x indented GHG Textfiels 48" xfId="390" xr:uid="{00000000-0005-0000-0000-00002A000000}"/>
    <cellStyle name="2x indented GHG Textfiels 49" xfId="401" xr:uid="{00000000-0005-0000-0000-00002B000000}"/>
    <cellStyle name="2x indented GHG Textfiels 5" xfId="175" xr:uid="{00000000-0005-0000-0000-00002C000000}"/>
    <cellStyle name="2x indented GHG Textfiels 50" xfId="400" xr:uid="{00000000-0005-0000-0000-00002D000000}"/>
    <cellStyle name="2x indented GHG Textfiels 51" xfId="383" xr:uid="{00000000-0005-0000-0000-00002E000000}"/>
    <cellStyle name="2x indented GHG Textfiels 52" xfId="343" xr:uid="{00000000-0005-0000-0000-00002F000000}"/>
    <cellStyle name="2x indented GHG Textfiels 53" xfId="395" xr:uid="{00000000-0005-0000-0000-000030000000}"/>
    <cellStyle name="2x indented GHG Textfiels 54" xfId="411" xr:uid="{00000000-0005-0000-0000-000031000000}"/>
    <cellStyle name="2x indented GHG Textfiels 55" xfId="416" xr:uid="{00000000-0005-0000-0000-000032000000}"/>
    <cellStyle name="2x indented GHG Textfiels 56" xfId="420" xr:uid="{00000000-0005-0000-0000-000033000000}"/>
    <cellStyle name="2x indented GHG Textfiels 57" xfId="425" xr:uid="{00000000-0005-0000-0000-000034000000}"/>
    <cellStyle name="2x indented GHG Textfiels 58" xfId="349" xr:uid="{00000000-0005-0000-0000-000035000000}"/>
    <cellStyle name="2x indented GHG Textfiels 59" xfId="350" xr:uid="{00000000-0005-0000-0000-000036000000}"/>
    <cellStyle name="2x indented GHG Textfiels 6" xfId="116" xr:uid="{00000000-0005-0000-0000-000037000000}"/>
    <cellStyle name="2x indented GHG Textfiels 60" xfId="399" xr:uid="{00000000-0005-0000-0000-000038000000}"/>
    <cellStyle name="2x indented GHG Textfiels 7" xfId="174" xr:uid="{00000000-0005-0000-0000-000039000000}"/>
    <cellStyle name="2x indented GHG Textfiels 8" xfId="192" xr:uid="{00000000-0005-0000-0000-00003A000000}"/>
    <cellStyle name="2x indented GHG Textfiels 9" xfId="195" xr:uid="{00000000-0005-0000-0000-00003B000000}"/>
    <cellStyle name="5x indented GHG Textfiels" xfId="44" xr:uid="{00000000-0005-0000-0000-00003C000000}"/>
    <cellStyle name="5x indented GHG Textfiels 10" xfId="202" xr:uid="{00000000-0005-0000-0000-00003D000000}"/>
    <cellStyle name="5x indented GHG Textfiels 11" xfId="207" xr:uid="{00000000-0005-0000-0000-00003E000000}"/>
    <cellStyle name="5x indented GHG Textfiels 12" xfId="212" xr:uid="{00000000-0005-0000-0000-00003F000000}"/>
    <cellStyle name="5x indented GHG Textfiels 13" xfId="216" xr:uid="{00000000-0005-0000-0000-000040000000}"/>
    <cellStyle name="5x indented GHG Textfiels 14" xfId="221" xr:uid="{00000000-0005-0000-0000-000041000000}"/>
    <cellStyle name="5x indented GHG Textfiels 15" xfId="226" xr:uid="{00000000-0005-0000-0000-000042000000}"/>
    <cellStyle name="5x indented GHG Textfiels 16" xfId="231" xr:uid="{00000000-0005-0000-0000-000043000000}"/>
    <cellStyle name="5x indented GHG Textfiels 17" xfId="236" xr:uid="{00000000-0005-0000-0000-000044000000}"/>
    <cellStyle name="5x indented GHG Textfiels 18" xfId="241" xr:uid="{00000000-0005-0000-0000-000045000000}"/>
    <cellStyle name="5x indented GHG Textfiels 19" xfId="246" xr:uid="{00000000-0005-0000-0000-000046000000}"/>
    <cellStyle name="5x indented GHG Textfiels 2" xfId="112" xr:uid="{00000000-0005-0000-0000-000047000000}"/>
    <cellStyle name="5x indented GHG Textfiels 20" xfId="189" xr:uid="{00000000-0005-0000-0000-000048000000}"/>
    <cellStyle name="5x indented GHG Textfiels 21" xfId="255" xr:uid="{00000000-0005-0000-0000-000049000000}"/>
    <cellStyle name="5x indented GHG Textfiels 22" xfId="260" xr:uid="{00000000-0005-0000-0000-00004A000000}"/>
    <cellStyle name="5x indented GHG Textfiels 23" xfId="265" xr:uid="{00000000-0005-0000-0000-00004B000000}"/>
    <cellStyle name="5x indented GHG Textfiels 24" xfId="270" xr:uid="{00000000-0005-0000-0000-00004C000000}"/>
    <cellStyle name="5x indented GHG Textfiels 25" xfId="275" xr:uid="{00000000-0005-0000-0000-00004D000000}"/>
    <cellStyle name="5x indented GHG Textfiels 26" xfId="280" xr:uid="{00000000-0005-0000-0000-00004E000000}"/>
    <cellStyle name="5x indented GHG Textfiels 27" xfId="285" xr:uid="{00000000-0005-0000-0000-00004F000000}"/>
    <cellStyle name="5x indented GHG Textfiels 28" xfId="289" xr:uid="{00000000-0005-0000-0000-000050000000}"/>
    <cellStyle name="5x indented GHG Textfiels 29" xfId="294" xr:uid="{00000000-0005-0000-0000-000051000000}"/>
    <cellStyle name="5x indented GHG Textfiels 3" xfId="167" xr:uid="{00000000-0005-0000-0000-000052000000}"/>
    <cellStyle name="5x indented GHG Textfiels 30" xfId="298" xr:uid="{00000000-0005-0000-0000-000053000000}"/>
    <cellStyle name="5x indented GHG Textfiels 31" xfId="302" xr:uid="{00000000-0005-0000-0000-000054000000}"/>
    <cellStyle name="5x indented GHG Textfiels 32" xfId="306" xr:uid="{00000000-0005-0000-0000-000055000000}"/>
    <cellStyle name="5x indented GHG Textfiels 33" xfId="310" xr:uid="{00000000-0005-0000-0000-000056000000}"/>
    <cellStyle name="5x indented GHG Textfiels 34" xfId="314" xr:uid="{00000000-0005-0000-0000-000057000000}"/>
    <cellStyle name="5x indented GHG Textfiels 35" xfId="318" xr:uid="{00000000-0005-0000-0000-000058000000}"/>
    <cellStyle name="5x indented GHG Textfiels 36" xfId="322" xr:uid="{00000000-0005-0000-0000-000059000000}"/>
    <cellStyle name="5x indented GHG Textfiels 37" xfId="324" xr:uid="{00000000-0005-0000-0000-00005A000000}"/>
    <cellStyle name="5x indented GHG Textfiels 38" xfId="326" xr:uid="{00000000-0005-0000-0000-00005B000000}"/>
    <cellStyle name="5x indented GHG Textfiels 39" xfId="327" xr:uid="{00000000-0005-0000-0000-00005C000000}"/>
    <cellStyle name="5x indented GHG Textfiels 4" xfId="115" xr:uid="{00000000-0005-0000-0000-00005D000000}"/>
    <cellStyle name="5x indented GHG Textfiels 40" xfId="328" xr:uid="{00000000-0005-0000-0000-00005E000000}"/>
    <cellStyle name="5x indented GHG Textfiels 41" xfId="329" xr:uid="{00000000-0005-0000-0000-00005F000000}"/>
    <cellStyle name="5x indented GHG Textfiels 42" xfId="330" xr:uid="{00000000-0005-0000-0000-000060000000}"/>
    <cellStyle name="5x indented GHG Textfiels 43" xfId="331" xr:uid="{00000000-0005-0000-0000-000061000000}"/>
    <cellStyle name="5x indented GHG Textfiels 44" xfId="332" xr:uid="{00000000-0005-0000-0000-000062000000}"/>
    <cellStyle name="5x indented GHG Textfiels 45" xfId="405" xr:uid="{00000000-0005-0000-0000-000063000000}"/>
    <cellStyle name="5x indented GHG Textfiels 46" xfId="393" xr:uid="{00000000-0005-0000-0000-000064000000}"/>
    <cellStyle name="5x indented GHG Textfiels 47" xfId="409" xr:uid="{00000000-0005-0000-0000-000065000000}"/>
    <cellStyle name="5x indented GHG Textfiels 48" xfId="414" xr:uid="{00000000-0005-0000-0000-000066000000}"/>
    <cellStyle name="5x indented GHG Textfiels 49" xfId="419" xr:uid="{00000000-0005-0000-0000-000067000000}"/>
    <cellStyle name="5x indented GHG Textfiels 5" xfId="177" xr:uid="{00000000-0005-0000-0000-000068000000}"/>
    <cellStyle name="5x indented GHG Textfiels 50" xfId="423" xr:uid="{00000000-0005-0000-0000-000069000000}"/>
    <cellStyle name="5x indented GHG Textfiels 51" xfId="389" xr:uid="{00000000-0005-0000-0000-00006A000000}"/>
    <cellStyle name="5x indented GHG Textfiels 52" xfId="431" xr:uid="{00000000-0005-0000-0000-00006B000000}"/>
    <cellStyle name="5x indented GHG Textfiels 53" xfId="346" xr:uid="{00000000-0005-0000-0000-00006C000000}"/>
    <cellStyle name="5x indented GHG Textfiels 54" xfId="433" xr:uid="{00000000-0005-0000-0000-00006D000000}"/>
    <cellStyle name="5x indented GHG Textfiels 55" xfId="435" xr:uid="{00000000-0005-0000-0000-00006E000000}"/>
    <cellStyle name="5x indented GHG Textfiels 56" xfId="436" xr:uid="{00000000-0005-0000-0000-00006F000000}"/>
    <cellStyle name="5x indented GHG Textfiels 57" xfId="438" xr:uid="{00000000-0005-0000-0000-000070000000}"/>
    <cellStyle name="5x indented GHG Textfiels 58" xfId="348" xr:uid="{00000000-0005-0000-0000-000071000000}"/>
    <cellStyle name="5x indented GHG Textfiels 59" xfId="440" xr:uid="{00000000-0005-0000-0000-000072000000}"/>
    <cellStyle name="5x indented GHG Textfiels 6" xfId="182" xr:uid="{00000000-0005-0000-0000-000073000000}"/>
    <cellStyle name="5x indented GHG Textfiels 60" xfId="382" xr:uid="{00000000-0005-0000-0000-000074000000}"/>
    <cellStyle name="5x indented GHG Textfiels 7" xfId="187" xr:uid="{00000000-0005-0000-0000-000075000000}"/>
    <cellStyle name="5x indented GHG Textfiels 8" xfId="118" xr:uid="{00000000-0005-0000-0000-000076000000}"/>
    <cellStyle name="5x indented GHG Textfiels 9" xfId="197" xr:uid="{00000000-0005-0000-0000-000077000000}"/>
    <cellStyle name="Boden" xfId="45" xr:uid="{00000000-0005-0000-0000-000078000000}"/>
    <cellStyle name="Body text" xfId="46" xr:uid="{00000000-0005-0000-0000-000079000000}"/>
    <cellStyle name="Bold GHG Numbers (0.00)" xfId="47" xr:uid="{00000000-0005-0000-0000-00007A000000}"/>
    <cellStyle name="Comma [0]_CAS Ciba" xfId="48" xr:uid="{00000000-0005-0000-0000-00007B000000}"/>
    <cellStyle name="Comma_CAS Ciba" xfId="49" xr:uid="{00000000-0005-0000-0000-00007C000000}"/>
    <cellStyle name="comment" xfId="50" xr:uid="{00000000-0005-0000-0000-00007D000000}"/>
    <cellStyle name="Currency [0]_CAS Ciba" xfId="51" xr:uid="{00000000-0005-0000-0000-00007E000000}"/>
    <cellStyle name="Currency_CAS Ciba" xfId="52" xr:uid="{00000000-0005-0000-0000-00007F000000}"/>
    <cellStyle name="Dezimal 2" xfId="107" xr:uid="{00000000-0005-0000-0000-000080000000}"/>
    <cellStyle name="dt" xfId="53" xr:uid="{00000000-0005-0000-0000-000081000000}"/>
    <cellStyle name="EcoTitel" xfId="54" xr:uid="{00000000-0005-0000-0000-000082000000}"/>
    <cellStyle name="EcoZahl" xfId="55" xr:uid="{00000000-0005-0000-0000-000083000000}"/>
    <cellStyle name="Eingabe 2" xfId="56" xr:uid="{00000000-0005-0000-0000-000084000000}"/>
    <cellStyle name="Euro" xfId="57" xr:uid="{00000000-0005-0000-0000-000085000000}"/>
    <cellStyle name="header" xfId="58" xr:uid="{00000000-0005-0000-0000-000086000000}"/>
    <cellStyle name="Header Total" xfId="59" xr:uid="{00000000-0005-0000-0000-000087000000}"/>
    <cellStyle name="Header Total 10" xfId="168" xr:uid="{00000000-0005-0000-0000-000088000000}"/>
    <cellStyle name="Header Total 11" xfId="193" xr:uid="{00000000-0005-0000-0000-000089000000}"/>
    <cellStyle name="Header Total 12" xfId="10" xr:uid="{00000000-0005-0000-0000-00008A000000}"/>
    <cellStyle name="Header Total 13" xfId="11" xr:uid="{00000000-0005-0000-0000-00008B000000}"/>
    <cellStyle name="Header Total 14" xfId="12" xr:uid="{00000000-0005-0000-0000-00008C000000}"/>
    <cellStyle name="Header Total 15" xfId="13" xr:uid="{00000000-0005-0000-0000-00008D000000}"/>
    <cellStyle name="Header Total 16" xfId="14" xr:uid="{00000000-0005-0000-0000-00008E000000}"/>
    <cellStyle name="Header Total 17" xfId="15" xr:uid="{00000000-0005-0000-0000-00008F000000}"/>
    <cellStyle name="Header Total 18" xfId="16" xr:uid="{00000000-0005-0000-0000-000090000000}"/>
    <cellStyle name="Header Total 19" xfId="17" xr:uid="{00000000-0005-0000-0000-000091000000}"/>
    <cellStyle name="Header Total 2" xfId="125" xr:uid="{00000000-0005-0000-0000-000092000000}"/>
    <cellStyle name="Header Total 20" xfId="18" xr:uid="{00000000-0005-0000-0000-000093000000}"/>
    <cellStyle name="Header Total 21" xfId="157" xr:uid="{00000000-0005-0000-0000-000094000000}"/>
    <cellStyle name="Header Total 22" xfId="190" xr:uid="{00000000-0005-0000-0000-000095000000}"/>
    <cellStyle name="Header Total 23" xfId="251" xr:uid="{00000000-0005-0000-0000-000096000000}"/>
    <cellStyle name="Header Total 24" xfId="19" xr:uid="{00000000-0005-0000-0000-000097000000}"/>
    <cellStyle name="Header Total 25" xfId="20" xr:uid="{00000000-0005-0000-0000-000098000000}"/>
    <cellStyle name="Header Total 26" xfId="21" xr:uid="{00000000-0005-0000-0000-000099000000}"/>
    <cellStyle name="Header Total 27" xfId="22" xr:uid="{00000000-0005-0000-0000-00009A000000}"/>
    <cellStyle name="Header Total 28" xfId="23" xr:uid="{00000000-0005-0000-0000-00009B000000}"/>
    <cellStyle name="Header Total 29" xfId="24" xr:uid="{00000000-0005-0000-0000-00009C000000}"/>
    <cellStyle name="Header Total 3" xfId="153" xr:uid="{00000000-0005-0000-0000-00009D000000}"/>
    <cellStyle name="Header Total 30" xfId="25" xr:uid="{00000000-0005-0000-0000-00009E000000}"/>
    <cellStyle name="Header Total 31" xfId="26" xr:uid="{00000000-0005-0000-0000-00009F000000}"/>
    <cellStyle name="Header Total 32" xfId="27" xr:uid="{00000000-0005-0000-0000-0000A0000000}"/>
    <cellStyle name="Header Total 33" xfId="28" xr:uid="{00000000-0005-0000-0000-0000A1000000}"/>
    <cellStyle name="Header Total 34" xfId="29" xr:uid="{00000000-0005-0000-0000-0000A2000000}"/>
    <cellStyle name="Header Total 35" xfId="30" xr:uid="{00000000-0005-0000-0000-0000A3000000}"/>
    <cellStyle name="Header Total 36" xfId="31" xr:uid="{00000000-0005-0000-0000-0000A4000000}"/>
    <cellStyle name="Header Total 37" xfId="32" xr:uid="{00000000-0005-0000-0000-0000A5000000}"/>
    <cellStyle name="Header Total 38" xfId="33" xr:uid="{00000000-0005-0000-0000-0000A6000000}"/>
    <cellStyle name="Header Total 39" xfId="34" xr:uid="{00000000-0005-0000-0000-0000A7000000}"/>
    <cellStyle name="Header Total 4" xfId="126" xr:uid="{00000000-0005-0000-0000-0000A8000000}"/>
    <cellStyle name="Header Total 40" xfId="35" xr:uid="{00000000-0005-0000-0000-0000A9000000}"/>
    <cellStyle name="Header Total 41" xfId="36" xr:uid="{00000000-0005-0000-0000-0000AA000000}"/>
    <cellStyle name="Header Total 42" xfId="37" xr:uid="{00000000-0005-0000-0000-0000AB000000}"/>
    <cellStyle name="Header Total 43" xfId="38" xr:uid="{00000000-0005-0000-0000-0000AC000000}"/>
    <cellStyle name="Header Total 44" xfId="39" xr:uid="{00000000-0005-0000-0000-0000AD000000}"/>
    <cellStyle name="Header Total 45" xfId="351" xr:uid="{00000000-0005-0000-0000-0000AE000000}"/>
    <cellStyle name="Header Total 46" xfId="396" xr:uid="{00000000-0005-0000-0000-0000AF000000}"/>
    <cellStyle name="Header Total 47" xfId="333" xr:uid="{00000000-0005-0000-0000-0000B0000000}"/>
    <cellStyle name="Header Total 48" xfId="334" xr:uid="{00000000-0005-0000-0000-0000B1000000}"/>
    <cellStyle name="Header Total 49" xfId="335" xr:uid="{00000000-0005-0000-0000-0000B2000000}"/>
    <cellStyle name="Header Total 5" xfId="155" xr:uid="{00000000-0005-0000-0000-0000B3000000}"/>
    <cellStyle name="Header Total 50" xfId="336" xr:uid="{00000000-0005-0000-0000-0000B4000000}"/>
    <cellStyle name="Header Total 51" xfId="421" xr:uid="{00000000-0005-0000-0000-0000B5000000}"/>
    <cellStyle name="Header Total 52" xfId="337" xr:uid="{00000000-0005-0000-0000-0000B6000000}"/>
    <cellStyle name="Header Total 53" xfId="427" xr:uid="{00000000-0005-0000-0000-0000B7000000}"/>
    <cellStyle name="Header Total 54" xfId="338" xr:uid="{00000000-0005-0000-0000-0000B8000000}"/>
    <cellStyle name="Header Total 55" xfId="339" xr:uid="{00000000-0005-0000-0000-0000B9000000}"/>
    <cellStyle name="Header Total 56" xfId="340" xr:uid="{00000000-0005-0000-0000-0000BA000000}"/>
    <cellStyle name="Header Total 57" xfId="341" xr:uid="{00000000-0005-0000-0000-0000BB000000}"/>
    <cellStyle name="Header Total 58" xfId="437" xr:uid="{00000000-0005-0000-0000-0000BC000000}"/>
    <cellStyle name="Header Total 59" xfId="342" xr:uid="{00000000-0005-0000-0000-0000BD000000}"/>
    <cellStyle name="Header Total 6" xfId="171" xr:uid="{00000000-0005-0000-0000-0000BE000000}"/>
    <cellStyle name="Header Total 60" xfId="439" xr:uid="{00000000-0005-0000-0000-0000BF000000}"/>
    <cellStyle name="Header Total 7" xfId="172" xr:uid="{00000000-0005-0000-0000-0000C0000000}"/>
    <cellStyle name="Header Total 8" xfId="9" xr:uid="{00000000-0005-0000-0000-0000C1000000}"/>
    <cellStyle name="Header Total 9" xfId="156" xr:uid="{00000000-0005-0000-0000-0000C2000000}"/>
    <cellStyle name="Headline" xfId="60" xr:uid="{00000000-0005-0000-0000-0000C3000000}"/>
    <cellStyle name="kg" xfId="61" xr:uid="{00000000-0005-0000-0000-0000C5000000}"/>
    <cellStyle name="Komma 2" xfId="62" xr:uid="{00000000-0005-0000-0000-0000C6000000}"/>
    <cellStyle name="Komma 3" xfId="42" xr:uid="{00000000-0005-0000-0000-0000C7000000}"/>
    <cellStyle name="Komma 3 2" xfId="63" xr:uid="{00000000-0005-0000-0000-0000C8000000}"/>
    <cellStyle name="Komma 3 2 2" xfId="362" xr:uid="{00000000-0005-0000-0000-0000C9000000}"/>
    <cellStyle name="Komma 3 3" xfId="64" xr:uid="{00000000-0005-0000-0000-0000CA000000}"/>
    <cellStyle name="Komma 3 3 2" xfId="363" xr:uid="{00000000-0005-0000-0000-0000CB000000}"/>
    <cellStyle name="Komma 3 4" xfId="65" xr:uid="{00000000-0005-0000-0000-0000CC000000}"/>
    <cellStyle name="Komma 3 4 2" xfId="364" xr:uid="{00000000-0005-0000-0000-0000CD000000}"/>
    <cellStyle name="Komma 3 5" xfId="66" xr:uid="{00000000-0005-0000-0000-0000CE000000}"/>
    <cellStyle name="Komma 3 5 2" xfId="365" xr:uid="{00000000-0005-0000-0000-0000CF000000}"/>
    <cellStyle name="Komma 3 6" xfId="344" xr:uid="{00000000-0005-0000-0000-0000D0000000}"/>
    <cellStyle name="Komma 4" xfId="67" xr:uid="{00000000-0005-0000-0000-0000D1000000}"/>
    <cellStyle name="Komma 4 2" xfId="366" xr:uid="{00000000-0005-0000-0000-0000D2000000}"/>
    <cellStyle name="l" xfId="68" xr:uid="{00000000-0005-0000-0000-0000D3000000}"/>
    <cellStyle name="Link" xfId="5" builtinId="8"/>
    <cellStyle name="Luft" xfId="69" xr:uid="{00000000-0005-0000-0000-0000D4000000}"/>
    <cellStyle name="m2" xfId="70" xr:uid="{00000000-0005-0000-0000-0000D5000000}"/>
    <cellStyle name="m2a" xfId="71" xr:uid="{00000000-0005-0000-0000-0000D6000000}"/>
    <cellStyle name="m3" xfId="72" xr:uid="{00000000-0005-0000-0000-0000D7000000}"/>
    <cellStyle name="Niels" xfId="73" xr:uid="{00000000-0005-0000-0000-0000D8000000}"/>
    <cellStyle name="NielsProz" xfId="74" xr:uid="{00000000-0005-0000-0000-0000D9000000}"/>
    <cellStyle name="NielsProzent" xfId="75" xr:uid="{00000000-0005-0000-0000-0000DA000000}"/>
    <cellStyle name="Normal GHG Numbers (0.00)" xfId="76" xr:uid="{00000000-0005-0000-0000-0000DB000000}"/>
    <cellStyle name="Normal GHG Numbers (0.00) 10" xfId="7" xr:uid="{00000000-0005-0000-0000-0000DC000000}"/>
    <cellStyle name="Normal GHG Numbers (0.00) 11" xfId="110" xr:uid="{00000000-0005-0000-0000-0000DD000000}"/>
    <cellStyle name="Normal GHG Numbers (0.00) 12" xfId="170" xr:uid="{00000000-0005-0000-0000-0000DE000000}"/>
    <cellStyle name="Normal GHG Numbers (0.00) 13" xfId="178" xr:uid="{00000000-0005-0000-0000-0000DF000000}"/>
    <cellStyle name="Normal GHG Numbers (0.00) 14" xfId="185" xr:uid="{00000000-0005-0000-0000-0000E0000000}"/>
    <cellStyle name="Normal GHG Numbers (0.00) 15" xfId="117" xr:uid="{00000000-0005-0000-0000-0000E1000000}"/>
    <cellStyle name="Normal GHG Numbers (0.00) 16" xfId="196" xr:uid="{00000000-0005-0000-0000-0000E2000000}"/>
    <cellStyle name="Normal GHG Numbers (0.00) 17" xfId="201" xr:uid="{00000000-0005-0000-0000-0000E3000000}"/>
    <cellStyle name="Normal GHG Numbers (0.00) 18" xfId="206" xr:uid="{00000000-0005-0000-0000-0000E4000000}"/>
    <cellStyle name="Normal GHG Numbers (0.00) 19" xfId="211" xr:uid="{00000000-0005-0000-0000-0000E5000000}"/>
    <cellStyle name="Normal GHG Numbers (0.00) 2" xfId="141" xr:uid="{00000000-0005-0000-0000-0000E6000000}"/>
    <cellStyle name="Normal GHG Numbers (0.00) 20" xfId="215" xr:uid="{00000000-0005-0000-0000-0000E7000000}"/>
    <cellStyle name="Normal GHG Numbers (0.00) 21" xfId="140" xr:uid="{00000000-0005-0000-0000-0000E8000000}"/>
    <cellStyle name="Normal GHG Numbers (0.00) 22" xfId="224" xr:uid="{00000000-0005-0000-0000-0000E9000000}"/>
    <cellStyle name="Normal GHG Numbers (0.00) 23" xfId="227" xr:uid="{00000000-0005-0000-0000-0000EA000000}"/>
    <cellStyle name="Normal GHG Numbers (0.00) 24" xfId="234" xr:uid="{00000000-0005-0000-0000-0000EB000000}"/>
    <cellStyle name="Normal GHG Numbers (0.00) 25" xfId="237" xr:uid="{00000000-0005-0000-0000-0000EC000000}"/>
    <cellStyle name="Normal GHG Numbers (0.00) 26" xfId="244" xr:uid="{00000000-0005-0000-0000-0000ED000000}"/>
    <cellStyle name="Normal GHG Numbers (0.00) 27" xfId="179" xr:uid="{00000000-0005-0000-0000-0000EE000000}"/>
    <cellStyle name="Normal GHG Numbers (0.00) 28" xfId="254" xr:uid="{00000000-0005-0000-0000-0000EF000000}"/>
    <cellStyle name="Normal GHG Numbers (0.00) 29" xfId="259" xr:uid="{00000000-0005-0000-0000-0000F0000000}"/>
    <cellStyle name="Normal GHG Numbers (0.00) 3" xfId="136" xr:uid="{00000000-0005-0000-0000-0000F1000000}"/>
    <cellStyle name="Normal GHG Numbers (0.00) 30" xfId="264" xr:uid="{00000000-0005-0000-0000-0000F2000000}"/>
    <cellStyle name="Normal GHG Numbers (0.00) 31" xfId="269" xr:uid="{00000000-0005-0000-0000-0000F3000000}"/>
    <cellStyle name="Normal GHG Numbers (0.00) 32" xfId="274" xr:uid="{00000000-0005-0000-0000-0000F4000000}"/>
    <cellStyle name="Normal GHG Numbers (0.00) 33" xfId="279" xr:uid="{00000000-0005-0000-0000-0000F5000000}"/>
    <cellStyle name="Normal GHG Numbers (0.00) 34" xfId="284" xr:uid="{00000000-0005-0000-0000-0000F6000000}"/>
    <cellStyle name="Normal GHG Numbers (0.00) 35" xfId="288" xr:uid="{00000000-0005-0000-0000-0000F7000000}"/>
    <cellStyle name="Normal GHG Numbers (0.00) 36" xfId="293" xr:uid="{00000000-0005-0000-0000-0000F8000000}"/>
    <cellStyle name="Normal GHG Numbers (0.00) 37" xfId="297" xr:uid="{00000000-0005-0000-0000-0000F9000000}"/>
    <cellStyle name="Normal GHG Numbers (0.00) 38" xfId="301" xr:uid="{00000000-0005-0000-0000-0000FA000000}"/>
    <cellStyle name="Normal GHG Numbers (0.00) 39" xfId="305" xr:uid="{00000000-0005-0000-0000-0000FB000000}"/>
    <cellStyle name="Normal GHG Numbers (0.00) 4" xfId="146" xr:uid="{00000000-0005-0000-0000-0000FC000000}"/>
    <cellStyle name="Normal GHG Numbers (0.00) 40" xfId="309" xr:uid="{00000000-0005-0000-0000-0000FD000000}"/>
    <cellStyle name="Normal GHG Numbers (0.00) 41" xfId="313" xr:uid="{00000000-0005-0000-0000-0000FE000000}"/>
    <cellStyle name="Normal GHG Numbers (0.00) 42" xfId="317" xr:uid="{00000000-0005-0000-0000-0000FF000000}"/>
    <cellStyle name="Normal GHG Numbers (0.00) 43" xfId="321" xr:uid="{00000000-0005-0000-0000-000000010000}"/>
    <cellStyle name="Normal GHG Numbers (0.00) 44" xfId="109" xr:uid="{00000000-0005-0000-0000-000001010000}"/>
    <cellStyle name="Normal GHG Numbers (0.00) 45" xfId="369" xr:uid="{00000000-0005-0000-0000-000002010000}"/>
    <cellStyle name="Normal GHG Numbers (0.00) 46" xfId="359" xr:uid="{00000000-0005-0000-0000-000003010000}"/>
    <cellStyle name="Normal GHG Numbers (0.00) 47" xfId="372" xr:uid="{00000000-0005-0000-0000-000004010000}"/>
    <cellStyle name="Normal GHG Numbers (0.00) 48" xfId="356" xr:uid="{00000000-0005-0000-0000-000005010000}"/>
    <cellStyle name="Normal GHG Numbers (0.00) 49" xfId="375" xr:uid="{00000000-0005-0000-0000-000006010000}"/>
    <cellStyle name="Normal GHG Numbers (0.00) 5" xfId="138" xr:uid="{00000000-0005-0000-0000-000007010000}"/>
    <cellStyle name="Normal GHG Numbers (0.00) 50" xfId="361" xr:uid="{00000000-0005-0000-0000-000008010000}"/>
    <cellStyle name="Normal GHG Numbers (0.00) 51" xfId="404" xr:uid="{00000000-0005-0000-0000-000009010000}"/>
    <cellStyle name="Normal GHG Numbers (0.00) 52" xfId="353" xr:uid="{00000000-0005-0000-0000-00000A010000}"/>
    <cellStyle name="Normal GHG Numbers (0.00) 53" xfId="392" xr:uid="{00000000-0005-0000-0000-00000B010000}"/>
    <cellStyle name="Normal GHG Numbers (0.00) 54" xfId="408" xr:uid="{00000000-0005-0000-0000-00000C010000}"/>
    <cellStyle name="Normal GHG Numbers (0.00) 55" xfId="413" xr:uid="{00000000-0005-0000-0000-00000D010000}"/>
    <cellStyle name="Normal GHG Numbers (0.00) 56" xfId="418" xr:uid="{00000000-0005-0000-0000-00000E010000}"/>
    <cellStyle name="Normal GHG Numbers (0.00) 57" xfId="379" xr:uid="{00000000-0005-0000-0000-00000F010000}"/>
    <cellStyle name="Normal GHG Numbers (0.00) 58" xfId="430" xr:uid="{00000000-0005-0000-0000-000010010000}"/>
    <cellStyle name="Normal GHG Numbers (0.00) 59" xfId="384" xr:uid="{00000000-0005-0000-0000-000011010000}"/>
    <cellStyle name="Normal GHG Numbers (0.00) 6" xfId="149" xr:uid="{00000000-0005-0000-0000-000012010000}"/>
    <cellStyle name="Normal GHG Numbers (0.00) 60" xfId="347" xr:uid="{00000000-0005-0000-0000-000013010000}"/>
    <cellStyle name="Normal GHG Numbers (0.00) 7" xfId="132" xr:uid="{00000000-0005-0000-0000-000014010000}"/>
    <cellStyle name="Normal GHG Numbers (0.00) 8" xfId="166" xr:uid="{00000000-0005-0000-0000-000015010000}"/>
    <cellStyle name="Normal GHG Numbers (0.00) 9" xfId="139" xr:uid="{00000000-0005-0000-0000-000016010000}"/>
    <cellStyle name="Normal GHG Textfiels Bold" xfId="77" xr:uid="{00000000-0005-0000-0000-000017010000}"/>
    <cellStyle name="Normal GHG Textfiels Bold 10" xfId="113" xr:uid="{00000000-0005-0000-0000-000018010000}"/>
    <cellStyle name="Normal GHG Textfiels Bold 11" xfId="173" xr:uid="{00000000-0005-0000-0000-000019010000}"/>
    <cellStyle name="Normal GHG Textfiels Bold 12" xfId="183" xr:uid="{00000000-0005-0000-0000-00001A010000}"/>
    <cellStyle name="Normal GHG Textfiels Bold 13" xfId="181" xr:uid="{00000000-0005-0000-0000-00001B010000}"/>
    <cellStyle name="Normal GHG Textfiels Bold 14" xfId="154" xr:uid="{00000000-0005-0000-0000-00001C010000}"/>
    <cellStyle name="Normal GHG Textfiels Bold 15" xfId="188" xr:uid="{00000000-0005-0000-0000-00001D010000}"/>
    <cellStyle name="Normal GHG Textfiels Bold 16" xfId="194" xr:uid="{00000000-0005-0000-0000-00001E010000}"/>
    <cellStyle name="Normal GHG Textfiels Bold 17" xfId="200" xr:uid="{00000000-0005-0000-0000-00001F010000}"/>
    <cellStyle name="Normal GHG Textfiels Bold 18" xfId="205" xr:uid="{00000000-0005-0000-0000-000020010000}"/>
    <cellStyle name="Normal GHG Textfiels Bold 19" xfId="210" xr:uid="{00000000-0005-0000-0000-000021010000}"/>
    <cellStyle name="Normal GHG Textfiels Bold 2" xfId="142" xr:uid="{00000000-0005-0000-0000-000022010000}"/>
    <cellStyle name="Normal GHG Textfiels Bold 20" xfId="222" xr:uid="{00000000-0005-0000-0000-000023010000}"/>
    <cellStyle name="Normal GHG Textfiels Bold 21" xfId="220" xr:uid="{00000000-0005-0000-0000-000024010000}"/>
    <cellStyle name="Normal GHG Textfiels Bold 22" xfId="232" xr:uid="{00000000-0005-0000-0000-000025010000}"/>
    <cellStyle name="Normal GHG Textfiels Bold 23" xfId="230" xr:uid="{00000000-0005-0000-0000-000026010000}"/>
    <cellStyle name="Normal GHG Textfiels Bold 24" xfId="242" xr:uid="{00000000-0005-0000-0000-000027010000}"/>
    <cellStyle name="Normal GHG Textfiels Bold 25" xfId="240" xr:uid="{00000000-0005-0000-0000-000028010000}"/>
    <cellStyle name="Normal GHG Textfiels Bold 26" xfId="8" xr:uid="{00000000-0005-0000-0000-000029010000}"/>
    <cellStyle name="Normal GHG Textfiels Bold 27" xfId="247" xr:uid="{00000000-0005-0000-0000-00002A010000}"/>
    <cellStyle name="Normal GHG Textfiels Bold 28" xfId="252" xr:uid="{00000000-0005-0000-0000-00002B010000}"/>
    <cellStyle name="Normal GHG Textfiels Bold 29" xfId="258" xr:uid="{00000000-0005-0000-0000-00002C010000}"/>
    <cellStyle name="Normal GHG Textfiels Bold 3" xfId="135" xr:uid="{00000000-0005-0000-0000-00002D010000}"/>
    <cellStyle name="Normal GHG Textfiels Bold 30" xfId="263" xr:uid="{00000000-0005-0000-0000-00002E010000}"/>
    <cellStyle name="Normal GHG Textfiels Bold 31" xfId="268" xr:uid="{00000000-0005-0000-0000-00002F010000}"/>
    <cellStyle name="Normal GHG Textfiels Bold 32" xfId="273" xr:uid="{00000000-0005-0000-0000-000030010000}"/>
    <cellStyle name="Normal GHG Textfiels Bold 33" xfId="278" xr:uid="{00000000-0005-0000-0000-000031010000}"/>
    <cellStyle name="Normal GHG Textfiels Bold 34" xfId="283" xr:uid="{00000000-0005-0000-0000-000032010000}"/>
    <cellStyle name="Normal GHG Textfiels Bold 35" xfId="287" xr:uid="{00000000-0005-0000-0000-000033010000}"/>
    <cellStyle name="Normal GHG Textfiels Bold 36" xfId="292" xr:uid="{00000000-0005-0000-0000-000034010000}"/>
    <cellStyle name="Normal GHG Textfiels Bold 37" xfId="296" xr:uid="{00000000-0005-0000-0000-000035010000}"/>
    <cellStyle name="Normal GHG Textfiels Bold 38" xfId="300" xr:uid="{00000000-0005-0000-0000-000036010000}"/>
    <cellStyle name="Normal GHG Textfiels Bold 39" xfId="304" xr:uid="{00000000-0005-0000-0000-000037010000}"/>
    <cellStyle name="Normal GHG Textfiels Bold 4" xfId="147" xr:uid="{00000000-0005-0000-0000-000038010000}"/>
    <cellStyle name="Normal GHG Textfiels Bold 40" xfId="308" xr:uid="{00000000-0005-0000-0000-000039010000}"/>
    <cellStyle name="Normal GHG Textfiels Bold 41" xfId="312" xr:uid="{00000000-0005-0000-0000-00003A010000}"/>
    <cellStyle name="Normal GHG Textfiels Bold 42" xfId="316" xr:uid="{00000000-0005-0000-0000-00003B010000}"/>
    <cellStyle name="Normal GHG Textfiels Bold 43" xfId="320" xr:uid="{00000000-0005-0000-0000-00003C010000}"/>
    <cellStyle name="Normal GHG Textfiels Bold 44" xfId="145" xr:uid="{00000000-0005-0000-0000-00003D010000}"/>
    <cellStyle name="Normal GHG Textfiels Bold 45" xfId="370" xr:uid="{00000000-0005-0000-0000-00003E010000}"/>
    <cellStyle name="Normal GHG Textfiels Bold 46" xfId="358" xr:uid="{00000000-0005-0000-0000-00003F010000}"/>
    <cellStyle name="Normal GHG Textfiels Bold 47" xfId="373" xr:uid="{00000000-0005-0000-0000-000040010000}"/>
    <cellStyle name="Normal GHG Textfiels Bold 48" xfId="355" xr:uid="{00000000-0005-0000-0000-000041010000}"/>
    <cellStyle name="Normal GHG Textfiels Bold 49" xfId="376" xr:uid="{00000000-0005-0000-0000-000042010000}"/>
    <cellStyle name="Normal GHG Textfiels Bold 5" xfId="137" xr:uid="{00000000-0005-0000-0000-000043010000}"/>
    <cellStyle name="Normal GHG Textfiels Bold 50" xfId="367" xr:uid="{00000000-0005-0000-0000-000044010000}"/>
    <cellStyle name="Normal GHG Textfiels Bold 51" xfId="398" xr:uid="{00000000-0005-0000-0000-000045010000}"/>
    <cellStyle name="Normal GHG Textfiels Bold 52" xfId="352" xr:uid="{00000000-0005-0000-0000-000046010000}"/>
    <cellStyle name="Normal GHG Textfiels Bold 53" xfId="407" xr:uid="{00000000-0005-0000-0000-000047010000}"/>
    <cellStyle name="Normal GHG Textfiels Bold 54" xfId="406" xr:uid="{00000000-0005-0000-0000-000048010000}"/>
    <cellStyle name="Normal GHG Textfiels Bold 55" xfId="412" xr:uid="{00000000-0005-0000-0000-000049010000}"/>
    <cellStyle name="Normal GHG Textfiels Bold 56" xfId="417" xr:uid="{00000000-0005-0000-0000-00004A010000}"/>
    <cellStyle name="Normal GHG Textfiels Bold 57" xfId="378" xr:uid="{00000000-0005-0000-0000-00004B010000}"/>
    <cellStyle name="Normal GHG Textfiels Bold 58" xfId="429" xr:uid="{00000000-0005-0000-0000-00004C010000}"/>
    <cellStyle name="Normal GHG Textfiels Bold 59" xfId="426" xr:uid="{00000000-0005-0000-0000-00004D010000}"/>
    <cellStyle name="Normal GHG Textfiels Bold 6" xfId="150" xr:uid="{00000000-0005-0000-0000-00004E010000}"/>
    <cellStyle name="Normal GHG Textfiels Bold 60" xfId="432" xr:uid="{00000000-0005-0000-0000-00004F010000}"/>
    <cellStyle name="Normal GHG Textfiels Bold 7" xfId="131" xr:uid="{00000000-0005-0000-0000-000050010000}"/>
    <cellStyle name="Normal GHG Textfiels Bold 8" xfId="108" xr:uid="{00000000-0005-0000-0000-000051010000}"/>
    <cellStyle name="Normal GHG Textfiels Bold 9" xfId="129" xr:uid="{00000000-0005-0000-0000-000052010000}"/>
    <cellStyle name="Normal GHG whole table" xfId="78" xr:uid="{00000000-0005-0000-0000-000053010000}"/>
    <cellStyle name="Normal GHG whole table 10" xfId="176" xr:uid="{00000000-0005-0000-0000-000054010000}"/>
    <cellStyle name="Normal GHG whole table 11" xfId="127" xr:uid="{00000000-0005-0000-0000-000055010000}"/>
    <cellStyle name="Normal GHG whole table 12" xfId="186" xr:uid="{00000000-0005-0000-0000-000056010000}"/>
    <cellStyle name="Normal GHG whole table 13" xfId="180" xr:uid="{00000000-0005-0000-0000-000057010000}"/>
    <cellStyle name="Normal GHG whole table 14" xfId="191" xr:uid="{00000000-0005-0000-0000-000058010000}"/>
    <cellStyle name="Normal GHG whole table 15" xfId="198" xr:uid="{00000000-0005-0000-0000-000059010000}"/>
    <cellStyle name="Normal GHG whole table 16" xfId="203" xr:uid="{00000000-0005-0000-0000-00005A010000}"/>
    <cellStyle name="Normal GHG whole table 17" xfId="208" xr:uid="{00000000-0005-0000-0000-00005B010000}"/>
    <cellStyle name="Normal GHG whole table 18" xfId="213" xr:uid="{00000000-0005-0000-0000-00005C010000}"/>
    <cellStyle name="Normal GHG whole table 19" xfId="217" xr:uid="{00000000-0005-0000-0000-00005D010000}"/>
    <cellStyle name="Normal GHG whole table 2" xfId="143" xr:uid="{00000000-0005-0000-0000-00005E010000}"/>
    <cellStyle name="Normal GHG whole table 20" xfId="225" xr:uid="{00000000-0005-0000-0000-00005F010000}"/>
    <cellStyle name="Normal GHG whole table 21" xfId="219" xr:uid="{00000000-0005-0000-0000-000060010000}"/>
    <cellStyle name="Normal GHG whole table 22" xfId="235" xr:uid="{00000000-0005-0000-0000-000061010000}"/>
    <cellStyle name="Normal GHG whole table 23" xfId="229" xr:uid="{00000000-0005-0000-0000-000062010000}"/>
    <cellStyle name="Normal GHG whole table 24" xfId="245" xr:uid="{00000000-0005-0000-0000-000063010000}"/>
    <cellStyle name="Normal GHG whole table 25" xfId="239" xr:uid="{00000000-0005-0000-0000-000064010000}"/>
    <cellStyle name="Normal GHG whole table 26" xfId="249" xr:uid="{00000000-0005-0000-0000-000065010000}"/>
    <cellStyle name="Normal GHG whole table 27" xfId="256" xr:uid="{00000000-0005-0000-0000-000066010000}"/>
    <cellStyle name="Normal GHG whole table 28" xfId="261" xr:uid="{00000000-0005-0000-0000-000067010000}"/>
    <cellStyle name="Normal GHG whole table 29" xfId="266" xr:uid="{00000000-0005-0000-0000-000068010000}"/>
    <cellStyle name="Normal GHG whole table 3" xfId="134" xr:uid="{00000000-0005-0000-0000-000069010000}"/>
    <cellStyle name="Normal GHG whole table 30" xfId="271" xr:uid="{00000000-0005-0000-0000-00006A010000}"/>
    <cellStyle name="Normal GHG whole table 31" xfId="276" xr:uid="{00000000-0005-0000-0000-00006B010000}"/>
    <cellStyle name="Normal GHG whole table 32" xfId="281" xr:uid="{00000000-0005-0000-0000-00006C010000}"/>
    <cellStyle name="Normal GHG whole table 33" xfId="286" xr:uid="{00000000-0005-0000-0000-00006D010000}"/>
    <cellStyle name="Normal GHG whole table 34" xfId="290" xr:uid="{00000000-0005-0000-0000-00006E010000}"/>
    <cellStyle name="Normal GHG whole table 35" xfId="295" xr:uid="{00000000-0005-0000-0000-00006F010000}"/>
    <cellStyle name="Normal GHG whole table 36" xfId="299" xr:uid="{00000000-0005-0000-0000-000070010000}"/>
    <cellStyle name="Normal GHG whole table 37" xfId="303" xr:uid="{00000000-0005-0000-0000-000071010000}"/>
    <cellStyle name="Normal GHG whole table 38" xfId="307" xr:uid="{00000000-0005-0000-0000-000072010000}"/>
    <cellStyle name="Normal GHG whole table 39" xfId="311" xr:uid="{00000000-0005-0000-0000-000073010000}"/>
    <cellStyle name="Normal GHG whole table 4" xfId="148" xr:uid="{00000000-0005-0000-0000-000074010000}"/>
    <cellStyle name="Normal GHG whole table 40" xfId="315" xr:uid="{00000000-0005-0000-0000-000075010000}"/>
    <cellStyle name="Normal GHG whole table 41" xfId="319" xr:uid="{00000000-0005-0000-0000-000076010000}"/>
    <cellStyle name="Normal GHG whole table 42" xfId="323" xr:uid="{00000000-0005-0000-0000-000077010000}"/>
    <cellStyle name="Normal GHG whole table 43" xfId="325" xr:uid="{00000000-0005-0000-0000-000078010000}"/>
    <cellStyle name="Normal GHG whole table 44" xfId="144" xr:uid="{00000000-0005-0000-0000-000079010000}"/>
    <cellStyle name="Normal GHG whole table 45" xfId="371" xr:uid="{00000000-0005-0000-0000-00007A010000}"/>
    <cellStyle name="Normal GHG whole table 46" xfId="357" xr:uid="{00000000-0005-0000-0000-00007B010000}"/>
    <cellStyle name="Normal GHG whole table 47" xfId="374" xr:uid="{00000000-0005-0000-0000-00007C010000}"/>
    <cellStyle name="Normal GHG whole table 48" xfId="354" xr:uid="{00000000-0005-0000-0000-00007D010000}"/>
    <cellStyle name="Normal GHG whole table 49" xfId="377" xr:uid="{00000000-0005-0000-0000-00007E010000}"/>
    <cellStyle name="Normal GHG whole table 5" xfId="133" xr:uid="{00000000-0005-0000-0000-00007F010000}"/>
    <cellStyle name="Normal GHG whole table 50" xfId="368" xr:uid="{00000000-0005-0000-0000-000080010000}"/>
    <cellStyle name="Normal GHG whole table 51" xfId="394" xr:uid="{00000000-0005-0000-0000-000081010000}"/>
    <cellStyle name="Normal GHG whole table 52" xfId="397" xr:uid="{00000000-0005-0000-0000-000082010000}"/>
    <cellStyle name="Normal GHG whole table 53" xfId="410" xr:uid="{00000000-0005-0000-0000-000083010000}"/>
    <cellStyle name="Normal GHG whole table 54" xfId="415" xr:uid="{00000000-0005-0000-0000-000084010000}"/>
    <cellStyle name="Normal GHG whole table 55" xfId="424" xr:uid="{00000000-0005-0000-0000-000085010000}"/>
    <cellStyle name="Normal GHG whole table 56" xfId="422" xr:uid="{00000000-0005-0000-0000-000086010000}"/>
    <cellStyle name="Normal GHG whole table 57" xfId="360" xr:uid="{00000000-0005-0000-0000-000087010000}"/>
    <cellStyle name="Normal GHG whole table 58" xfId="345" xr:uid="{00000000-0005-0000-0000-000088010000}"/>
    <cellStyle name="Normal GHG whole table 59" xfId="428" xr:uid="{00000000-0005-0000-0000-000089010000}"/>
    <cellStyle name="Normal GHG whole table 6" xfId="151" xr:uid="{00000000-0005-0000-0000-00008A010000}"/>
    <cellStyle name="Normal GHG whole table 60" xfId="434" xr:uid="{00000000-0005-0000-0000-00008B010000}"/>
    <cellStyle name="Normal GHG whole table 7" xfId="130" xr:uid="{00000000-0005-0000-0000-00008C010000}"/>
    <cellStyle name="Normal GHG whole table 8" xfId="152" xr:uid="{00000000-0005-0000-0000-00008D010000}"/>
    <cellStyle name="Normal GHG whole table 9" xfId="128" xr:uid="{00000000-0005-0000-0000-00008E010000}"/>
    <cellStyle name="Normal_CAS Ciba" xfId="79" xr:uid="{00000000-0005-0000-0000-00008F010000}"/>
    <cellStyle name="NormalTabelle" xfId="80" xr:uid="{00000000-0005-0000-0000-000090010000}"/>
    <cellStyle name="Prozent 2" xfId="81" xr:uid="{00000000-0005-0000-0000-000091010000}"/>
    <cellStyle name="Prozent 3" xfId="82" xr:uid="{00000000-0005-0000-0000-000092010000}"/>
    <cellStyle name="Prozent 3 2" xfId="380" xr:uid="{00000000-0005-0000-0000-000093010000}"/>
    <cellStyle name="Prozent 4" xfId="83" xr:uid="{00000000-0005-0000-0000-000094010000}"/>
    <cellStyle name="Prozent 4 2" xfId="381" xr:uid="{00000000-0005-0000-0000-000095010000}"/>
    <cellStyle name="prozent+" xfId="84" xr:uid="{00000000-0005-0000-0000-000096010000}"/>
    <cellStyle name="Prüfung" xfId="85" xr:uid="{00000000-0005-0000-0000-000097010000}"/>
    <cellStyle name="Scientific" xfId="86" xr:uid="{00000000-0005-0000-0000-000098010000}"/>
    <cellStyle name="Stand. 2" xfId="41" xr:uid="{00000000-0005-0000-0000-000099010000}"/>
    <cellStyle name="Standard" xfId="0" builtinId="0"/>
    <cellStyle name="Standard 2" xfId="1" xr:uid="{00000000-0005-0000-0000-00009B010000}"/>
    <cellStyle name="Standard 2 2" xfId="40" xr:uid="{00000000-0005-0000-0000-00009C010000}"/>
    <cellStyle name="Standard 2 3" xfId="88" xr:uid="{00000000-0005-0000-0000-00009D010000}"/>
    <cellStyle name="Standard 2 4" xfId="87" xr:uid="{00000000-0005-0000-0000-00009E010000}"/>
    <cellStyle name="Standard 3" xfId="89" xr:uid="{00000000-0005-0000-0000-00009F010000}"/>
    <cellStyle name="Standard 4" xfId="4" xr:uid="{00000000-0005-0000-0000-0000A0010000}"/>
    <cellStyle name="Standard 4 2" xfId="90" xr:uid="{00000000-0005-0000-0000-0000A1010000}"/>
    <cellStyle name="Standard 4 3" xfId="385" xr:uid="{00000000-0005-0000-0000-0000A2010000}"/>
    <cellStyle name="Standard 5" xfId="91" xr:uid="{00000000-0005-0000-0000-0000A3010000}"/>
    <cellStyle name="Standard 5 2" xfId="386" xr:uid="{00000000-0005-0000-0000-0000A4010000}"/>
    <cellStyle name="Standard 6" xfId="92" xr:uid="{00000000-0005-0000-0000-0000A5010000}"/>
    <cellStyle name="Standard 6 2" xfId="387" xr:uid="{00000000-0005-0000-0000-0000A6010000}"/>
    <cellStyle name="Standard 7" xfId="93" xr:uid="{00000000-0005-0000-0000-0000A7010000}"/>
    <cellStyle name="Standard 7 2" xfId="388" xr:uid="{00000000-0005-0000-0000-0000A8010000}"/>
    <cellStyle name="Standard 8" xfId="94" xr:uid="{00000000-0005-0000-0000-0000A9010000}"/>
    <cellStyle name="Standard 9" xfId="6" xr:uid="{00000000-0005-0000-0000-0000AA010000}"/>
    <cellStyle name="Standard_etool_4_Stand_23_11_05-neu" xfId="2" xr:uid="{00000000-0005-0000-0000-0000AB010000}"/>
    <cellStyle name="Standard_etool_4_Stand_23_11_05-neu 2" xfId="3" xr:uid="{00000000-0005-0000-0000-0000AC010000}"/>
    <cellStyle name="text" xfId="95" xr:uid="{00000000-0005-0000-0000-0000AD010000}"/>
    <cellStyle name="Text-Manual" xfId="96" xr:uid="{00000000-0005-0000-0000-0000AE010000}"/>
    <cellStyle name="Title" xfId="97" xr:uid="{00000000-0005-0000-0000-0000AF010000}"/>
    <cellStyle name="unit" xfId="98" xr:uid="{00000000-0005-0000-0000-0000B0010000}"/>
    <cellStyle name="Wasser" xfId="99" xr:uid="{00000000-0005-0000-0000-0000B1010000}"/>
    <cellStyle name="Wasseremission" xfId="100" xr:uid="{00000000-0005-0000-0000-0000B2010000}"/>
    <cellStyle name="wis" xfId="101" xr:uid="{00000000-0005-0000-0000-0000B3010000}"/>
    <cellStyle name="wissenschaft" xfId="102" xr:uid="{00000000-0005-0000-0000-0000B4010000}"/>
    <cellStyle name="wissenschaft+" xfId="105" xr:uid="{00000000-0005-0000-0000-0000B5010000}"/>
    <cellStyle name="wissenschaft-Eingabe" xfId="103" xr:uid="{00000000-0005-0000-0000-0000B6010000}"/>
    <cellStyle name="wissenschaft-Eingabe 2" xfId="104" xr:uid="{00000000-0005-0000-0000-0000B7010000}"/>
    <cellStyle name="zkh" xfId="106" xr:uid="{00000000-0005-0000-0000-0000B8010000}"/>
  </cellStyles>
  <dxfs count="190">
    <dxf>
      <numFmt numFmtId="191" formatCode="#,##0.000"/>
    </dxf>
    <dxf>
      <numFmt numFmtId="4" formatCode="#,##0.00"/>
    </dxf>
    <dxf>
      <numFmt numFmtId="165" formatCode="#,##0.0"/>
    </dxf>
    <dxf>
      <numFmt numFmtId="3" formatCode="#,##0"/>
    </dxf>
    <dxf>
      <numFmt numFmtId="3" formatCode="#,##0"/>
    </dxf>
    <dxf>
      <numFmt numFmtId="191" formatCode="#,##0.000"/>
    </dxf>
    <dxf>
      <numFmt numFmtId="4" formatCode="#,##0.00"/>
    </dxf>
    <dxf>
      <numFmt numFmtId="165" formatCode="#,##0.0"/>
    </dxf>
    <dxf>
      <numFmt numFmtId="3" formatCode="#,##0"/>
    </dxf>
    <dxf>
      <numFmt numFmtId="3" formatCode="#,##0"/>
    </dxf>
    <dxf>
      <numFmt numFmtId="191" formatCode="#,##0.000"/>
    </dxf>
    <dxf>
      <numFmt numFmtId="4" formatCode="#,##0.00"/>
    </dxf>
    <dxf>
      <numFmt numFmtId="165" formatCode="#,##0.0"/>
    </dxf>
    <dxf>
      <numFmt numFmtId="3" formatCode="#,##0"/>
    </dxf>
    <dxf>
      <numFmt numFmtId="3" formatCode="#,##0"/>
    </dxf>
    <dxf>
      <numFmt numFmtId="191" formatCode="#,##0.000"/>
    </dxf>
    <dxf>
      <numFmt numFmtId="4" formatCode="#,##0.00"/>
    </dxf>
    <dxf>
      <numFmt numFmtId="165" formatCode="#,##0.0"/>
    </dxf>
    <dxf>
      <numFmt numFmtId="3" formatCode="#,##0"/>
    </dxf>
    <dxf>
      <numFmt numFmtId="3" formatCode="#,##0"/>
    </dxf>
    <dxf>
      <numFmt numFmtId="191" formatCode="#,##0.000"/>
    </dxf>
    <dxf>
      <numFmt numFmtId="4" formatCode="#,##0.00"/>
    </dxf>
    <dxf>
      <numFmt numFmtId="165" formatCode="#,##0.0"/>
    </dxf>
    <dxf>
      <numFmt numFmtId="3" formatCode="#,##0"/>
    </dxf>
    <dxf>
      <numFmt numFmtId="3" formatCode="#,##0"/>
    </dxf>
    <dxf>
      <numFmt numFmtId="191" formatCode="#,##0.000"/>
    </dxf>
    <dxf>
      <numFmt numFmtId="4" formatCode="#,##0.00"/>
    </dxf>
    <dxf>
      <numFmt numFmtId="165" formatCode="#,##0.0"/>
    </dxf>
    <dxf>
      <numFmt numFmtId="3" formatCode="#,##0"/>
    </dxf>
    <dxf>
      <numFmt numFmtId="3" formatCode="#,##0"/>
    </dxf>
    <dxf>
      <numFmt numFmtId="191" formatCode="#,##0.000"/>
    </dxf>
    <dxf>
      <numFmt numFmtId="4" formatCode="#,##0.00"/>
    </dxf>
    <dxf>
      <numFmt numFmtId="165" formatCode="#,##0.0"/>
    </dxf>
    <dxf>
      <numFmt numFmtId="3" formatCode="#,##0"/>
    </dxf>
    <dxf>
      <numFmt numFmtId="3" formatCode="#,##0"/>
    </dxf>
    <dxf>
      <numFmt numFmtId="191" formatCode="#,##0.000"/>
    </dxf>
    <dxf>
      <numFmt numFmtId="4" formatCode="#,##0.00"/>
    </dxf>
    <dxf>
      <numFmt numFmtId="165" formatCode="#,##0.0"/>
    </dxf>
    <dxf>
      <numFmt numFmtId="3" formatCode="#,##0"/>
    </dxf>
    <dxf>
      <numFmt numFmtId="3" formatCode="#,##0"/>
    </dxf>
    <dxf>
      <numFmt numFmtId="191" formatCode="#,##0.000"/>
    </dxf>
    <dxf>
      <numFmt numFmtId="4" formatCode="#,##0.00"/>
    </dxf>
    <dxf>
      <numFmt numFmtId="165" formatCode="#,##0.0"/>
    </dxf>
    <dxf>
      <numFmt numFmtId="3" formatCode="#,##0"/>
    </dxf>
    <dxf>
      <numFmt numFmtId="3" formatCode="#,##0"/>
    </dxf>
    <dxf>
      <numFmt numFmtId="191" formatCode="#,##0.000"/>
    </dxf>
    <dxf>
      <numFmt numFmtId="4" formatCode="#,##0.00"/>
    </dxf>
    <dxf>
      <numFmt numFmtId="165" formatCode="#,##0.0"/>
    </dxf>
    <dxf>
      <numFmt numFmtId="3" formatCode="#,##0"/>
    </dxf>
    <dxf>
      <numFmt numFmtId="3" formatCode="#,##0"/>
    </dxf>
    <dxf>
      <numFmt numFmtId="191" formatCode="#,##0.000"/>
    </dxf>
    <dxf>
      <numFmt numFmtId="4" formatCode="#,##0.00"/>
    </dxf>
    <dxf>
      <numFmt numFmtId="165" formatCode="#,##0.0"/>
    </dxf>
    <dxf>
      <numFmt numFmtId="3" formatCode="#,##0"/>
    </dxf>
    <dxf>
      <numFmt numFmtId="3" formatCode="#,##0"/>
    </dxf>
    <dxf>
      <numFmt numFmtId="191" formatCode="#,##0.000"/>
    </dxf>
    <dxf>
      <numFmt numFmtId="4" formatCode="#,##0.00"/>
    </dxf>
    <dxf>
      <numFmt numFmtId="165" formatCode="#,##0.0"/>
    </dxf>
    <dxf>
      <numFmt numFmtId="3" formatCode="#,##0"/>
    </dxf>
    <dxf>
      <numFmt numFmtId="3" formatCode="#,##0"/>
    </dxf>
    <dxf>
      <numFmt numFmtId="191" formatCode="#,##0.000"/>
    </dxf>
    <dxf>
      <numFmt numFmtId="4" formatCode="#,##0.00"/>
    </dxf>
    <dxf>
      <numFmt numFmtId="165" formatCode="#,##0.0"/>
    </dxf>
    <dxf>
      <numFmt numFmtId="3" formatCode="#,##0"/>
    </dxf>
    <dxf>
      <numFmt numFmtId="3" formatCode="#,##0"/>
    </dxf>
    <dxf>
      <numFmt numFmtId="191" formatCode="#,##0.000"/>
    </dxf>
    <dxf>
      <numFmt numFmtId="4" formatCode="#,##0.00"/>
    </dxf>
    <dxf>
      <numFmt numFmtId="165" formatCode="#,##0.0"/>
    </dxf>
    <dxf>
      <numFmt numFmtId="3" formatCode="#,##0"/>
    </dxf>
    <dxf>
      <numFmt numFmtId="3" formatCode="#,##0"/>
    </dxf>
    <dxf>
      <numFmt numFmtId="191" formatCode="#,##0.000"/>
    </dxf>
    <dxf>
      <numFmt numFmtId="4" formatCode="#,##0.00"/>
    </dxf>
    <dxf>
      <numFmt numFmtId="165" formatCode="#,##0.0"/>
    </dxf>
    <dxf>
      <numFmt numFmtId="3" formatCode="#,##0"/>
    </dxf>
    <dxf>
      <numFmt numFmtId="3" formatCode="#,##0"/>
    </dxf>
    <dxf>
      <numFmt numFmtId="191" formatCode="#,##0.000"/>
    </dxf>
    <dxf>
      <numFmt numFmtId="4" formatCode="#,##0.00"/>
    </dxf>
    <dxf>
      <numFmt numFmtId="165" formatCode="#,##0.0"/>
    </dxf>
    <dxf>
      <numFmt numFmtId="3" formatCode="#,##0"/>
    </dxf>
    <dxf>
      <numFmt numFmtId="3" formatCode="#,##0"/>
    </dxf>
    <dxf>
      <numFmt numFmtId="191" formatCode="#,##0.000"/>
    </dxf>
    <dxf>
      <numFmt numFmtId="4" formatCode="#,##0.00"/>
    </dxf>
    <dxf>
      <numFmt numFmtId="165" formatCode="#,##0.0"/>
    </dxf>
    <dxf>
      <numFmt numFmtId="3" formatCode="#,##0"/>
    </dxf>
    <dxf>
      <numFmt numFmtId="3" formatCode="#,##0"/>
    </dxf>
    <dxf>
      <numFmt numFmtId="191" formatCode="#,##0.000"/>
    </dxf>
    <dxf>
      <numFmt numFmtId="4" formatCode="#,##0.00"/>
    </dxf>
    <dxf>
      <numFmt numFmtId="165" formatCode="#,##0.0"/>
    </dxf>
    <dxf>
      <numFmt numFmtId="3" formatCode="#,##0"/>
    </dxf>
    <dxf>
      <numFmt numFmtId="3" formatCode="#,##0"/>
    </dxf>
    <dxf>
      <numFmt numFmtId="191" formatCode="#,##0.000"/>
    </dxf>
    <dxf>
      <numFmt numFmtId="4" formatCode="#,##0.00"/>
    </dxf>
    <dxf>
      <numFmt numFmtId="165" formatCode="#,##0.0"/>
    </dxf>
    <dxf>
      <numFmt numFmtId="3" formatCode="#,##0"/>
    </dxf>
    <dxf>
      <numFmt numFmtId="3" formatCode="#,##0"/>
    </dxf>
    <dxf>
      <numFmt numFmtId="191" formatCode="#,##0.000"/>
    </dxf>
    <dxf>
      <numFmt numFmtId="4" formatCode="#,##0.00"/>
    </dxf>
    <dxf>
      <numFmt numFmtId="165" formatCode="#,##0.0"/>
    </dxf>
    <dxf>
      <numFmt numFmtId="3" formatCode="#,##0"/>
    </dxf>
    <dxf>
      <numFmt numFmtId="3" formatCode="#,##0"/>
    </dxf>
    <dxf>
      <numFmt numFmtId="191" formatCode="#,##0.000"/>
    </dxf>
    <dxf>
      <numFmt numFmtId="4" formatCode="#,##0.00"/>
    </dxf>
    <dxf>
      <numFmt numFmtId="165" formatCode="#,##0.0"/>
    </dxf>
    <dxf>
      <numFmt numFmtId="3" formatCode="#,##0"/>
    </dxf>
    <dxf>
      <numFmt numFmtId="3" formatCode="#,##0"/>
    </dxf>
    <dxf>
      <numFmt numFmtId="191" formatCode="#,##0.000"/>
    </dxf>
    <dxf>
      <numFmt numFmtId="4" formatCode="#,##0.00"/>
    </dxf>
    <dxf>
      <numFmt numFmtId="165" formatCode="#,##0.0"/>
    </dxf>
    <dxf>
      <numFmt numFmtId="3" formatCode="#,##0"/>
    </dxf>
    <dxf>
      <numFmt numFmtId="3" formatCode="#,##0"/>
    </dxf>
    <dxf>
      <numFmt numFmtId="191" formatCode="#,##0.000"/>
    </dxf>
    <dxf>
      <numFmt numFmtId="4" formatCode="#,##0.00"/>
    </dxf>
    <dxf>
      <numFmt numFmtId="165" formatCode="#,##0.0"/>
    </dxf>
    <dxf>
      <numFmt numFmtId="3" formatCode="#,##0"/>
    </dxf>
    <dxf>
      <numFmt numFmtId="3" formatCode="#,##0"/>
    </dxf>
    <dxf>
      <numFmt numFmtId="191" formatCode="#,##0.000"/>
    </dxf>
    <dxf>
      <numFmt numFmtId="4" formatCode="#,##0.00"/>
    </dxf>
    <dxf>
      <numFmt numFmtId="165" formatCode="#,##0.0"/>
    </dxf>
    <dxf>
      <numFmt numFmtId="3" formatCode="#,##0"/>
    </dxf>
    <dxf>
      <numFmt numFmtId="3" formatCode="#,##0"/>
    </dxf>
    <dxf>
      <numFmt numFmtId="191" formatCode="#,##0.000"/>
    </dxf>
    <dxf>
      <numFmt numFmtId="4" formatCode="#,##0.00"/>
    </dxf>
    <dxf>
      <numFmt numFmtId="165" formatCode="#,##0.0"/>
    </dxf>
    <dxf>
      <numFmt numFmtId="3" formatCode="#,##0"/>
    </dxf>
    <dxf>
      <numFmt numFmtId="3" formatCode="#,##0"/>
    </dxf>
    <dxf>
      <numFmt numFmtId="191" formatCode="#,##0.000"/>
    </dxf>
    <dxf>
      <numFmt numFmtId="4" formatCode="#,##0.00"/>
    </dxf>
    <dxf>
      <numFmt numFmtId="165" formatCode="#,##0.0"/>
    </dxf>
    <dxf>
      <numFmt numFmtId="3" formatCode="#,##0"/>
    </dxf>
    <dxf>
      <numFmt numFmtId="3" formatCode="#,##0"/>
    </dxf>
    <dxf>
      <numFmt numFmtId="191" formatCode="#,##0.000"/>
    </dxf>
    <dxf>
      <numFmt numFmtId="4" formatCode="#,##0.00"/>
    </dxf>
    <dxf>
      <numFmt numFmtId="165" formatCode="#,##0.0"/>
    </dxf>
    <dxf>
      <numFmt numFmtId="3" formatCode="#,##0"/>
    </dxf>
    <dxf>
      <numFmt numFmtId="3"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6" tint="0.3999450666829432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C00000"/>
      </font>
      <fill>
        <patternFill>
          <bgColor rgb="FFFFFF99"/>
        </patternFill>
      </fill>
    </dxf>
    <dxf>
      <font>
        <color rgb="FFC00000"/>
      </font>
      <fill>
        <patternFill>
          <bgColor rgb="FFFFFF99"/>
        </patternFill>
      </fill>
    </dxf>
    <dxf>
      <font>
        <color rgb="FFC00000"/>
      </font>
      <fill>
        <patternFill>
          <bgColor rgb="FFFFFF99"/>
        </patternFill>
      </fill>
    </dxf>
    <dxf>
      <font>
        <color rgb="FFC00000"/>
      </font>
      <fill>
        <patternFill>
          <bgColor rgb="FFFFFF99"/>
        </patternFill>
      </fill>
    </dxf>
    <dxf>
      <font>
        <color theme="1"/>
      </font>
      <fill>
        <patternFill>
          <bgColor rgb="FFEAE3AE"/>
        </patternFill>
      </fill>
    </dxf>
    <dxf>
      <fill>
        <patternFill>
          <bgColor theme="5" tint="0.79998168889431442"/>
        </patternFill>
      </fill>
    </dxf>
    <dxf>
      <font>
        <color theme="1"/>
      </font>
      <fill>
        <patternFill>
          <bgColor rgb="FFEBE2AD"/>
        </patternFill>
      </fill>
    </dxf>
    <dxf>
      <font>
        <color theme="1"/>
      </font>
      <fill>
        <patternFill>
          <bgColor theme="6" tint="0.39994506668294322"/>
        </patternFill>
      </fill>
    </dxf>
    <dxf>
      <font>
        <color theme="1"/>
      </font>
      <fill>
        <patternFill>
          <bgColor theme="5" tint="0.59996337778862885"/>
        </patternFill>
      </fill>
    </dxf>
    <dxf>
      <font>
        <b/>
        <i val="0"/>
        <color rgb="FFFFFF00"/>
      </font>
      <fill>
        <patternFill>
          <bgColor theme="5" tint="0.59996337778862885"/>
        </patternFill>
      </fill>
    </dxf>
    <dxf>
      <font>
        <color rgb="FFC00000"/>
      </font>
      <fill>
        <patternFill>
          <bgColor rgb="FFFFFF99"/>
        </patternFill>
      </fill>
    </dxf>
    <dxf>
      <font>
        <color rgb="FFC00000"/>
      </font>
      <fill>
        <patternFill>
          <bgColor rgb="FFFFFF99"/>
        </patternFill>
      </fill>
    </dxf>
    <dxf>
      <font>
        <color rgb="FFC00000"/>
      </font>
      <fill>
        <patternFill>
          <bgColor rgb="FFFFFF99"/>
        </patternFill>
      </fill>
    </dxf>
    <dxf>
      <font>
        <color rgb="FFC00000"/>
      </font>
      <fill>
        <patternFill>
          <bgColor rgb="FFFFFF99"/>
        </patternFill>
      </fill>
    </dxf>
    <dxf>
      <font>
        <b/>
        <i val="0"/>
        <color rgb="FFC00000"/>
      </font>
      <fill>
        <patternFill>
          <bgColor rgb="FFFFFF99"/>
        </patternFill>
      </fill>
    </dxf>
    <dxf>
      <font>
        <color rgb="FFC00000"/>
      </font>
      <fill>
        <patternFill>
          <bgColor rgb="FFFFFF99"/>
        </patternFill>
      </fill>
    </dxf>
    <dxf>
      <font>
        <color theme="0"/>
      </font>
      <fill>
        <patternFill>
          <bgColor theme="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bgColor rgb="FFEBE2AD"/>
        </patternFill>
      </fill>
    </dxf>
    <dxf>
      <font>
        <b/>
        <i val="0"/>
        <color rgb="FFC00000"/>
      </font>
      <fill>
        <patternFill>
          <bgColor rgb="FFFF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BF8FF"/>
      <rgbColor rgb="0099FF99"/>
      <rgbColor rgb="00FFFFDD"/>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EBE2AD"/>
      <color rgb="FFFFFF99"/>
      <color rgb="FFCBDE90"/>
      <color rgb="FFEAE3AE"/>
      <color rgb="FFEBEBAD"/>
      <color rgb="FFD7E5E9"/>
      <color rgb="FFC050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0</xdr:colOff>
      <xdr:row>7</xdr:row>
      <xdr:rowOff>66675</xdr:rowOff>
    </xdr:from>
    <xdr:to>
      <xdr:col>6</xdr:col>
      <xdr:colOff>0</xdr:colOff>
      <xdr:row>7</xdr:row>
      <xdr:rowOff>466725</xdr:rowOff>
    </xdr:to>
    <xdr:sp macro="" textlink="">
      <xdr:nvSpPr>
        <xdr:cNvPr id="7169" name="Text Box 1">
          <a:extLst>
            <a:ext uri="{FF2B5EF4-FFF2-40B4-BE49-F238E27FC236}">
              <a16:creationId xmlns:a16="http://schemas.microsoft.com/office/drawing/2014/main" id="{00000000-0008-0000-0000-0000011C0000}"/>
            </a:ext>
          </a:extLst>
        </xdr:cNvPr>
        <xdr:cNvSpPr txBox="1">
          <a:spLocks noChangeArrowheads="1"/>
        </xdr:cNvSpPr>
      </xdr:nvSpPr>
      <xdr:spPr bwMode="auto">
        <a:xfrm>
          <a:off x="11420475" y="2038350"/>
          <a:ext cx="0" cy="123825"/>
        </a:xfrm>
        <a:prstGeom prst="rect">
          <a:avLst/>
        </a:prstGeom>
        <a:solidFill>
          <a:srgbClr val="FFFFFF"/>
        </a:solidFill>
        <a:ln w="9525">
          <a:noFill/>
          <a:miter lim="800000"/>
          <a:headEnd/>
          <a:tailEnd/>
        </a:ln>
      </xdr:spPr>
      <xdr:txBody>
        <a:bodyPr vertOverflow="clip" wrap="square" lIns="36576" tIns="27432" rIns="36576" bIns="0" anchor="t" upright="1"/>
        <a:lstStyle/>
        <a:p>
          <a:pPr algn="ctr" rtl="0">
            <a:defRPr sz="1000"/>
          </a:pPr>
          <a:r>
            <a:rPr lang="de-DE" sz="1400" b="1" i="0" u="none" strike="noStrike" baseline="0">
              <a:solidFill>
                <a:srgbClr val="000000"/>
              </a:solidFill>
              <a:latin typeface="Arial"/>
              <a:cs typeface="Arial"/>
            </a:rPr>
            <a:t>Anforderungen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12</xdr:row>
      <xdr:rowOff>0</xdr:rowOff>
    </xdr:from>
    <xdr:to>
      <xdr:col>8</xdr:col>
      <xdr:colOff>0</xdr:colOff>
      <xdr:row>12</xdr:row>
      <xdr:rowOff>0</xdr:rowOff>
    </xdr:to>
    <xdr:sp macro="" textlink="">
      <xdr:nvSpPr>
        <xdr:cNvPr id="7169" name="Text Box 1">
          <a:extLst>
            <a:ext uri="{FF2B5EF4-FFF2-40B4-BE49-F238E27FC236}">
              <a16:creationId xmlns:a16="http://schemas.microsoft.com/office/drawing/2014/main" id="{00000000-0008-0000-0200-0000011C0000}"/>
            </a:ext>
          </a:extLst>
        </xdr:cNvPr>
        <xdr:cNvSpPr txBox="1">
          <a:spLocks noChangeArrowheads="1"/>
        </xdr:cNvSpPr>
      </xdr:nvSpPr>
      <xdr:spPr bwMode="auto">
        <a:xfrm>
          <a:off x="11420475" y="2038350"/>
          <a:ext cx="0" cy="123825"/>
        </a:xfrm>
        <a:prstGeom prst="rect">
          <a:avLst/>
        </a:prstGeom>
        <a:solidFill>
          <a:srgbClr val="FFFFFF"/>
        </a:solidFill>
        <a:ln w="9525">
          <a:noFill/>
          <a:miter lim="800000"/>
          <a:headEnd/>
          <a:tailEnd/>
        </a:ln>
      </xdr:spPr>
      <xdr:txBody>
        <a:bodyPr vertOverflow="clip" wrap="square" lIns="36576" tIns="27432" rIns="36576" bIns="0" anchor="t" upright="1"/>
        <a:lstStyle/>
        <a:p>
          <a:pPr algn="ctr" rtl="0">
            <a:defRPr sz="1000"/>
          </a:pPr>
          <a:r>
            <a:rPr lang="de-DE" sz="1400" b="1" i="0" u="none" strike="noStrike" baseline="0">
              <a:solidFill>
                <a:srgbClr val="000000"/>
              </a:solidFill>
              <a:latin typeface="Arial"/>
              <a:cs typeface="Arial"/>
            </a:rPr>
            <a:t>Anforderungen</a:t>
          </a:r>
        </a:p>
      </xdr:txBody>
    </xdr:sp>
    <xdr:clientData/>
  </xdr:twoCellAnchor>
  <xdr:twoCellAnchor>
    <xdr:from>
      <xdr:col>6</xdr:col>
      <xdr:colOff>0</xdr:colOff>
      <xdr:row>10</xdr:row>
      <xdr:rowOff>123825</xdr:rowOff>
    </xdr:from>
    <xdr:to>
      <xdr:col>6</xdr:col>
      <xdr:colOff>0</xdr:colOff>
      <xdr:row>12</xdr:row>
      <xdr:rowOff>0</xdr:rowOff>
    </xdr:to>
    <xdr:sp macro="" textlink="">
      <xdr:nvSpPr>
        <xdr:cNvPr id="7170" name="Text Box 2">
          <a:extLst>
            <a:ext uri="{FF2B5EF4-FFF2-40B4-BE49-F238E27FC236}">
              <a16:creationId xmlns:a16="http://schemas.microsoft.com/office/drawing/2014/main" id="{00000000-0008-0000-0200-0000021C0000}"/>
            </a:ext>
          </a:extLst>
        </xdr:cNvPr>
        <xdr:cNvSpPr txBox="1">
          <a:spLocks noChangeArrowheads="1"/>
        </xdr:cNvSpPr>
      </xdr:nvSpPr>
      <xdr:spPr bwMode="auto">
        <a:xfrm>
          <a:off x="9410700" y="1905000"/>
          <a:ext cx="0" cy="123825"/>
        </a:xfrm>
        <a:prstGeom prst="rect">
          <a:avLst/>
        </a:prstGeom>
        <a:solidFill>
          <a:srgbClr val="FFFFFF"/>
        </a:solidFill>
        <a:ln w="9525">
          <a:noFill/>
          <a:miter lim="800000"/>
          <a:headEnd/>
          <a:tailEnd/>
        </a:ln>
      </xdr:spPr>
      <xdr:txBody>
        <a:bodyPr vertOverflow="clip" wrap="square" lIns="36576" tIns="27432" rIns="36576" bIns="0" anchor="t" upright="1"/>
        <a:lstStyle/>
        <a:p>
          <a:pPr algn="ctr" rtl="0">
            <a:defRPr sz="1000"/>
          </a:pPr>
          <a:r>
            <a:rPr lang="de-DE" sz="1400" b="1" i="0" u="none" strike="noStrike" baseline="0">
              <a:solidFill>
                <a:srgbClr val="000000"/>
              </a:solidFill>
              <a:latin typeface="Arial"/>
              <a:cs typeface="Arial"/>
            </a:rPr>
            <a:t>Anforderungen</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3</xdr:row>
          <xdr:rowOff>133350</xdr:rowOff>
        </xdr:from>
        <xdr:to>
          <xdr:col>5</xdr:col>
          <xdr:colOff>0</xdr:colOff>
          <xdr:row>5</xdr:row>
          <xdr:rowOff>38100</xdr:rowOff>
        </xdr:to>
        <xdr:sp macro="" textlink="">
          <xdr:nvSpPr>
            <xdr:cNvPr id="40978" name="Button 18" descr="Tabellen umbenennen" hidden="1">
              <a:extLst>
                <a:ext uri="{63B3BB69-23CF-44E3-9099-C40C66FF867C}">
                  <a14:compatExt spid="_x0000_s40978"/>
                </a:ext>
                <a:ext uri="{FF2B5EF4-FFF2-40B4-BE49-F238E27FC236}">
                  <a16:creationId xmlns:a16="http://schemas.microsoft.com/office/drawing/2014/main" id="{00000000-0008-0000-0300-000012A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de-CH" sz="900" b="0" i="0" u="none" strike="noStrike" baseline="0">
                  <a:solidFill>
                    <a:srgbClr val="000000"/>
                  </a:solidFill>
                  <a:latin typeface="Arial"/>
                  <a:cs typeface="Arial"/>
                </a:rPr>
                <a:t>Tabellen und Hilfstexte umbenennen</a:t>
              </a:r>
            </a:p>
          </xdr:txBody>
        </xdr:sp>
        <xdr:clientData fPrintsWithSheet="0"/>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goo.gl/KYbs1T" TargetMode="External"/><Relationship Id="rId13" Type="http://schemas.openxmlformats.org/officeDocument/2006/relationships/hyperlink" Target="https://goo.gl/CsXc3F" TargetMode="External"/><Relationship Id="rId18" Type="http://schemas.openxmlformats.org/officeDocument/2006/relationships/hyperlink" Target="https://www.kbob.admin.ch/kbob/de/home/publikationen/nachhaltiges-bauen/oekobilanzdaten_baubereich.html" TargetMode="External"/><Relationship Id="rId26" Type="http://schemas.openxmlformats.org/officeDocument/2006/relationships/hyperlink" Target="https://www.kbob.admin.ch/kbob/de/home/publikationen/nachhaltiges-bauen/oekobilanzdaten_baubereich.html" TargetMode="External"/><Relationship Id="rId3" Type="http://schemas.openxmlformats.org/officeDocument/2006/relationships/hyperlink" Target="https://goo.gl/sVnE6C" TargetMode="External"/><Relationship Id="rId21" Type="http://schemas.openxmlformats.org/officeDocument/2006/relationships/hyperlink" Target="https://www.kbob.admin.ch/kbob/de/home/publikationen/nachhaltiges-bauen/oekobilanzdaten_baubereich.html" TargetMode="External"/><Relationship Id="rId7" Type="http://schemas.openxmlformats.org/officeDocument/2006/relationships/hyperlink" Target="https://goo.gl/LmzBbu" TargetMode="External"/><Relationship Id="rId12" Type="http://schemas.openxmlformats.org/officeDocument/2006/relationships/hyperlink" Target="https://goo.gl/SxXoFA" TargetMode="External"/><Relationship Id="rId17" Type="http://schemas.openxmlformats.org/officeDocument/2006/relationships/hyperlink" Target="https://www.kbob.admin.ch/kbob/de/home/publikationen/nachhaltiges-bauen/oekobilanzdaten_baubereich.html" TargetMode="External"/><Relationship Id="rId25" Type="http://schemas.openxmlformats.org/officeDocument/2006/relationships/hyperlink" Target="https://www.kbob.admin.ch/kbob/de/home/publikationen/nachhaltiges-bauen/oekobilanzdaten_baubereich.html" TargetMode="External"/><Relationship Id="rId2" Type="http://schemas.openxmlformats.org/officeDocument/2006/relationships/hyperlink" Target="https://goo.gl/JPvm16" TargetMode="External"/><Relationship Id="rId16" Type="http://schemas.openxmlformats.org/officeDocument/2006/relationships/hyperlink" Target="https://goo.gl/x917LE" TargetMode="External"/><Relationship Id="rId20" Type="http://schemas.openxmlformats.org/officeDocument/2006/relationships/hyperlink" Target="https://www.kbob.admin.ch/kbob/de/home/publikationen/nachhaltiges-bauen/oekobilanzdaten_baubereich.html" TargetMode="External"/><Relationship Id="rId1" Type="http://schemas.openxmlformats.org/officeDocument/2006/relationships/hyperlink" Target="https://goo.gl/zEaUJS" TargetMode="External"/><Relationship Id="rId6" Type="http://schemas.openxmlformats.org/officeDocument/2006/relationships/hyperlink" Target="https://goo.gl/g4fxdv" TargetMode="External"/><Relationship Id="rId11" Type="http://schemas.openxmlformats.org/officeDocument/2006/relationships/hyperlink" Target="https://goo.gl/xKxbmY" TargetMode="External"/><Relationship Id="rId24" Type="http://schemas.openxmlformats.org/officeDocument/2006/relationships/hyperlink" Target="https://www.kbob.admin.ch/kbob/de/home/publikationen/nachhaltiges-bauen/oekobilanzdaten_baubereich.html" TargetMode="External"/><Relationship Id="rId5" Type="http://schemas.openxmlformats.org/officeDocument/2006/relationships/hyperlink" Target="https://goo.gl/av4o76" TargetMode="External"/><Relationship Id="rId15" Type="http://schemas.openxmlformats.org/officeDocument/2006/relationships/hyperlink" Target="https://goo.gl/Wj94x7" TargetMode="External"/><Relationship Id="rId23" Type="http://schemas.openxmlformats.org/officeDocument/2006/relationships/hyperlink" Target="https://www.kbob.admin.ch/kbob/de/home/publikationen/nachhaltiges-bauen/oekobilanzdaten_baubereich.html" TargetMode="External"/><Relationship Id="rId10" Type="http://schemas.openxmlformats.org/officeDocument/2006/relationships/hyperlink" Target="https://goo.gl/GQWRzV" TargetMode="External"/><Relationship Id="rId19" Type="http://schemas.openxmlformats.org/officeDocument/2006/relationships/hyperlink" Target="https://goo.gl/48WKt7" TargetMode="External"/><Relationship Id="rId4" Type="http://schemas.openxmlformats.org/officeDocument/2006/relationships/hyperlink" Target="https://goo.gl/asmk8p" TargetMode="External"/><Relationship Id="rId9" Type="http://schemas.openxmlformats.org/officeDocument/2006/relationships/hyperlink" Target="https://goo.gl/hq7GQ4" TargetMode="External"/><Relationship Id="rId14" Type="http://schemas.openxmlformats.org/officeDocument/2006/relationships/hyperlink" Target="https://goo.gl/Nzbt5Z" TargetMode="External"/><Relationship Id="rId22" Type="http://schemas.openxmlformats.org/officeDocument/2006/relationships/hyperlink" Target="https://www.kbob.admin.ch/kbob/de/home/publikationen/nachhaltiges-bauen/oekobilanzdaten_baubereich.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6" tint="-0.249977111117893"/>
    <pageSetUpPr fitToPage="1"/>
  </sheetPr>
  <dimension ref="A1:V82"/>
  <sheetViews>
    <sheetView showGridLines="0" tabSelected="1" zoomScaleNormal="100" workbookViewId="0">
      <selection activeCell="B5" sqref="B5:E5"/>
    </sheetView>
  </sheetViews>
  <sheetFormatPr baseColWidth="10" defaultRowHeight="15"/>
  <cols>
    <col min="1" max="1" width="19" style="29" customWidth="1"/>
    <col min="2" max="2" width="42.33203125" style="29" customWidth="1"/>
    <col min="3" max="3" width="11.33203125" style="29" customWidth="1"/>
    <col min="4" max="5" width="12.77734375" style="29" customWidth="1"/>
    <col min="6" max="6" width="7.33203125" style="31" customWidth="1"/>
    <col min="7" max="11" width="7.33203125" style="28" customWidth="1"/>
    <col min="12" max="22" width="11.5546875" style="28"/>
    <col min="23" max="16384" width="11.5546875" style="29"/>
  </cols>
  <sheetData>
    <row r="1" spans="1:22" ht="28.5" customHeight="1">
      <c r="A1" s="24" t="str">
        <f>VLOOKUP(ADDRESS(ROW(),COLUMN(),4),MatrixTexteT1,2,FALSE)&amp;" "&amp;Version</f>
        <v>Strumento energia grigia Minergie-Eco® Version 2.02</v>
      </c>
      <c r="B1" s="25"/>
      <c r="C1" s="25"/>
      <c r="D1" s="25"/>
      <c r="E1" s="26"/>
      <c r="F1" s="27"/>
      <c r="G1" s="25"/>
      <c r="H1" s="25"/>
      <c r="I1" s="25"/>
      <c r="J1" s="25"/>
      <c r="K1" s="25"/>
    </row>
    <row r="2" spans="1:22" ht="9" customHeight="1">
      <c r="A2" s="30"/>
      <c r="B2" s="30"/>
      <c r="C2" s="30"/>
      <c r="D2" s="30"/>
      <c r="E2" s="30"/>
    </row>
    <row r="3" spans="1:22" ht="24.75" customHeight="1">
      <c r="A3" s="32" t="str">
        <f>VLOOKUP(ADDRESS(ROW(),COLUMN(),4),MatrixTexteT1,2,FALSE)</f>
        <v>Dati oggetto</v>
      </c>
      <c r="B3" s="32"/>
      <c r="C3" s="32"/>
      <c r="D3" s="32"/>
      <c r="E3" s="32"/>
      <c r="F3" s="33"/>
      <c r="G3" s="34"/>
      <c r="H3" s="34"/>
      <c r="I3" s="34"/>
      <c r="U3" s="29"/>
      <c r="V3" s="29"/>
    </row>
    <row r="4" spans="1:22" s="36" customFormat="1" ht="9.75" customHeight="1">
      <c r="A4" s="35"/>
      <c r="B4" s="35"/>
      <c r="C4" s="35"/>
      <c r="D4" s="35"/>
      <c r="E4" s="35"/>
      <c r="F4" s="20"/>
      <c r="G4" s="7"/>
      <c r="H4" s="7"/>
      <c r="I4" s="7"/>
      <c r="J4" s="7"/>
      <c r="K4" s="7"/>
      <c r="L4" s="7"/>
      <c r="M4" s="7"/>
      <c r="N4" s="7"/>
      <c r="O4" s="7"/>
      <c r="P4" s="7"/>
      <c r="Q4" s="7"/>
      <c r="R4" s="7"/>
      <c r="S4" s="7"/>
      <c r="T4" s="7"/>
    </row>
    <row r="5" spans="1:22" s="36" customFormat="1" ht="15" customHeight="1" thickBot="1">
      <c r="A5" s="73" t="str">
        <f>VLOOKUP(ADDRESS(ROW(),COLUMN(),4),MatrixTexteT1,2,FALSE)</f>
        <v>Progetto</v>
      </c>
      <c r="B5" s="268"/>
      <c r="C5" s="268"/>
      <c r="D5" s="268"/>
      <c r="E5" s="268"/>
      <c r="F5" s="20"/>
      <c r="G5" s="7"/>
      <c r="H5" s="7"/>
      <c r="I5" s="7"/>
      <c r="J5" s="7"/>
      <c r="K5" s="7"/>
      <c r="L5" s="7"/>
      <c r="M5" s="7"/>
      <c r="N5" s="7"/>
      <c r="O5" s="7"/>
      <c r="P5" s="7"/>
      <c r="Q5" s="7"/>
      <c r="R5" s="7"/>
      <c r="S5" s="7"/>
      <c r="T5" s="7"/>
    </row>
    <row r="6" spans="1:22" s="36" customFormat="1" ht="15" customHeight="1" thickTop="1">
      <c r="A6" s="20"/>
      <c r="B6" s="269"/>
      <c r="C6" s="269"/>
      <c r="D6" s="269"/>
      <c r="E6" s="269"/>
      <c r="F6" s="20"/>
      <c r="G6" s="7"/>
      <c r="H6" s="7"/>
      <c r="I6" s="7"/>
      <c r="J6" s="7"/>
      <c r="K6" s="7"/>
      <c r="L6" s="7"/>
      <c r="M6" s="7"/>
      <c r="N6" s="7"/>
      <c r="O6" s="7"/>
      <c r="P6" s="7"/>
      <c r="Q6" s="7"/>
      <c r="R6" s="7"/>
      <c r="S6" s="7"/>
      <c r="T6" s="7"/>
    </row>
    <row r="7" spans="1:22" s="36" customFormat="1" ht="9" customHeight="1">
      <c r="A7" s="20"/>
      <c r="B7" s="20"/>
      <c r="C7" s="20"/>
      <c r="D7" s="20"/>
      <c r="E7" s="35"/>
      <c r="F7" s="20"/>
      <c r="G7" s="7"/>
      <c r="J7" s="7"/>
      <c r="K7" s="7"/>
      <c r="L7" s="7"/>
      <c r="M7" s="7"/>
      <c r="N7" s="7"/>
      <c r="O7" s="7"/>
      <c r="P7" s="7"/>
      <c r="Q7" s="7"/>
      <c r="R7" s="7"/>
      <c r="S7" s="7"/>
      <c r="T7" s="7"/>
    </row>
    <row r="8" spans="1:22" s="36" customFormat="1" ht="15" customHeight="1">
      <c r="A8" s="73" t="str">
        <f>VLOOKUP(ADDRESS(ROW(),COLUMN(),4),MatrixTexteT1,2,FALSE)</f>
        <v>Tipo d'intervento</v>
      </c>
      <c r="B8" s="261" t="s">
        <v>1060</v>
      </c>
      <c r="C8" s="261"/>
      <c r="D8" s="261"/>
      <c r="E8" s="261"/>
      <c r="F8" s="37"/>
      <c r="G8" s="7"/>
      <c r="H8" s="38"/>
      <c r="I8" s="7"/>
      <c r="J8" s="7"/>
      <c r="K8" s="7"/>
      <c r="L8" s="7"/>
      <c r="M8" s="7"/>
      <c r="N8" s="7"/>
      <c r="O8" s="7"/>
      <c r="P8" s="7"/>
      <c r="Q8" s="7"/>
      <c r="R8" s="7"/>
      <c r="S8" s="7"/>
      <c r="T8" s="7"/>
    </row>
    <row r="9" spans="1:22" s="36" customFormat="1" ht="15" customHeight="1">
      <c r="A9" s="20"/>
      <c r="B9" s="115" t="str">
        <f>IF(Typ=NewConstruction,Texte!$B$376,IF(QuestComplete=Nein,Texte!$B$375,""))</f>
        <v>Riempire direttamente la tabella 'Calcolo'</v>
      </c>
      <c r="C9" s="39"/>
      <c r="D9" s="40"/>
      <c r="E9" s="35"/>
      <c r="F9" s="41"/>
      <c r="G9" s="7"/>
      <c r="H9" s="42"/>
      <c r="I9" s="7"/>
      <c r="J9" s="7"/>
      <c r="K9" s="7"/>
      <c r="L9" s="7"/>
      <c r="M9" s="7"/>
      <c r="N9" s="7"/>
      <c r="O9" s="7"/>
      <c r="P9" s="7"/>
      <c r="Q9" s="7"/>
      <c r="R9" s="7"/>
      <c r="S9" s="7"/>
      <c r="T9" s="7"/>
    </row>
    <row r="10" spans="1:22" s="36" customFormat="1" ht="9" customHeight="1">
      <c r="A10" s="20"/>
      <c r="B10" s="20"/>
      <c r="C10" s="20"/>
      <c r="D10" s="20"/>
      <c r="E10" s="35"/>
      <c r="F10" s="43"/>
      <c r="G10" s="7"/>
      <c r="H10" s="44"/>
      <c r="I10" s="7"/>
      <c r="J10" s="7"/>
      <c r="K10" s="7"/>
      <c r="L10" s="7"/>
      <c r="M10" s="7"/>
      <c r="N10" s="7"/>
      <c r="O10" s="7"/>
      <c r="P10" s="7"/>
      <c r="Q10" s="7"/>
      <c r="R10" s="7"/>
      <c r="S10" s="7"/>
      <c r="T10" s="7"/>
    </row>
    <row r="11" spans="1:22" s="36" customFormat="1" ht="15" customHeight="1">
      <c r="A11" s="73" t="str">
        <f>VLOOKUP(ADDRESS(ROW(),COLUMN(),4),MatrixTexteT1,2,FALSE)</f>
        <v>Certificato desiderato</v>
      </c>
      <c r="B11" s="261" t="s">
        <v>308</v>
      </c>
      <c r="C11" s="261"/>
      <c r="D11" s="261"/>
      <c r="E11" s="261"/>
      <c r="F11" s="43"/>
      <c r="G11" s="7"/>
      <c r="H11" s="44"/>
      <c r="I11" s="7"/>
      <c r="J11" s="7"/>
      <c r="K11" s="7"/>
      <c r="L11" s="7"/>
      <c r="M11" s="7"/>
      <c r="N11" s="7"/>
      <c r="O11" s="7"/>
      <c r="P11" s="7"/>
      <c r="Q11" s="7"/>
      <c r="R11" s="7"/>
      <c r="S11" s="7"/>
      <c r="T11" s="7"/>
    </row>
    <row r="12" spans="1:22" s="36" customFormat="1" ht="9" customHeight="1">
      <c r="A12" s="20"/>
      <c r="B12" s="20"/>
      <c r="C12" s="20"/>
      <c r="D12" s="20"/>
      <c r="E12" s="35"/>
      <c r="F12" s="43"/>
      <c r="G12" s="7"/>
      <c r="H12" s="44"/>
      <c r="I12" s="7"/>
      <c r="J12" s="7"/>
      <c r="K12" s="7"/>
      <c r="L12" s="7"/>
      <c r="M12" s="7"/>
      <c r="N12" s="7"/>
      <c r="O12" s="7"/>
      <c r="P12" s="7"/>
      <c r="Q12" s="7"/>
      <c r="R12" s="7"/>
      <c r="S12" s="7"/>
      <c r="T12" s="7"/>
    </row>
    <row r="13" spans="1:22" s="36" customFormat="1" ht="15" customHeight="1">
      <c r="A13" s="73" t="str">
        <f>VLOOKUP(ADDRESS(ROW(),COLUMN(),4),MatrixTexteT1,2,FALSE)</f>
        <v>Categoria edificio</v>
      </c>
      <c r="B13" s="261" t="s">
        <v>931</v>
      </c>
      <c r="C13" s="261"/>
      <c r="D13" s="261"/>
      <c r="E13" s="261"/>
      <c r="F13" s="43"/>
      <c r="G13" s="7"/>
      <c r="H13" s="44"/>
      <c r="I13" s="7"/>
      <c r="J13" s="7"/>
      <c r="K13" s="7"/>
      <c r="L13" s="7"/>
      <c r="M13" s="7"/>
      <c r="N13" s="7"/>
      <c r="O13" s="7"/>
      <c r="P13" s="7"/>
      <c r="Q13" s="7"/>
      <c r="R13" s="7"/>
      <c r="S13" s="7"/>
      <c r="T13" s="7"/>
    </row>
    <row r="14" spans="1:22" s="36" customFormat="1" ht="21.75" customHeight="1">
      <c r="A14" s="20"/>
      <c r="B14" s="113" t="str">
        <f ca="1">IF(ISERROR(VLOOKUP(GebKat,INDIRECT(VLOOKUP(Cert,MxCert,2,FALSE)),1,FALSE)),Texte!B11,"")</f>
        <v/>
      </c>
      <c r="C14" s="20"/>
      <c r="D14" s="20"/>
      <c r="E14" s="35"/>
      <c r="F14" s="43"/>
      <c r="G14" s="7"/>
      <c r="H14" s="114"/>
      <c r="I14" s="7"/>
      <c r="J14" s="7"/>
      <c r="K14" s="7"/>
      <c r="L14" s="7"/>
      <c r="M14" s="7"/>
      <c r="N14" s="7"/>
      <c r="O14" s="7"/>
      <c r="P14" s="7"/>
      <c r="Q14" s="7"/>
      <c r="R14" s="7"/>
      <c r="S14" s="7"/>
      <c r="T14" s="7"/>
    </row>
    <row r="15" spans="1:22" s="36" customFormat="1" ht="15" customHeight="1" thickBot="1">
      <c r="A15" s="73" t="str">
        <f>VLOOKUP(ADDRESS(ROW(),COLUMN(),4),MatrixTexteT1,2,FALSE)</f>
        <v>Costruttore</v>
      </c>
      <c r="B15" s="268"/>
      <c r="C15" s="268"/>
      <c r="D15" s="268"/>
      <c r="E15" s="268"/>
      <c r="F15" s="20"/>
      <c r="G15" s="7"/>
      <c r="H15" s="7"/>
      <c r="I15" s="7"/>
      <c r="J15" s="7"/>
      <c r="K15" s="7"/>
      <c r="L15" s="7"/>
      <c r="M15" s="7"/>
      <c r="N15" s="7"/>
      <c r="O15" s="7"/>
      <c r="P15" s="7"/>
      <c r="Q15" s="7"/>
      <c r="R15" s="7"/>
      <c r="S15" s="7"/>
      <c r="T15" s="7"/>
    </row>
    <row r="16" spans="1:22" s="36" customFormat="1" ht="13.5" thickTop="1">
      <c r="A16" s="20"/>
      <c r="B16" s="269"/>
      <c r="C16" s="269"/>
      <c r="D16" s="269"/>
      <c r="E16" s="269"/>
      <c r="F16" s="20"/>
      <c r="G16" s="7"/>
      <c r="H16" s="7"/>
      <c r="I16" s="7"/>
      <c r="J16" s="7"/>
      <c r="K16" s="7"/>
      <c r="L16" s="7"/>
      <c r="M16" s="7"/>
      <c r="N16" s="7"/>
      <c r="O16" s="7"/>
      <c r="P16" s="7"/>
      <c r="Q16" s="7"/>
      <c r="R16" s="7"/>
      <c r="S16" s="7"/>
      <c r="T16" s="7"/>
    </row>
    <row r="17" spans="1:22" s="36" customFormat="1" ht="9" customHeight="1">
      <c r="A17" s="20"/>
      <c r="B17" s="20"/>
      <c r="C17" s="20"/>
      <c r="D17" s="20"/>
      <c r="E17" s="35"/>
      <c r="F17" s="45"/>
      <c r="G17" s="7"/>
      <c r="H17" s="7"/>
      <c r="I17" s="7"/>
      <c r="J17" s="7"/>
      <c r="K17" s="7"/>
      <c r="L17" s="7"/>
      <c r="M17" s="7"/>
      <c r="N17" s="7"/>
      <c r="O17" s="7"/>
      <c r="P17" s="7"/>
      <c r="Q17" s="7"/>
      <c r="R17" s="7"/>
      <c r="S17" s="7"/>
      <c r="T17" s="7"/>
    </row>
    <row r="18" spans="1:22" s="36" customFormat="1" ht="15" customHeight="1" thickBot="1">
      <c r="A18" s="73" t="str">
        <f>VLOOKUP(ADDRESS(ROW(),COLUMN(),4),MatrixTexteT1,2,FALSE)</f>
        <v>Architetto</v>
      </c>
      <c r="B18" s="268"/>
      <c r="C18" s="268"/>
      <c r="D18" s="268"/>
      <c r="E18" s="268"/>
      <c r="F18" s="20"/>
      <c r="G18" s="7"/>
      <c r="H18" s="7"/>
      <c r="I18" s="7"/>
      <c r="J18" s="7"/>
      <c r="K18" s="7"/>
      <c r="L18" s="7"/>
      <c r="M18" s="7"/>
      <c r="N18" s="7"/>
      <c r="O18" s="7"/>
      <c r="P18" s="7"/>
      <c r="Q18" s="7"/>
      <c r="R18" s="7"/>
      <c r="S18" s="7"/>
      <c r="T18" s="7"/>
    </row>
    <row r="19" spans="1:22" s="36" customFormat="1" ht="15" customHeight="1" thickTop="1">
      <c r="A19" s="20"/>
      <c r="B19" s="269"/>
      <c r="C19" s="269"/>
      <c r="D19" s="269"/>
      <c r="E19" s="269"/>
      <c r="F19" s="20"/>
      <c r="G19" s="7"/>
      <c r="H19" s="7"/>
      <c r="I19" s="7"/>
      <c r="J19" s="7"/>
      <c r="K19" s="7"/>
      <c r="L19" s="7"/>
      <c r="M19" s="7"/>
      <c r="N19" s="7"/>
      <c r="O19" s="7"/>
      <c r="P19" s="7"/>
      <c r="Q19" s="7"/>
      <c r="R19" s="7"/>
      <c r="S19" s="7"/>
      <c r="T19" s="7"/>
    </row>
    <row r="20" spans="1:22" s="36" customFormat="1" ht="9" customHeight="1">
      <c r="A20" s="20"/>
      <c r="B20" s="20"/>
      <c r="C20" s="20"/>
      <c r="D20" s="20"/>
      <c r="E20" s="35"/>
      <c r="F20" s="20"/>
      <c r="G20" s="7"/>
      <c r="H20" s="7"/>
      <c r="I20" s="7"/>
      <c r="J20" s="7"/>
      <c r="K20" s="7"/>
      <c r="L20" s="7"/>
      <c r="M20" s="7"/>
      <c r="N20" s="7"/>
      <c r="O20" s="7"/>
      <c r="P20" s="7"/>
      <c r="Q20" s="7"/>
      <c r="R20" s="7"/>
      <c r="S20" s="7"/>
      <c r="T20" s="7"/>
    </row>
    <row r="21" spans="1:22" s="36" customFormat="1" ht="15" customHeight="1" thickBot="1">
      <c r="A21" s="73" t="str">
        <f>VLOOKUP(ADDRESS(ROW(),COLUMN(),4),MatrixTexteT1,2,FALSE)</f>
        <v>Fisico della costruzione</v>
      </c>
      <c r="B21" s="268"/>
      <c r="C21" s="268"/>
      <c r="D21" s="268"/>
      <c r="E21" s="268"/>
      <c r="F21" s="20"/>
      <c r="G21" s="7"/>
      <c r="H21" s="7"/>
      <c r="I21" s="7"/>
      <c r="J21" s="7"/>
      <c r="R21" s="7"/>
      <c r="S21" s="7"/>
      <c r="T21" s="7"/>
    </row>
    <row r="22" spans="1:22" s="48" customFormat="1" ht="15" customHeight="1" thickTop="1">
      <c r="A22" s="20"/>
      <c r="B22" s="269"/>
      <c r="C22" s="269"/>
      <c r="D22" s="269"/>
      <c r="E22" s="269"/>
      <c r="F22" s="46"/>
      <c r="G22" s="47"/>
      <c r="H22" s="47"/>
      <c r="I22" s="47"/>
      <c r="J22" s="47"/>
      <c r="R22" s="47"/>
      <c r="S22" s="47"/>
      <c r="T22" s="47"/>
    </row>
    <row r="23" spans="1:22" s="36" customFormat="1" ht="9" customHeight="1">
      <c r="A23" s="20"/>
      <c r="B23" s="20"/>
      <c r="C23" s="20"/>
      <c r="D23" s="20"/>
      <c r="E23" s="35"/>
      <c r="F23" s="49"/>
      <c r="G23" s="7"/>
      <c r="H23" s="7"/>
      <c r="I23" s="7"/>
      <c r="J23" s="7"/>
      <c r="R23" s="7"/>
      <c r="S23" s="7"/>
      <c r="T23" s="7"/>
      <c r="U23" s="7"/>
      <c r="V23" s="7"/>
    </row>
    <row r="24" spans="1:22" s="36" customFormat="1" ht="15" customHeight="1" thickBot="1">
      <c r="A24" s="73" t="str">
        <f>VLOOKUP(ADDRESS(ROW(),COLUMN(),4),MatrixTexteT1,2,FALSE)</f>
        <v>Autore verifica</v>
      </c>
      <c r="B24" s="268"/>
      <c r="C24" s="268"/>
      <c r="D24" s="268"/>
      <c r="E24" s="268"/>
      <c r="F24" s="49"/>
      <c r="G24" s="7"/>
      <c r="H24" s="7"/>
      <c r="I24" s="7"/>
      <c r="J24" s="7"/>
      <c r="R24" s="7"/>
      <c r="S24" s="7"/>
      <c r="T24" s="7"/>
      <c r="U24" s="7"/>
      <c r="V24" s="7"/>
    </row>
    <row r="25" spans="1:22" s="36" customFormat="1" ht="15" customHeight="1" thickTop="1">
      <c r="A25" s="20"/>
      <c r="B25" s="269"/>
      <c r="C25" s="269"/>
      <c r="D25" s="269"/>
      <c r="E25" s="269"/>
      <c r="F25" s="20"/>
      <c r="G25" s="7"/>
      <c r="H25" s="7"/>
      <c r="I25" s="7"/>
      <c r="J25" s="7"/>
      <c r="R25" s="7"/>
      <c r="S25" s="7"/>
      <c r="T25" s="7"/>
      <c r="U25" s="7"/>
      <c r="V25" s="7"/>
    </row>
    <row r="26" spans="1:22" s="36" customFormat="1" ht="9" customHeight="1">
      <c r="A26" s="20"/>
      <c r="B26" s="20"/>
      <c r="C26" s="20"/>
      <c r="D26" s="20"/>
      <c r="E26" s="35"/>
      <c r="F26" s="20"/>
      <c r="G26" s="7"/>
      <c r="H26" s="7"/>
      <c r="I26" s="7"/>
      <c r="J26" s="7"/>
    </row>
    <row r="27" spans="1:22" s="36" customFormat="1" ht="15" customHeight="1">
      <c r="A27" s="73" t="str">
        <f>VLOOKUP(ADDRESS(ROW(),COLUMN(),4),MatrixTexteT1,2,FALSE)</f>
        <v>Data, firma</v>
      </c>
      <c r="B27" s="263"/>
      <c r="C27" s="263"/>
      <c r="D27" s="263"/>
      <c r="E27" s="263"/>
      <c r="F27" s="49"/>
      <c r="G27" s="7"/>
      <c r="H27" s="7"/>
      <c r="I27" s="7"/>
      <c r="J27" s="7"/>
      <c r="K27" s="7"/>
      <c r="L27" s="7"/>
      <c r="M27" s="7"/>
      <c r="N27" s="7"/>
      <c r="O27" s="7"/>
      <c r="P27" s="7"/>
      <c r="Q27" s="7"/>
      <c r="R27" s="7"/>
      <c r="S27" s="7"/>
      <c r="T27" s="7"/>
      <c r="U27" s="7"/>
      <c r="V27" s="7"/>
    </row>
    <row r="28" spans="1:22" s="36" customFormat="1" ht="25.5" customHeight="1">
      <c r="A28" s="49"/>
      <c r="B28" s="49"/>
      <c r="C28" s="49"/>
      <c r="D28" s="49"/>
      <c r="E28" s="50"/>
      <c r="F28" s="49"/>
      <c r="G28" s="7"/>
      <c r="H28" s="7"/>
      <c r="I28" s="7"/>
      <c r="J28" s="7"/>
      <c r="K28" s="7"/>
      <c r="L28" s="7"/>
      <c r="M28" s="7"/>
      <c r="N28" s="7"/>
      <c r="O28" s="7"/>
      <c r="P28" s="7"/>
      <c r="Q28" s="7"/>
      <c r="R28" s="7"/>
      <c r="S28" s="7"/>
      <c r="T28" s="7"/>
      <c r="U28" s="7"/>
      <c r="V28" s="7"/>
    </row>
    <row r="29" spans="1:22" s="54" customFormat="1" ht="25.5" customHeight="1">
      <c r="A29" s="32" t="str">
        <f>VLOOKUP(ADDRESS(ROW(),COLUMN(),4),MatrixTexteT1,2,FALSE)</f>
        <v>Riassunto risultati</v>
      </c>
      <c r="B29" s="51"/>
      <c r="C29" s="51"/>
      <c r="D29" s="51"/>
      <c r="E29" s="51"/>
      <c r="F29" s="52"/>
      <c r="G29" s="53"/>
      <c r="H29" s="53"/>
      <c r="I29" s="53"/>
      <c r="J29" s="53"/>
      <c r="K29" s="53"/>
      <c r="L29" s="53"/>
      <c r="M29" s="53"/>
      <c r="N29" s="53"/>
      <c r="O29" s="53"/>
      <c r="P29" s="53"/>
      <c r="Q29" s="53"/>
      <c r="R29" s="53"/>
      <c r="S29" s="53"/>
      <c r="T29" s="53"/>
      <c r="U29" s="53"/>
      <c r="V29" s="53"/>
    </row>
    <row r="30" spans="1:22" ht="28.5" customHeight="1" thickBot="1">
      <c r="A30" s="94" t="str">
        <f>VLOOKUP(ADDRESS(ROW(),COLUMN(),4),MatrixTexteT1,2,FALSE)</f>
        <v>Designazione</v>
      </c>
      <c r="B30" s="94"/>
      <c r="C30" s="95"/>
      <c r="D30" s="228" t="str">
        <f>VLOOKUP(ADDRESS(ROW(),COLUMN(),4),MatrixTexteT1,2,FALSE)</f>
        <v>EPnr (en. grigia)
kWh/m2a</v>
      </c>
      <c r="E30" s="229" t="str">
        <f>VLOOKUP(ADDRESS(ROW(),COLUMN(),4),MatrixTexteT1,2,FALSE)</f>
        <v>EGS
kg/m2a</v>
      </c>
    </row>
    <row r="31" spans="1:22" ht="16.5" thickTop="1" thickBot="1">
      <c r="A31" s="232" t="str">
        <f>VLOOKUP(ADDRESS(ROW(),COLUMN(),4),MatrixTexteT1,2,FALSE)</f>
        <v>Valori progetto</v>
      </c>
      <c r="B31" s="232"/>
      <c r="C31" s="232"/>
      <c r="D31" s="233">
        <f>SumPE</f>
        <v>0</v>
      </c>
      <c r="E31" s="233">
        <f>SumTHGE</f>
        <v>0</v>
      </c>
    </row>
    <row r="32" spans="1:22" ht="16.5" thickTop="1" thickBot="1">
      <c r="A32" s="55" t="str">
        <f>Calcolo!B45</f>
        <v>Minergie-Eco valore limite 1</v>
      </c>
      <c r="B32" s="131"/>
      <c r="C32" s="131"/>
      <c r="D32" s="96">
        <f>Calcolo!L45</f>
        <v>29.2</v>
      </c>
      <c r="E32" s="96">
        <f>Calcolo!M45</f>
        <v>9.4</v>
      </c>
    </row>
    <row r="33" spans="1:22" ht="16.5" thickTop="1" thickBot="1">
      <c r="A33" s="55" t="str">
        <f>Calcolo!B46</f>
        <v>Minergie-Eco valore limite 2</v>
      </c>
      <c r="B33" s="131"/>
      <c r="C33" s="131"/>
      <c r="D33" s="96">
        <f>Calcolo!L46</f>
        <v>43.1</v>
      </c>
      <c r="E33" s="96">
        <f>Calcolo!M46</f>
        <v>12.35</v>
      </c>
    </row>
    <row r="34" spans="1:22" ht="25.5" customHeight="1" thickTop="1" thickBot="1">
      <c r="A34" s="75" t="str">
        <f>IF(Cert=ECO,Texte!B22,IF(Cert=SNBS,Texte!B23,IF(Cert=EffiPfad,Texte!B24,Texte!B25)))</f>
        <v>L'esigenza Minergie-Eco sull' energia grigia è</v>
      </c>
      <c r="B34" s="74"/>
      <c r="C34" s="74"/>
      <c r="D34" s="264" t="str">
        <f>Calcolo!K51</f>
        <v/>
      </c>
      <c r="E34" s="265"/>
    </row>
    <row r="35" spans="1:22" ht="25.5" customHeight="1" thickTop="1" thickBot="1">
      <c r="A35" s="130" t="str">
        <f>IF(Cert=ECO,Texte!B26,IF(Cert=SNBS,Texte!B27,IF(Cert=EffiPfad,Texte!B28,Texte!B29)))</f>
        <v>L'esigenza Minergie-Eco sull' emissioni di gas serra è</v>
      </c>
      <c r="B35" s="55"/>
      <c r="C35" s="55"/>
      <c r="D35" s="266" t="str">
        <f>Calcolo!K52</f>
        <v/>
      </c>
      <c r="E35" s="267"/>
    </row>
    <row r="36" spans="1:22" ht="9.75" customHeight="1" thickTop="1">
      <c r="A36" s="49"/>
      <c r="B36" s="49"/>
      <c r="C36" s="49"/>
      <c r="D36" s="49"/>
      <c r="E36" s="49"/>
    </row>
    <row r="37" spans="1:22" ht="26.25" customHeight="1">
      <c r="A37" s="32" t="str">
        <f>VLOOKUP(ADDRESS(ROW(),COLUMN(),4),MatrixTexteT1,2,FALSE)</f>
        <v>Guida abbreviata</v>
      </c>
      <c r="B37" s="51"/>
      <c r="C37" s="51"/>
      <c r="D37" s="51"/>
      <c r="E37" s="56" t="str">
        <f>VLOOKUP(ADDRESS(ROW(),COLUMN(),4),MatrixTexteT1,2,FALSE)</f>
        <v>Istruzioni dettagliate possono essere trovate sul sito web Minergie.</v>
      </c>
    </row>
    <row r="38" spans="1:22" ht="9" customHeight="1">
      <c r="A38" s="49"/>
      <c r="B38" s="57"/>
      <c r="C38" s="57"/>
      <c r="D38" s="57"/>
      <c r="E38" s="58"/>
    </row>
    <row r="39" spans="1:22" s="61" customFormat="1" ht="16.5" customHeight="1">
      <c r="A39" s="270" t="str">
        <f t="shared" ref="A39:A47" si="0">VLOOKUP(ADDRESS(ROW(),COLUMN(),4),MatrixTexteT1,2,FALSE)</f>
        <v>Registrare dapprima i dati dell’oggetto in questa scheda.</v>
      </c>
      <c r="B39" s="270"/>
      <c r="C39" s="270"/>
      <c r="D39" s="270"/>
      <c r="E39" s="270"/>
      <c r="F39" s="59"/>
      <c r="G39" s="60"/>
      <c r="H39" s="60"/>
      <c r="I39" s="60"/>
      <c r="J39" s="60"/>
      <c r="K39" s="60"/>
      <c r="L39" s="60"/>
      <c r="M39" s="60"/>
      <c r="N39" s="60"/>
      <c r="O39" s="60"/>
      <c r="P39" s="60"/>
      <c r="Q39" s="60"/>
      <c r="R39" s="60"/>
      <c r="S39" s="60"/>
      <c r="T39" s="60"/>
      <c r="U39" s="60"/>
      <c r="V39" s="60"/>
    </row>
    <row r="40" spans="1:22" s="61" customFormat="1" ht="16.5" customHeight="1">
      <c r="A40" s="262" t="str">
        <f t="shared" si="0"/>
        <v>Se l’oggetto è un ammodernamento, andare al foglio  'Questionario_ammodernamento' .</v>
      </c>
      <c r="B40" s="262"/>
      <c r="C40" s="262"/>
      <c r="D40" s="262"/>
      <c r="E40" s="262"/>
      <c r="F40" s="59"/>
      <c r="G40" s="60"/>
      <c r="H40" s="60"/>
      <c r="I40" s="60"/>
      <c r="J40" s="60"/>
      <c r="K40" s="60"/>
      <c r="L40" s="60"/>
      <c r="M40" s="60"/>
      <c r="N40" s="60"/>
      <c r="O40" s="60"/>
      <c r="P40" s="60"/>
      <c r="Q40" s="60"/>
      <c r="R40" s="60"/>
      <c r="S40" s="60"/>
      <c r="T40" s="60"/>
      <c r="U40" s="60"/>
      <c r="V40" s="60"/>
    </row>
    <row r="41" spans="1:22" s="61" customFormat="1" ht="16.5" customHeight="1">
      <c r="A41" s="262" t="str">
        <f t="shared" si="0"/>
        <v>Se l’oggetto è un nuovo edificio, andare al foglio 'Calcolo'.</v>
      </c>
      <c r="B41" s="262"/>
      <c r="C41" s="262"/>
      <c r="D41" s="262"/>
      <c r="E41" s="262"/>
      <c r="F41" s="59"/>
      <c r="G41" s="60"/>
      <c r="H41" s="60"/>
      <c r="I41" s="60"/>
      <c r="J41" s="60"/>
      <c r="K41" s="60"/>
      <c r="L41" s="60"/>
      <c r="M41" s="60"/>
      <c r="N41" s="60"/>
      <c r="O41" s="60"/>
      <c r="P41" s="60"/>
      <c r="Q41" s="60"/>
      <c r="R41" s="60"/>
      <c r="S41" s="60"/>
      <c r="T41" s="60"/>
      <c r="U41" s="60"/>
      <c r="V41" s="60"/>
    </row>
    <row r="42" spans="1:22" s="61" customFormat="1" ht="16.5" customHeight="1">
      <c r="A42" s="262" t="str">
        <f t="shared" si="0"/>
        <v>Registrare quindi i dati delle finestre dell' edificio nella tabella 'Calcolo'.</v>
      </c>
      <c r="B42" s="262"/>
      <c r="C42" s="262"/>
      <c r="D42" s="262"/>
      <c r="E42" s="262"/>
      <c r="F42" s="59"/>
      <c r="G42" s="60"/>
      <c r="H42" s="60"/>
      <c r="I42" s="60"/>
      <c r="J42" s="60"/>
      <c r="K42" s="60"/>
      <c r="L42" s="60"/>
      <c r="M42" s="60"/>
      <c r="N42" s="60"/>
      <c r="O42" s="60"/>
      <c r="P42" s="60"/>
      <c r="Q42" s="60"/>
      <c r="R42" s="60"/>
      <c r="S42" s="60"/>
      <c r="T42" s="60"/>
      <c r="U42" s="60"/>
      <c r="V42" s="60"/>
    </row>
    <row r="43" spans="1:22" s="61" customFormat="1" ht="16.5" customHeight="1">
      <c r="A43" s="262" t="str">
        <f t="shared" si="0"/>
        <v>Utilizzare le superfici e gli elementi presenti nel calcolo energetico (se disponibile).</v>
      </c>
      <c r="B43" s="262"/>
      <c r="C43" s="262"/>
      <c r="D43" s="262"/>
      <c r="E43" s="262"/>
      <c r="F43" s="59"/>
      <c r="G43" s="60"/>
      <c r="H43" s="60"/>
      <c r="I43" s="60"/>
      <c r="J43" s="60"/>
      <c r="K43" s="60"/>
      <c r="L43" s="60"/>
      <c r="M43" s="60"/>
      <c r="N43" s="60"/>
      <c r="O43" s="60"/>
      <c r="P43" s="60"/>
      <c r="Q43" s="60"/>
      <c r="R43" s="60"/>
      <c r="S43" s="60"/>
      <c r="T43" s="60"/>
      <c r="U43" s="60"/>
      <c r="V43" s="60"/>
    </row>
    <row r="44" spans="1:22" s="61" customFormat="1" ht="16.5" customHeight="1">
      <c r="A44" s="262" t="str">
        <f t="shared" si="0"/>
        <v>Si prega di leggere gli aiuti che appaiono quando si clicca su un campo dati di immissione.</v>
      </c>
      <c r="B44" s="262"/>
      <c r="C44" s="262"/>
      <c r="D44" s="262"/>
      <c r="E44" s="262"/>
      <c r="F44" s="59"/>
      <c r="G44" s="60"/>
      <c r="H44" s="60"/>
      <c r="I44" s="60"/>
      <c r="J44" s="60"/>
      <c r="K44" s="60"/>
      <c r="L44" s="60"/>
      <c r="M44" s="60"/>
      <c r="N44" s="60"/>
      <c r="O44" s="60"/>
      <c r="P44" s="60"/>
      <c r="Q44" s="60"/>
      <c r="R44" s="60"/>
      <c r="S44" s="60"/>
      <c r="T44" s="60"/>
      <c r="U44" s="60"/>
      <c r="V44" s="60"/>
    </row>
    <row r="45" spans="1:22" s="61" customFormat="1" ht="16.5" customHeight="1">
      <c r="A45" s="262" t="str">
        <f t="shared" si="0"/>
        <v>I risultati vengono visualizzati in fondo alla pagina nei fogli 'Riassunto' e 'Calcolo'.</v>
      </c>
      <c r="B45" s="262"/>
      <c r="C45" s="262"/>
      <c r="D45" s="262"/>
      <c r="E45" s="262"/>
      <c r="F45" s="59"/>
      <c r="G45" s="60"/>
      <c r="H45" s="60"/>
      <c r="I45" s="60"/>
      <c r="J45" s="60"/>
      <c r="K45" s="60"/>
      <c r="L45" s="60"/>
      <c r="M45" s="60"/>
      <c r="N45" s="60"/>
      <c r="O45" s="60"/>
      <c r="P45" s="60"/>
      <c r="Q45" s="60"/>
      <c r="R45" s="60"/>
      <c r="S45" s="60"/>
      <c r="T45" s="60"/>
      <c r="U45" s="60"/>
      <c r="V45" s="60"/>
    </row>
    <row r="46" spans="1:22" s="61" customFormat="1" ht="16.5" customHeight="1">
      <c r="A46" s="262" t="str">
        <f t="shared" si="0"/>
        <v>Se una tabella non è sufficiente, è possibile inserire i risultati di altri fogli in fondo al foglio 'Calcolo'.</v>
      </c>
      <c r="B46" s="262"/>
      <c r="C46" s="262"/>
      <c r="D46" s="262"/>
      <c r="E46" s="262"/>
      <c r="F46" s="59"/>
      <c r="G46" s="60"/>
      <c r="H46" s="60"/>
      <c r="I46" s="60"/>
      <c r="J46" s="60"/>
      <c r="K46" s="60"/>
      <c r="L46" s="60"/>
      <c r="M46" s="60"/>
      <c r="N46" s="60"/>
      <c r="O46" s="60"/>
      <c r="P46" s="60"/>
      <c r="Q46" s="60"/>
      <c r="R46" s="60"/>
      <c r="S46" s="60"/>
      <c r="T46" s="60"/>
      <c r="U46" s="60"/>
      <c r="V46" s="60"/>
    </row>
    <row r="47" spans="1:22" s="61" customFormat="1" ht="16.5" customHeight="1">
      <c r="A47" s="262" t="str">
        <f t="shared" si="0"/>
        <v>Se avete domande sugli oggetti di certificazione, contattate il centro di certificazione competente.</v>
      </c>
      <c r="B47" s="262"/>
      <c r="C47" s="262"/>
      <c r="D47" s="262"/>
      <c r="E47" s="262"/>
      <c r="F47" s="59"/>
      <c r="G47" s="60"/>
      <c r="H47" s="60"/>
      <c r="I47" s="60"/>
      <c r="J47" s="60"/>
      <c r="K47" s="60"/>
      <c r="L47" s="60"/>
      <c r="M47" s="60"/>
      <c r="N47" s="60"/>
      <c r="O47" s="60"/>
      <c r="P47" s="60"/>
      <c r="Q47" s="60"/>
      <c r="R47" s="60"/>
      <c r="S47" s="60"/>
      <c r="T47" s="60"/>
      <c r="U47" s="60"/>
      <c r="V47" s="60"/>
    </row>
    <row r="48" spans="1:22">
      <c r="A48" s="31"/>
      <c r="B48" s="31"/>
      <c r="C48" s="31"/>
      <c r="D48" s="31"/>
      <c r="E48" s="31"/>
    </row>
    <row r="82" spans="1:1">
      <c r="A82" s="62">
        <v>5</v>
      </c>
    </row>
  </sheetData>
  <sheetProtection algorithmName="SHA-512" hashValue="RoLv5b0C9W/0HbBbfARFCJ8kaGrn5FK4zzb4AU1U/wBB0OZIOlyigDIzm7+86/4mmwJ372FTuG/jQUrD5WQo/A==" saltValue="io+4y60vbr0gdh436O81VA==" spinCount="100000" sheet="1" selectLockedCells="1"/>
  <mergeCells count="25">
    <mergeCell ref="A46:E46"/>
    <mergeCell ref="A47:E47"/>
    <mergeCell ref="B5:E5"/>
    <mergeCell ref="B6:E6"/>
    <mergeCell ref="B8:E8"/>
    <mergeCell ref="B15:E15"/>
    <mergeCell ref="B16:E16"/>
    <mergeCell ref="A41:E41"/>
    <mergeCell ref="B18:E18"/>
    <mergeCell ref="B19:E19"/>
    <mergeCell ref="B21:E21"/>
    <mergeCell ref="B22:E22"/>
    <mergeCell ref="A39:E39"/>
    <mergeCell ref="A40:E40"/>
    <mergeCell ref="B24:E24"/>
    <mergeCell ref="B25:E25"/>
    <mergeCell ref="B11:E11"/>
    <mergeCell ref="A45:E45"/>
    <mergeCell ref="A42:E42"/>
    <mergeCell ref="A43:E43"/>
    <mergeCell ref="A44:E44"/>
    <mergeCell ref="B27:E27"/>
    <mergeCell ref="D34:E34"/>
    <mergeCell ref="B13:E13"/>
    <mergeCell ref="D35:E35"/>
  </mergeCells>
  <phoneticPr fontId="0" type="noConversion"/>
  <conditionalFormatting sqref="B13:E13">
    <cfRule type="expression" dxfId="189" priority="1">
      <formula>AND($B13&lt;&gt;"",ISERROR(VLOOKUP($B13,INDIRECT(VLOOKUP($B$11,MxCert,2,FALSE)),1,FALSE)))</formula>
    </cfRule>
  </conditionalFormatting>
  <dataValidations count="12">
    <dataValidation type="list" allowBlank="1" showInputMessage="1" showErrorMessage="1" errorTitle="Erreur" error="Vous devez sélectionner une entrée dans la liste." promptTitle="Catégorie de bâtiment" prompt="Sélectionnez une catégorie de bâtiment dans la liste." sqref="C8:E8" xr:uid="{00000000-0002-0000-0000-000000000000}">
      <formula1>ListProjekttyp</formula1>
    </dataValidation>
    <dataValidation type="list" allowBlank="1" showInputMessage="1" showErrorMessage="1" errorTitle="Erreur" error="Vous devez sélectionner une entrée dans la liste." promptTitle="Catégorie de bâtiment" prompt="Sélectionnez une catégorie de bâtiment dans la liste." sqref="C11:E11" xr:uid="{00000000-0002-0000-0000-000001000000}">
      <formula1>ListCert</formula1>
    </dataValidation>
    <dataValidation type="list" allowBlank="1" showInputMessage="1" showErrorMessage="1" errorTitle="Erreur" error="Vous devez sélectionner une entrée dans la liste." promptTitle="Catégorie de bâtiment" prompt="Sélectionnez une catégorie de bâtiment dans la liste." sqref="C13:E13" xr:uid="{00000000-0002-0000-0000-000002000000}">
      <formula1>INDIRECT(VLOOKUP(Cert,MxCert,2,FALSE))</formula1>
    </dataValidation>
    <dataValidation type="textLength" allowBlank="1" showInputMessage="1" showErrorMessage="1" errorTitle="Erreur" error="Vous devez sélectionner une entrée dans la liste." promptTitle="Catégorie de bâtiment" prompt="Sélectionnez une catégorie de bâtiment dans la liste." sqref="C5:E6" xr:uid="{00000000-0002-0000-0000-000003000000}">
      <formula1>0</formula1>
      <formula2>256</formula2>
    </dataValidation>
    <dataValidation type="textLength" allowBlank="1" showInputMessage="1" showErrorMessage="1" errorTitle="Errore" error="È possibile inserire un massimo di 256 caratteri per riga." promptTitle="Nome del progetto" prompt="Inserire un nome unico per il progetto." sqref="B6" xr:uid="{00000000-0002-0000-0000-000004000000}">
      <formula1>0</formula1>
      <formula2>256</formula2>
    </dataValidation>
    <dataValidation type="list" allowBlank="1" showInputMessage="1" showErrorMessage="1" errorTitle="Errore" error="È necessario selezionare una voce dall'elenco." promptTitle="Tipo di progetto" prompt="Selezionare un tipo di progetto dall'elenco." sqref="B8" xr:uid="{00000000-0002-0000-0000-00000B000000}">
      <formula1>ListProjekttyp</formula1>
    </dataValidation>
    <dataValidation type="list" allowBlank="1" showInputMessage="1" showErrorMessage="1" errorTitle="Errore" error="È necessario selezionare una voce dall'elenco." promptTitle="Certificato desiderato" prompt="Selezionare un certificato/standard dall'elenco." sqref="B11" xr:uid="{00000000-0002-0000-0000-00000E000000}">
      <formula1>ListCert</formula1>
    </dataValidation>
    <dataValidation type="list" allowBlank="1" showInputMessage="1" showErrorMessage="1" errorTitle="Errore" error="È necessario selezionare una voce dall'elenco." promptTitle="Categoria dell'edificio" prompt="Selezionare una categoria di edifici dall'elenco." sqref="B13" xr:uid="{00000000-0002-0000-0000-000011000000}">
      <formula1>INDIRECT(VLOOKUP(Cert,MxCert,2,FALSE))</formula1>
    </dataValidation>
    <dataValidation type="textLength" allowBlank="1" showInputMessage="1" showErrorMessage="1" sqref="B18:E19 B21:E22 B24:E25 C15:E16" xr:uid="{00000000-0002-0000-0000-000014000000}">
      <formula1>0</formula1>
      <formula2>256</formula2>
    </dataValidation>
    <dataValidation type="textLength" allowBlank="1" showInputMessage="1" showErrorMessage="1" errorTitle="Errore" error="È possibile inserire un massimo di 256 caratteri per riga." promptTitle="Parti coinvolte" prompt="Inserire i nomi e le informazioni di contatto dei partecipanti." sqref="B16" xr:uid="{00000000-0002-0000-0000-000015000000}">
      <formula1>0</formula1>
      <formula2>256</formula2>
    </dataValidation>
    <dataValidation type="textLength" allowBlank="1" showInputMessage="1" showErrorMessage="1" errorTitle="Errore" error="È possibile inserire un massimo di 256 caratteri per riga." promptTitle="Nome del progetto" prompt="Inserire un nome unico per il progetto." sqref="B5" xr:uid="{E3AF5579-AB14-4179-A98D-7FC9A70B80C1}">
      <formula1>0</formula1>
      <formula2>256</formula2>
    </dataValidation>
    <dataValidation type="textLength" allowBlank="1" showInputMessage="1" showErrorMessage="1" errorTitle="Errore" error="È possibile inserire un massimo di 256 caratteri per riga." promptTitle="Parti coinvolte" prompt="Inserire i nomi e le informazioni di contatto dei partecipanti." sqref="B15" xr:uid="{08AA16C9-EEB1-4263-9592-4B87DED8F98C}">
      <formula1>0</formula1>
      <formula2>256</formula2>
    </dataValidation>
  </dataValidations>
  <printOptions horizontalCentered="1"/>
  <pageMargins left="0.47244094488188981" right="0.47244094488188981" top="0.43307086614173229" bottom="0.47244094488188981" header="0.47244094488188981" footer="0.27559055118110237"/>
  <pageSetup paperSize="9" scale="79" orientation="portrait" horizontalDpi="4294967292" verticalDpi="300" r:id="rId1"/>
  <headerFooter alignWithMargins="0">
    <oddHeader>&amp;R&amp;G</oddHeader>
    <oddFooter>&amp;L&amp;10&amp;F&amp;R&amp;10&amp;P von &amp;N</oddFooter>
  </headerFooter>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7" id="{13FFBB00-CA06-4BAF-9415-483734D1035A}">
            <xm:f>$D34=Texte!$B$364</xm:f>
            <x14:dxf>
              <fill>
                <patternFill>
                  <bgColor rgb="FFEBE2AD"/>
                </patternFill>
              </fill>
            </x14:dxf>
          </x14:cfRule>
          <x14:cfRule type="expression" priority="8" id="{D4EA10D1-9B55-4BAF-9E0D-821A1C6789BE}">
            <xm:f>$D34=Texte!$B$363</xm:f>
            <x14:dxf>
              <fill>
                <patternFill>
                  <bgColor theme="6" tint="0.39994506668294322"/>
                </patternFill>
              </fill>
            </x14:dxf>
          </x14:cfRule>
          <x14:cfRule type="expression" priority="9" id="{91A92B72-8B22-4CB9-9F5A-5913ED2B3B9B}">
            <xm:f>$D34=Texte!$B$365</xm:f>
            <x14:dxf>
              <fill>
                <patternFill>
                  <bgColor theme="5" tint="0.59996337778862885"/>
                </patternFill>
              </fill>
            </x14:dxf>
          </x14:cfRule>
          <xm:sqref>A34:E35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theme="3" tint="0.59999389629810485"/>
    <pageSetUpPr fitToPage="1"/>
  </sheetPr>
  <dimension ref="A1:Y56"/>
  <sheetViews>
    <sheetView showGridLines="0" zoomScaleNormal="100" workbookViewId="0">
      <selection activeCell="E5" sqref="E5"/>
    </sheetView>
  </sheetViews>
  <sheetFormatPr baseColWidth="10" defaultRowHeight="12.75"/>
  <cols>
    <col min="1" max="1" width="2.6640625" style="64" customWidth="1"/>
    <col min="2" max="2" width="22.6640625" style="64" customWidth="1"/>
    <col min="3" max="3" width="9" style="64" customWidth="1"/>
    <col min="4" max="4" width="15.88671875" style="64" customWidth="1"/>
    <col min="5" max="5" width="13.21875" style="64" customWidth="1"/>
    <col min="6" max="6" width="7" style="64" customWidth="1"/>
    <col min="7" max="7" width="5.33203125" style="64" customWidth="1"/>
    <col min="8" max="8" width="12.109375" style="64" customWidth="1"/>
    <col min="9" max="9" width="8" style="64" customWidth="1"/>
    <col min="10" max="10" width="4.44140625" style="64" customWidth="1"/>
    <col min="11" max="11" width="6" style="64" customWidth="1"/>
    <col min="12" max="12" width="7.44140625" style="64" customWidth="1"/>
    <col min="13" max="13" width="6.77734375" style="64" customWidth="1"/>
    <col min="14" max="19" width="9.44140625" style="64" hidden="1" customWidth="1"/>
    <col min="20" max="20" width="20.88671875" style="64" hidden="1" customWidth="1"/>
    <col min="21" max="21" width="10.44140625" style="64" hidden="1" customWidth="1"/>
    <col min="22" max="23" width="11.5546875" style="64" hidden="1" customWidth="1"/>
    <col min="24" max="24" width="27.44140625" style="64" hidden="1" customWidth="1"/>
    <col min="25" max="25" width="15.33203125" style="64" customWidth="1"/>
    <col min="26" max="16384" width="11.5546875" style="64"/>
  </cols>
  <sheetData>
    <row r="1" spans="1:25" ht="28.5" customHeight="1">
      <c r="A1" s="23" t="str">
        <f>IF(Projektbez="","",Projektbez&amp;" - ")&amp;Texte!B44</f>
        <v>Calcolo dell'energia grigia (EPnr) e delle emissioni di gas serra (EGS)</v>
      </c>
      <c r="B1" s="63"/>
      <c r="C1" s="63"/>
      <c r="D1" s="63"/>
      <c r="E1" s="63"/>
      <c r="F1" s="63"/>
      <c r="G1" s="63"/>
      <c r="H1" s="63"/>
      <c r="I1" s="63"/>
      <c r="J1" s="63"/>
      <c r="K1" s="63"/>
      <c r="L1" s="63"/>
      <c r="M1" s="63"/>
      <c r="N1" s="63"/>
      <c r="O1" s="63"/>
      <c r="P1" s="63"/>
      <c r="Q1" s="63"/>
      <c r="R1" s="63"/>
      <c r="S1" s="63"/>
      <c r="T1" s="63"/>
      <c r="U1" s="63"/>
      <c r="V1" s="63"/>
      <c r="W1" s="63"/>
      <c r="X1" s="63"/>
    </row>
    <row r="2" spans="1:25" ht="9" customHeight="1">
      <c r="A2" s="63"/>
      <c r="B2" s="65"/>
      <c r="C2" s="65"/>
      <c r="D2" s="65"/>
      <c r="E2" s="65"/>
      <c r="F2" s="65"/>
      <c r="G2" s="65"/>
      <c r="H2" s="65"/>
      <c r="I2" s="65"/>
      <c r="J2" s="65"/>
      <c r="K2" s="65"/>
      <c r="L2" s="65"/>
      <c r="M2" s="65"/>
      <c r="N2" s="65"/>
      <c r="O2" s="65"/>
      <c r="P2" s="65"/>
      <c r="Q2" s="65"/>
      <c r="R2" s="65"/>
      <c r="S2" s="65"/>
      <c r="T2" s="65"/>
      <c r="U2" s="65"/>
      <c r="V2" s="65"/>
      <c r="W2" s="63"/>
      <c r="X2" s="63"/>
    </row>
    <row r="3" spans="1:25" ht="24.75" customHeight="1">
      <c r="A3" s="282" t="str">
        <f>VLOOKUP(ADDRESS(ROW(),COLUMN(),4),MatrixTexteT2,2,FALSE)</f>
        <v>Dati generali</v>
      </c>
      <c r="B3" s="283"/>
      <c r="C3" s="283"/>
      <c r="D3" s="283"/>
      <c r="E3" s="283"/>
      <c r="F3" s="283"/>
      <c r="G3" s="273" t="str">
        <f>IF(COUNTIF(N6:O10,Fehler)&gt;0,VLOOKUP(ADDRESS(ROW(),COLUMN(),4),MatrixTexteT2,2,FALSE),"")</f>
        <v/>
      </c>
      <c r="H3" s="273"/>
      <c r="I3" s="273"/>
      <c r="J3" s="273"/>
      <c r="K3" s="273"/>
      <c r="L3" s="273"/>
      <c r="M3" s="116"/>
      <c r="N3" s="282" t="s">
        <v>33</v>
      </c>
      <c r="O3" s="283"/>
      <c r="P3" s="283"/>
      <c r="Q3" s="283"/>
      <c r="R3" s="283"/>
      <c r="S3" s="283"/>
      <c r="T3" s="283"/>
      <c r="U3" s="283"/>
      <c r="V3" s="283"/>
      <c r="W3" s="286"/>
      <c r="X3" s="284"/>
      <c r="Y3" s="285"/>
    </row>
    <row r="4" spans="1:25" ht="9" customHeight="1" thickBot="1">
      <c r="A4" s="63"/>
      <c r="B4" s="65"/>
      <c r="C4" s="65"/>
      <c r="D4" s="65"/>
      <c r="E4" s="65"/>
      <c r="F4" s="65"/>
      <c r="G4" s="65"/>
      <c r="H4" s="65"/>
      <c r="I4" s="65"/>
      <c r="J4" s="65"/>
      <c r="K4" s="65"/>
      <c r="L4" s="65"/>
      <c r="M4" s="65"/>
      <c r="N4" s="65"/>
      <c r="O4" s="65"/>
      <c r="P4" s="65"/>
      <c r="Q4" s="65"/>
      <c r="R4" s="65"/>
      <c r="S4" s="65"/>
      <c r="T4" s="65"/>
      <c r="U4" s="65"/>
      <c r="V4" s="65"/>
      <c r="W4" s="63"/>
      <c r="X4" s="63"/>
    </row>
    <row r="5" spans="1:25" ht="15" customHeight="1" thickTop="1" thickBot="1">
      <c r="A5" s="126" t="str">
        <f>VLOOKUP(ADDRESS(ROW(),COLUMN(),4),MatrixTexteT2,2,FALSE)</f>
        <v>Edificio</v>
      </c>
      <c r="B5" s="65"/>
      <c r="C5" s="63" t="str">
        <f t="shared" ref="C5:C14" si="0">VLOOKUP(ADDRESS(ROW(),COLUMN(),4),MatrixTexteT2,2,FALSE)</f>
        <v>Standard energetici edifici</v>
      </c>
      <c r="E5" s="135" t="s">
        <v>229</v>
      </c>
      <c r="G5" s="63" t="str">
        <f>VLOOKUP(ADDRESS(ROW(),COLUMN(),4),MatrixTexteT2,2,FALSE)</f>
        <v>Tipologia pianta (Quantità di pareti interne)</v>
      </c>
      <c r="K5" s="278" t="s">
        <v>1835</v>
      </c>
      <c r="L5" s="278"/>
      <c r="N5" s="168"/>
      <c r="O5" s="169"/>
      <c r="P5" s="170"/>
      <c r="Q5" s="170"/>
      <c r="R5" s="170"/>
      <c r="S5" s="170"/>
      <c r="T5" s="170"/>
      <c r="U5" s="170"/>
      <c r="V5" s="170"/>
      <c r="W5" s="255"/>
      <c r="X5" s="63"/>
    </row>
    <row r="6" spans="1:25" ht="15" customHeight="1" thickTop="1" thickBot="1">
      <c r="A6" s="126" t="str">
        <f>VLOOKUP(ADDRESS(ROW(),COLUMN(),4),MatrixTexteT2,2,FALSE)</f>
        <v>Superfici</v>
      </c>
      <c r="B6" s="65"/>
      <c r="C6" s="63" t="str">
        <f t="shared" si="0"/>
        <v>Superficie di riferimento</v>
      </c>
      <c r="E6" s="136">
        <v>1000</v>
      </c>
      <c r="F6" s="63" t="s">
        <v>32</v>
      </c>
      <c r="G6" s="63" t="str">
        <f>VLOOKUP(ADDRESS(ROW(),COLUMN(),4),MatrixTexteT2,2,FALSE)</f>
        <v>Superficie del piano</v>
      </c>
      <c r="H6" s="65"/>
      <c r="K6" s="275">
        <v>1500</v>
      </c>
      <c r="L6" s="275"/>
      <c r="M6" s="63" t="s">
        <v>32</v>
      </c>
      <c r="N6" s="168"/>
      <c r="O6" s="169"/>
      <c r="P6" s="170"/>
      <c r="Q6" s="170"/>
      <c r="R6" s="170"/>
      <c r="S6" s="170"/>
      <c r="T6" s="170"/>
      <c r="U6" s="170"/>
      <c r="V6" s="170"/>
      <c r="W6" s="255"/>
      <c r="X6" s="63"/>
    </row>
    <row r="7" spans="1:25" ht="15.75" thickTop="1" thickBot="1">
      <c r="A7" s="126"/>
      <c r="B7" s="65"/>
      <c r="C7" s="63" t="str">
        <f t="shared" si="0"/>
        <v>Pavimento contro non risc./terra</v>
      </c>
      <c r="D7" s="65"/>
      <c r="E7" s="137"/>
      <c r="F7" s="63" t="s">
        <v>32</v>
      </c>
      <c r="G7" s="63" t="str">
        <f>VLOOKUP(ADDRESS(ROW(),COLUMN(),4),MatrixTexteT2,2,FALSE)</f>
        <v>Superficie dei piani nel sottosuolo</v>
      </c>
      <c r="K7" s="274"/>
      <c r="L7" s="274"/>
      <c r="M7" s="63" t="s">
        <v>32</v>
      </c>
      <c r="N7" s="168"/>
      <c r="O7" s="169"/>
      <c r="P7" s="170"/>
      <c r="Q7" s="170"/>
      <c r="R7" s="170"/>
      <c r="S7" s="170"/>
      <c r="T7" s="170"/>
      <c r="U7" s="170"/>
      <c r="V7" s="170"/>
      <c r="W7" s="255"/>
      <c r="X7" s="63"/>
    </row>
    <row r="8" spans="1:25" ht="15" customHeight="1" thickTop="1" thickBot="1">
      <c r="A8" s="126" t="str">
        <f>VLOOKUP(ADDRESS(ROW(),COLUMN(),4),MatrixTexteT2,2,FALSE)</f>
        <v>Piani</v>
      </c>
      <c r="C8" s="63" t="str">
        <f t="shared" si="0"/>
        <v>Numero di piani non riscaldati</v>
      </c>
      <c r="E8" s="138"/>
      <c r="F8" s="63" t="s">
        <v>244</v>
      </c>
      <c r="G8" s="63" t="str">
        <f>VLOOKUP(ADDRESS(ROW(),COLUMN(),4),MatrixTexteT2,2,FALSE)</f>
        <v>Numero dei piani nel sottosuolo</v>
      </c>
      <c r="H8" s="65"/>
      <c r="K8" s="276"/>
      <c r="L8" s="276"/>
      <c r="M8" s="64" t="s">
        <v>244</v>
      </c>
      <c r="N8" s="168"/>
      <c r="O8" s="169"/>
      <c r="P8" s="170"/>
      <c r="Q8" s="170"/>
      <c r="R8" s="170"/>
      <c r="S8" s="170"/>
      <c r="T8" s="170"/>
      <c r="U8" s="170"/>
      <c r="V8" s="170"/>
      <c r="W8" s="255"/>
      <c r="X8" s="63"/>
    </row>
    <row r="9" spans="1:25" ht="15" customHeight="1" thickTop="1" thickBot="1">
      <c r="A9" s="126"/>
      <c r="B9" s="65"/>
      <c r="C9" s="63" t="str">
        <f t="shared" si="0"/>
        <v>Altezza media dei locali</v>
      </c>
      <c r="E9" s="138"/>
      <c r="F9" s="63" t="s">
        <v>190</v>
      </c>
      <c r="G9" s="63"/>
      <c r="H9" s="65"/>
      <c r="I9" s="63"/>
      <c r="J9" s="63"/>
      <c r="K9" s="63"/>
      <c r="L9" s="125"/>
      <c r="N9" s="174" t="s">
        <v>1777</v>
      </c>
      <c r="O9" s="169"/>
      <c r="P9" s="170"/>
      <c r="Q9" s="174" t="s">
        <v>1778</v>
      </c>
      <c r="R9" s="170"/>
      <c r="S9" s="170"/>
      <c r="T9" s="170"/>
      <c r="U9" s="170"/>
      <c r="V9" s="170"/>
      <c r="W9" s="255"/>
      <c r="X9" s="63"/>
    </row>
    <row r="10" spans="1:25" ht="15" customHeight="1" thickTop="1" thickBot="1">
      <c r="A10" s="126" t="str">
        <f>VLOOKUP(ADDRESS(ROW(),COLUMN(),4),MatrixTexteT2,2,FALSE)</f>
        <v>Impiantistica</v>
      </c>
      <c r="B10" s="65"/>
      <c r="C10" s="63" t="str">
        <f t="shared" si="0"/>
        <v>Impianto FV (superficie captante)</v>
      </c>
      <c r="E10" s="138"/>
      <c r="F10" s="63" t="s">
        <v>32</v>
      </c>
      <c r="G10" s="63" t="str">
        <f>VLOOKUP(ADDRESS(ROW(),COLUMN(),4),MatrixTexteT2,2,FALSE)</f>
        <v>Impianto solare term. (superficie assorb.)</v>
      </c>
      <c r="H10" s="65"/>
      <c r="K10" s="277">
        <v>0</v>
      </c>
      <c r="L10" s="277"/>
      <c r="M10" s="63" t="s">
        <v>32</v>
      </c>
      <c r="N10" s="174" t="s">
        <v>476</v>
      </c>
      <c r="O10" s="175" t="s">
        <v>477</v>
      </c>
      <c r="P10" s="176" t="s">
        <v>475</v>
      </c>
      <c r="Q10" s="174" t="s">
        <v>476</v>
      </c>
      <c r="R10" s="175" t="s">
        <v>477</v>
      </c>
      <c r="S10" s="175"/>
      <c r="T10" s="176" t="s">
        <v>475</v>
      </c>
      <c r="U10" s="170"/>
      <c r="V10" s="170"/>
      <c r="W10" s="255"/>
      <c r="X10" s="63"/>
    </row>
    <row r="11" spans="1:25" ht="15" customHeight="1" thickTop="1" thickBot="1">
      <c r="B11" s="65"/>
      <c r="C11" s="63" t="str">
        <f t="shared" si="0"/>
        <v>Sonde geotermiche</v>
      </c>
      <c r="E11" s="135" t="s">
        <v>103</v>
      </c>
      <c r="G11" s="63" t="str">
        <f>VLOOKUP(ADDRESS(ROW(),COLUMN(),4),MatrixTexteT2,2,FALSE)</f>
        <v>Generazione di calore</v>
      </c>
      <c r="H11" s="65"/>
      <c r="K11" s="278" t="s">
        <v>103</v>
      </c>
      <c r="L11" s="278"/>
      <c r="M11" s="65"/>
      <c r="N11" s="170" t="b">
        <f>IF(ErdSonde=Ja,IF(EnStandard=ME,GWPEerdsonde1,GWPEerdsonde2))</f>
        <v>0</v>
      </c>
      <c r="O11" s="170">
        <f>IF(WEneu=Ja,VLOOKUP(GebKat,MxEcoGWPE_M,14,FALSE),0)</f>
        <v>0</v>
      </c>
      <c r="P11" s="170"/>
      <c r="Q11" s="170" t="b">
        <f>IF(ErdSonde=Ja,IF(EnStandard=ME,GWTHerdsonde1,GWTHerdsonde2))</f>
        <v>0</v>
      </c>
      <c r="R11" s="170">
        <f>IF(WEneu=Ja,VLOOKUP(GebKat,MxEcoGWTH_M,14,FALSE),0)</f>
        <v>0</v>
      </c>
      <c r="S11" s="170"/>
      <c r="T11" s="170"/>
      <c r="U11" s="170"/>
      <c r="V11" s="170"/>
      <c r="W11" s="255"/>
      <c r="X11" s="63"/>
    </row>
    <row r="12" spans="1:25" ht="15" customHeight="1" thickTop="1" thickBot="1">
      <c r="B12" s="65"/>
      <c r="C12" s="63" t="str">
        <f t="shared" si="0"/>
        <v>Distribuzione di calore</v>
      </c>
      <c r="E12" s="135" t="s">
        <v>103</v>
      </c>
      <c r="F12" s="63"/>
      <c r="G12" s="63" t="str">
        <f>VLOOKUP(ADDRESS(ROW(),COLUMN(),4),MatrixTexteT2,2,FALSE)</f>
        <v>Emissione di calore</v>
      </c>
      <c r="H12" s="65"/>
      <c r="K12" s="278" t="s">
        <v>103</v>
      </c>
      <c r="L12" s="278"/>
      <c r="M12" s="65"/>
      <c r="N12" s="170">
        <f>IF(WVneu=Ja,VLOOKUP(GebKat,MxEcoGWPE_M,15,FALSE),0)</f>
        <v>0</v>
      </c>
      <c r="O12" s="170">
        <f>IF(WAneu=Ja,VLOOKUP(GebKat,MxEcoGWPE_M,16,FALSE),0)</f>
        <v>0</v>
      </c>
      <c r="P12" s="170"/>
      <c r="Q12" s="170">
        <f>IF(WVneu=Ja,VLOOKUP(GebKat,MxEcoGWTH_M,15,FALSE),0)</f>
        <v>0</v>
      </c>
      <c r="R12" s="170">
        <f>IF(WAneu=Ja,VLOOKUP(GebKat,MxEcoGWTH_M,16,FALSE),0)</f>
        <v>0</v>
      </c>
      <c r="S12" s="170"/>
      <c r="T12" s="170"/>
      <c r="U12" s="170"/>
      <c r="V12" s="170"/>
      <c r="W12" s="255"/>
      <c r="X12" s="63"/>
    </row>
    <row r="13" spans="1:25" ht="15" customHeight="1" thickTop="1" thickBot="1">
      <c r="B13" s="65"/>
      <c r="C13" s="63" t="str">
        <f t="shared" si="0"/>
        <v>Impianto di ventilazione</v>
      </c>
      <c r="E13" s="135" t="s">
        <v>103</v>
      </c>
      <c r="F13" s="63"/>
      <c r="G13" s="63" t="str">
        <f>VLOOKUP(ADDRESS(ROW(),COLUMN(),4),MatrixTexteT2,2,FALSE)</f>
        <v>Impianto sanitario</v>
      </c>
      <c r="H13" s="65"/>
      <c r="K13" s="279" t="s">
        <v>103</v>
      </c>
      <c r="L13" s="279"/>
      <c r="M13" s="65"/>
      <c r="N13" s="170">
        <f>IF(VentNeu=Ja,VLOOKUP(GebKat,MxEcoGWPE_M,12,FALSE),0)</f>
        <v>0</v>
      </c>
      <c r="O13" s="170">
        <f>IF(SanNeu=Ja,VLOOKUP(GebKat,MxEcoGWPE_M,13,FALSE),0)</f>
        <v>0</v>
      </c>
      <c r="P13" s="170"/>
      <c r="Q13" s="170">
        <f>IF(VentNeu=Ja,VLOOKUP(GebKat,MxEcoGWTH_M,12,FALSE),0)</f>
        <v>0</v>
      </c>
      <c r="R13" s="170">
        <f>IF(SanNeu=Ja,VLOOKUP(GebKat,MxEcoGWTH_M,13,FALSE),0)</f>
        <v>0</v>
      </c>
      <c r="S13" s="170"/>
      <c r="T13" s="170"/>
      <c r="U13" s="170"/>
      <c r="V13" s="170"/>
      <c r="W13" s="255"/>
      <c r="X13" s="63"/>
    </row>
    <row r="14" spans="1:25" ht="15" customHeight="1" thickTop="1" thickBot="1">
      <c r="B14" s="65"/>
      <c r="C14" s="63" t="str">
        <f t="shared" si="0"/>
        <v>Impianto elettrico</v>
      </c>
      <c r="E14" s="135" t="s">
        <v>103</v>
      </c>
      <c r="F14" s="63"/>
      <c r="G14" s="63"/>
      <c r="H14" s="65"/>
      <c r="I14" s="63"/>
      <c r="J14" s="63"/>
      <c r="K14" s="127"/>
      <c r="L14" s="127"/>
      <c r="M14" s="65"/>
      <c r="N14" s="170">
        <f>IF(ElNeu=Ja,VLOOKUP(GebKat,MxEcoGWPE_M,17,FALSE),0)</f>
        <v>0</v>
      </c>
      <c r="O14" s="170"/>
      <c r="P14" s="170">
        <f>SUM(N11:O14)</f>
        <v>0</v>
      </c>
      <c r="Q14" s="170">
        <f>IF(ElNeu=Ja,VLOOKUP(GebKat,MxEcoGWTH_M,17,FALSE),0)</f>
        <v>0</v>
      </c>
      <c r="R14" s="170"/>
      <c r="S14" s="170"/>
      <c r="T14" s="170">
        <f>SUM(Q11:R14)</f>
        <v>0</v>
      </c>
      <c r="U14" s="170"/>
      <c r="V14" s="170"/>
      <c r="W14" s="255"/>
      <c r="X14" s="63"/>
    </row>
    <row r="15" spans="1:25" ht="15.75" customHeight="1" thickTop="1">
      <c r="A15" s="63"/>
      <c r="B15" s="65"/>
      <c r="C15" s="65"/>
      <c r="D15" s="65"/>
      <c r="E15" s="65"/>
      <c r="F15" s="65"/>
      <c r="G15" s="65"/>
      <c r="H15" s="65"/>
      <c r="I15" s="65"/>
      <c r="J15" s="65"/>
      <c r="K15" s="65"/>
      <c r="L15" s="65"/>
      <c r="M15" s="65"/>
      <c r="N15" s="65"/>
      <c r="O15" s="65"/>
      <c r="P15" s="65"/>
      <c r="Q15" s="65"/>
      <c r="R15" s="65"/>
      <c r="S15" s="65"/>
      <c r="T15" s="65"/>
      <c r="U15" s="65"/>
      <c r="V15" s="65"/>
      <c r="W15" s="63"/>
      <c r="X15" s="63"/>
    </row>
    <row r="16" spans="1:25" ht="24.75" customHeight="1">
      <c r="A16" s="289" t="str">
        <f>VLOOKUP(ADDRESS(ROW(),COLUMN(),4),MatrixTexteT2,2,FALSE)</f>
        <v>Elementi costruttivi e impiantistica</v>
      </c>
      <c r="B16" s="289"/>
      <c r="C16" s="289"/>
      <c r="D16" s="289"/>
      <c r="E16" s="289"/>
      <c r="F16" s="289"/>
      <c r="G16" s="289"/>
      <c r="H16" s="289"/>
      <c r="I16" s="289"/>
      <c r="J16" s="289"/>
      <c r="K16" s="289"/>
      <c r="L16" s="289"/>
      <c r="M16" s="290"/>
      <c r="N16" s="294" t="s">
        <v>33</v>
      </c>
      <c r="O16" s="289"/>
      <c r="P16" s="289"/>
      <c r="Q16" s="289"/>
      <c r="R16" s="289"/>
      <c r="S16" s="289"/>
      <c r="T16" s="289"/>
      <c r="U16" s="106"/>
      <c r="V16" s="106"/>
      <c r="W16" s="254" t="s">
        <v>2424</v>
      </c>
      <c r="X16" s="63"/>
    </row>
    <row r="17" spans="1:24" ht="27" customHeight="1" thickBot="1">
      <c r="A17" s="72" t="s">
        <v>285</v>
      </c>
      <c r="B17" s="204" t="str">
        <f>VLOOKUP(ADDRESS(ROW(),COLUMN(),4),MatrixTexteT2,2,FALSE)</f>
        <v>eCCC-E</v>
      </c>
      <c r="C17" s="291" t="str">
        <f>VLOOKUP(ADDRESS(ROW(),COLUMN(),4),MatrixTexteT2,2,FALSE)</f>
        <v>Sigla elemento costruttivo</v>
      </c>
      <c r="D17" s="292"/>
      <c r="E17" s="292"/>
      <c r="F17" s="292"/>
      <c r="G17" s="293"/>
      <c r="H17" s="97" t="str">
        <f t="shared" ref="H17:M17" si="1">VLOOKUP(ADDRESS(ROW(),COLUMN(),4),MatrixTexteT2,2,FALSE)</f>
        <v>Standard energetico</v>
      </c>
      <c r="I17" s="97" t="str">
        <f>VLOOKUP(ADDRESS(ROW(),COLUMN(),4),MatrixTexteT2,2,FALSE)</f>
        <v xml:space="preserve">Dimensioni
</v>
      </c>
      <c r="J17" s="97" t="str">
        <f>VLOOKUP(ADDRESS(ROW(),COLUMN(),4),MatrixTexteT2,2,FALSE)</f>
        <v>Unità</v>
      </c>
      <c r="K17" s="97" t="str">
        <f t="shared" si="1"/>
        <v>Link</v>
      </c>
      <c r="L17" s="101" t="str">
        <f t="shared" si="1"/>
        <v>EPnr
kWh/m2</v>
      </c>
      <c r="M17" s="101" t="str">
        <f t="shared" si="1"/>
        <v>EGS
kg/m2</v>
      </c>
      <c r="N17" s="97" t="s">
        <v>241</v>
      </c>
      <c r="O17" s="98" t="s">
        <v>232</v>
      </c>
      <c r="P17" s="98" t="s">
        <v>277</v>
      </c>
      <c r="Q17" s="98" t="s">
        <v>278</v>
      </c>
      <c r="R17" s="98" t="s">
        <v>279</v>
      </c>
      <c r="S17" s="98" t="s">
        <v>195</v>
      </c>
      <c r="T17" s="99" t="s">
        <v>23</v>
      </c>
      <c r="U17" s="99" t="s">
        <v>342</v>
      </c>
      <c r="V17" s="99" t="s">
        <v>246</v>
      </c>
      <c r="W17" s="99" t="s">
        <v>2405</v>
      </c>
      <c r="X17" s="63"/>
    </row>
    <row r="18" spans="1:24" ht="16.5" customHeight="1" thickTop="1" thickBot="1">
      <c r="A18" s="66">
        <v>1</v>
      </c>
      <c r="B18" s="80" t="s">
        <v>197</v>
      </c>
      <c r="C18" s="280"/>
      <c r="D18" s="278"/>
      <c r="E18" s="278"/>
      <c r="F18" s="278"/>
      <c r="G18" s="281"/>
      <c r="H18" s="81"/>
      <c r="I18" s="87"/>
      <c r="J18" s="227" t="str">
        <f t="shared" ref="J18:J42" si="2">IFERROR(IF(C18="","",IF(Typ=Renovation,VLOOKUP(C18,ListBauteileRen,5,FALSE),VLOOKUP(C18,ListBauteileNew,5,FALSE))),"")</f>
        <v/>
      </c>
      <c r="K18" s="234" t="str">
        <f t="shared" ref="K18:K42" si="3">IFERROR(IF(Typ=Renovation,IF(VLOOKUP(C18,ListBauteileRen,2,FALSE)="","",HYPERLINK(VLOOKUP(C18,ListBauteileRen,3,FALSE),VLOOKUP(C18,ListBauteileRen,2,FALSE))),IF(VLOOKUP(C18,ListBauteileNew,2,FALSE)="","",HYPERLINK(VLOOKUP(C18,ListBauteileNew,3,FALSE),VLOOKUP(C18,ListBauteileNew,2,FALSE)))),"")</f>
        <v/>
      </c>
      <c r="L18" s="132" t="str">
        <f t="shared" ref="L18:L42" si="4">IFERROR(IF(OR(EBF&lt;=0,C18=""),"",(P18*$O18)/EBF),0)</f>
        <v/>
      </c>
      <c r="M18" s="133" t="str">
        <f t="shared" ref="M18:M42" si="5">IFERROR(IF(OR(EBF&lt;=0,C18=""),"",(Q18*$O18)/EBF),0)</f>
        <v/>
      </c>
      <c r="N18" s="134" t="str">
        <f t="shared" ref="N18:N42" si="6">IFERROR(IF(OR(B18="",C18=""),"",IF(Typ=NewConstruction,VLOOKUP(C18,ListBauteileNew,17,FALSE),VLOOKUP(C18,ListBauteileRen,17,FALSE))),0)</f>
        <v/>
      </c>
      <c r="O18" s="89">
        <f ca="1">IF(AND(I18="",LEN(N18)&gt;1),INDIRECT(N18),Calcolo!I18)</f>
        <v>0</v>
      </c>
      <c r="P18" s="67">
        <f t="shared" ref="P18:P42" si="7">IFERROR(IF(Typ=NewConstruction,VLOOKUP($C18,ListBauteileNew,7,FALSE)*IF(AND(VLOOKUP($C18,ListBauteileNew,16,FALSE)=Ja,$H18=MEP),FaktorMEP,1),VLOOKUP($C18,ListBauteileRen,7,FALSE)*IF(AND(VLOOKUP($C18,ListBauteileRen,16,FALSE)=Ja,$H18=MEP),FaktorMEP,1)),0)</f>
        <v>0</v>
      </c>
      <c r="Q18" s="67">
        <f t="shared" ref="Q18:Q42" si="8">IFERROR(IF(Typ=NewConstruction,VLOOKUP($C18,ListBauteileNew,10,FALSE)*IF(AND(VLOOKUP($C18,ListBauteileNew,16,FALSE)=Ja,$H18=MEP),FaktorMEP,1),VLOOKUP($C18,ListBauteileRen,10,FALSE)*IF(AND(VLOOKUP($C18,ListBauteileRen,16,FALSE)=Ja,$H18=MEP),FaktorMEP,1)),0)</f>
        <v>0</v>
      </c>
      <c r="R18" s="67">
        <f t="shared" ref="R18:R42" si="9">IFERROR(IF(Typ=NewConstruction,VLOOKUP($C18,ListBauteileNew,13,FALSE)*IF(AND(VLOOKUP($C18,ListBauteileNew,16,FALSE)=Ja,$H18=MEP),FaktorMEP,1),VLOOKUP($C18,ListBauteileRen,13,FALSE)*IF(AND(VLOOKUP($C18,ListBauteileRen,16,FALSE)=Ja,$H18=MEP),FaktorMEP,1)),0)</f>
        <v>0</v>
      </c>
      <c r="S18" s="67" t="str">
        <f t="shared" ref="S18:S42" si="10">IFERROR(IF(Typ=Renovation,IF(VLOOKUP(C18,ListBauteileRen,2,FALSE)="","",HYPERLINK(VLOOKUP(C18,ListBauteileRen,3,FALSE),VLOOKUP(C18,ListBauteileRen,2,FALSE))),IF(VLOOKUP(C18,ListBauteileNew,2,FALSE)="","",HYPERLINK(VLOOKUP(C18,ListBauteileNew,3,FALSE),VLOOKUP(C18,ListBauteileNew,2,FALSE)))),"")</f>
        <v/>
      </c>
      <c r="T18" s="68" t="s">
        <v>282</v>
      </c>
      <c r="U18" s="68">
        <f>ROUND(VLOOKUP(IWtyp,MxIWausmass,2,FALSE)*EBF*Raumhoehe,0)</f>
        <v>0</v>
      </c>
      <c r="V18" s="68" t="s">
        <v>30</v>
      </c>
      <c r="W18" s="68" t="str">
        <f t="shared" ref="W18:W42" si="11">IFERROR(VLOOKUP(C18,IF(Typ=NewConstruction,ListBauteileNew,ListBauteileRen),19,FALSE),"")</f>
        <v/>
      </c>
      <c r="X18" s="63"/>
    </row>
    <row r="19" spans="1:24" ht="16.5" customHeight="1" thickTop="1" thickBot="1">
      <c r="A19" s="69">
        <v>2</v>
      </c>
      <c r="B19" s="80"/>
      <c r="C19" s="280"/>
      <c r="D19" s="278"/>
      <c r="E19" s="278"/>
      <c r="F19" s="278"/>
      <c r="G19" s="281"/>
      <c r="H19" s="83"/>
      <c r="I19" s="88"/>
      <c r="J19" s="227" t="str">
        <f t="shared" si="2"/>
        <v/>
      </c>
      <c r="K19" s="234" t="str">
        <f t="shared" si="3"/>
        <v/>
      </c>
      <c r="L19" s="132" t="str">
        <f t="shared" si="4"/>
        <v/>
      </c>
      <c r="M19" s="133" t="str">
        <f t="shared" si="5"/>
        <v/>
      </c>
      <c r="N19" s="134" t="str">
        <f t="shared" si="6"/>
        <v/>
      </c>
      <c r="O19" s="89">
        <f ca="1">IF(AND(I19="",LEN(N19)&gt;1),INDIRECT(N19),Calcolo!I19)</f>
        <v>0</v>
      </c>
      <c r="P19" s="67">
        <f t="shared" si="7"/>
        <v>0</v>
      </c>
      <c r="Q19" s="67">
        <f t="shared" si="8"/>
        <v>0</v>
      </c>
      <c r="R19" s="67">
        <f t="shared" si="9"/>
        <v>0</v>
      </c>
      <c r="S19" s="67" t="str">
        <f t="shared" si="10"/>
        <v/>
      </c>
      <c r="T19" s="70" t="s">
        <v>283</v>
      </c>
      <c r="U19" s="70">
        <f>IF(EBF-BodenUnbeh&gt;0,EBF-BodenUnbeh,0)</f>
        <v>1000</v>
      </c>
      <c r="V19" s="70" t="s">
        <v>30</v>
      </c>
      <c r="W19" s="70" t="str">
        <f t="shared" si="11"/>
        <v/>
      </c>
      <c r="X19" s="63"/>
    </row>
    <row r="20" spans="1:24" ht="16.5" customHeight="1" thickTop="1" thickBot="1">
      <c r="A20" s="69">
        <v>3</v>
      </c>
      <c r="B20" s="80"/>
      <c r="C20" s="280"/>
      <c r="D20" s="278"/>
      <c r="E20" s="278"/>
      <c r="F20" s="278"/>
      <c r="G20" s="281"/>
      <c r="H20" s="83"/>
      <c r="I20" s="88"/>
      <c r="J20" s="227" t="str">
        <f t="shared" si="2"/>
        <v/>
      </c>
      <c r="K20" s="234" t="str">
        <f t="shared" si="3"/>
        <v/>
      </c>
      <c r="L20" s="132" t="str">
        <f t="shared" si="4"/>
        <v/>
      </c>
      <c r="M20" s="133" t="str">
        <f t="shared" si="5"/>
        <v/>
      </c>
      <c r="N20" s="134" t="str">
        <f t="shared" si="6"/>
        <v/>
      </c>
      <c r="O20" s="89">
        <f ca="1">IF(AND(I20="",LEN(N20)&gt;1),INDIRECT(N20),Calcolo!I20)</f>
        <v>0</v>
      </c>
      <c r="P20" s="67">
        <f t="shared" si="7"/>
        <v>0</v>
      </c>
      <c r="Q20" s="67">
        <f t="shared" si="8"/>
        <v>0</v>
      </c>
      <c r="R20" s="67">
        <f t="shared" si="9"/>
        <v>0</v>
      </c>
      <c r="S20" s="67" t="str">
        <f t="shared" si="10"/>
        <v/>
      </c>
      <c r="T20" s="70" t="s">
        <v>281</v>
      </c>
      <c r="U20" s="70">
        <f>IF(StockwerkeUT=0,0,ROUND((Raumhoehe*StockwerkeUT)*((GF_UG/StockwerkeUT)^(0.5)+1.6)^2+4*((GF_UG/StockwerkeUT)^(0.5)+1.6)*(((2/3)*(Raumhoehe*StockwerkeUT)^2)/2)+4*(1/3)*(4/9)*(Raumhoehe*StockwerkeUT)^3,0))</f>
        <v>0</v>
      </c>
      <c r="V20" s="70" t="s">
        <v>256</v>
      </c>
      <c r="W20" s="70" t="str">
        <f t="shared" si="11"/>
        <v/>
      </c>
      <c r="X20" s="63"/>
    </row>
    <row r="21" spans="1:24" ht="16.5" customHeight="1" thickTop="1" thickBot="1">
      <c r="A21" s="69">
        <v>4</v>
      </c>
      <c r="B21" s="80"/>
      <c r="C21" s="280"/>
      <c r="D21" s="278"/>
      <c r="E21" s="278"/>
      <c r="F21" s="278"/>
      <c r="G21" s="281"/>
      <c r="H21" s="83"/>
      <c r="I21" s="88"/>
      <c r="J21" s="227" t="str">
        <f t="shared" si="2"/>
        <v/>
      </c>
      <c r="K21" s="234" t="str">
        <f t="shared" si="3"/>
        <v/>
      </c>
      <c r="L21" s="132" t="str">
        <f t="shared" si="4"/>
        <v/>
      </c>
      <c r="M21" s="133" t="str">
        <f t="shared" si="5"/>
        <v/>
      </c>
      <c r="N21" s="134" t="str">
        <f t="shared" si="6"/>
        <v/>
      </c>
      <c r="O21" s="89">
        <f ca="1">IF(AND(I21="",LEN(N21)&gt;1),INDIRECT(N21),Calcolo!I21)</f>
        <v>0</v>
      </c>
      <c r="P21" s="67">
        <f t="shared" si="7"/>
        <v>0</v>
      </c>
      <c r="Q21" s="67">
        <f t="shared" si="8"/>
        <v>0</v>
      </c>
      <c r="R21" s="67">
        <f t="shared" si="9"/>
        <v>0</v>
      </c>
      <c r="S21" s="67" t="str">
        <f t="shared" si="10"/>
        <v/>
      </c>
      <c r="T21" s="70" t="s">
        <v>284</v>
      </c>
      <c r="U21" s="70">
        <f>EBF</f>
        <v>1000</v>
      </c>
      <c r="V21" s="70" t="s">
        <v>30</v>
      </c>
      <c r="W21" s="70" t="str">
        <f t="shared" si="11"/>
        <v/>
      </c>
      <c r="X21" s="63"/>
    </row>
    <row r="22" spans="1:24" ht="16.5" customHeight="1" thickTop="1" thickBot="1">
      <c r="A22" s="69">
        <v>5</v>
      </c>
      <c r="B22" s="80"/>
      <c r="C22" s="280"/>
      <c r="D22" s="278"/>
      <c r="E22" s="278"/>
      <c r="F22" s="278"/>
      <c r="G22" s="281"/>
      <c r="H22" s="83"/>
      <c r="I22" s="88"/>
      <c r="J22" s="227" t="str">
        <f t="shared" si="2"/>
        <v/>
      </c>
      <c r="K22" s="234" t="str">
        <f t="shared" si="3"/>
        <v/>
      </c>
      <c r="L22" s="132" t="str">
        <f t="shared" si="4"/>
        <v/>
      </c>
      <c r="M22" s="133" t="str">
        <f t="shared" si="5"/>
        <v/>
      </c>
      <c r="N22" s="134" t="str">
        <f t="shared" si="6"/>
        <v/>
      </c>
      <c r="O22" s="89">
        <f ca="1">IF(AND(I22="",LEN(N22)&gt;1),INDIRECT(N22),Calcolo!I22)</f>
        <v>0</v>
      </c>
      <c r="P22" s="67">
        <f t="shared" si="7"/>
        <v>0</v>
      </c>
      <c r="Q22" s="67">
        <f t="shared" si="8"/>
        <v>0</v>
      </c>
      <c r="R22" s="67">
        <f t="shared" si="9"/>
        <v>0</v>
      </c>
      <c r="S22" s="67" t="str">
        <f t="shared" si="10"/>
        <v/>
      </c>
      <c r="T22" s="70" t="s">
        <v>1790</v>
      </c>
      <c r="U22" s="70">
        <f>EBF*FaktorSondenME</f>
        <v>860</v>
      </c>
      <c r="V22" s="70" t="s">
        <v>190</v>
      </c>
      <c r="W22" s="70" t="str">
        <f t="shared" si="11"/>
        <v/>
      </c>
      <c r="X22" s="63"/>
    </row>
    <row r="23" spans="1:24" ht="16.5" customHeight="1" thickTop="1" thickBot="1">
      <c r="A23" s="69">
        <v>6</v>
      </c>
      <c r="B23" s="80"/>
      <c r="C23" s="280"/>
      <c r="D23" s="278"/>
      <c r="E23" s="278"/>
      <c r="F23" s="278"/>
      <c r="G23" s="281"/>
      <c r="H23" s="83"/>
      <c r="I23" s="88"/>
      <c r="J23" s="227" t="str">
        <f t="shared" si="2"/>
        <v/>
      </c>
      <c r="K23" s="234" t="str">
        <f t="shared" si="3"/>
        <v/>
      </c>
      <c r="L23" s="132" t="str">
        <f t="shared" si="4"/>
        <v/>
      </c>
      <c r="M23" s="133" t="str">
        <f t="shared" si="5"/>
        <v/>
      </c>
      <c r="N23" s="134" t="str">
        <f t="shared" si="6"/>
        <v/>
      </c>
      <c r="O23" s="89">
        <f ca="1">IF(AND(I23="",LEN(N23)&gt;1),INDIRECT(N23),Calcolo!I23)</f>
        <v>0</v>
      </c>
      <c r="P23" s="67">
        <f t="shared" si="7"/>
        <v>0</v>
      </c>
      <c r="Q23" s="67">
        <f t="shared" si="8"/>
        <v>0</v>
      </c>
      <c r="R23" s="67">
        <f t="shared" si="9"/>
        <v>0</v>
      </c>
      <c r="S23" s="67" t="str">
        <f t="shared" si="10"/>
        <v/>
      </c>
      <c r="T23" s="70" t="s">
        <v>417</v>
      </c>
      <c r="U23" s="70">
        <f>SUMIF($B$18:$B$42,Constants!$B$139,$I$18:$I$42)</f>
        <v>0</v>
      </c>
      <c r="V23" s="70" t="s">
        <v>30</v>
      </c>
      <c r="W23" s="70" t="str">
        <f t="shared" si="11"/>
        <v/>
      </c>
      <c r="X23" s="63"/>
    </row>
    <row r="24" spans="1:24" ht="16.5" customHeight="1" thickTop="1" thickBot="1">
      <c r="A24" s="69">
        <v>7</v>
      </c>
      <c r="B24" s="80"/>
      <c r="C24" s="280"/>
      <c r="D24" s="278"/>
      <c r="E24" s="278"/>
      <c r="F24" s="278"/>
      <c r="G24" s="281"/>
      <c r="H24" s="83"/>
      <c r="I24" s="88"/>
      <c r="J24" s="227" t="str">
        <f t="shared" si="2"/>
        <v/>
      </c>
      <c r="K24" s="234" t="str">
        <f t="shared" si="3"/>
        <v/>
      </c>
      <c r="L24" s="132" t="str">
        <f t="shared" si="4"/>
        <v/>
      </c>
      <c r="M24" s="133" t="str">
        <f t="shared" si="5"/>
        <v/>
      </c>
      <c r="N24" s="134" t="str">
        <f t="shared" si="6"/>
        <v/>
      </c>
      <c r="O24" s="89">
        <f ca="1">IF(AND(I24="",LEN(N24)&gt;1),INDIRECT(N24),Calcolo!I24)</f>
        <v>0</v>
      </c>
      <c r="P24" s="67">
        <f t="shared" si="7"/>
        <v>0</v>
      </c>
      <c r="Q24" s="67">
        <f t="shared" si="8"/>
        <v>0</v>
      </c>
      <c r="R24" s="67">
        <f t="shared" si="9"/>
        <v>0</v>
      </c>
      <c r="S24" s="67" t="str">
        <f t="shared" si="10"/>
        <v/>
      </c>
      <c r="T24" s="70" t="s">
        <v>418</v>
      </c>
      <c r="U24" s="70">
        <f>SUMIF($B$18:$B$42,Constants!$B$143,$I$18:$I$42)</f>
        <v>0</v>
      </c>
      <c r="V24" s="70" t="s">
        <v>30</v>
      </c>
      <c r="W24" s="70" t="str">
        <f t="shared" si="11"/>
        <v/>
      </c>
      <c r="X24" s="63"/>
    </row>
    <row r="25" spans="1:24" ht="16.5" customHeight="1" thickTop="1" thickBot="1">
      <c r="A25" s="69">
        <v>8</v>
      </c>
      <c r="B25" s="80"/>
      <c r="C25" s="280"/>
      <c r="D25" s="278"/>
      <c r="E25" s="278"/>
      <c r="F25" s="278"/>
      <c r="G25" s="281"/>
      <c r="H25" s="83"/>
      <c r="I25" s="88"/>
      <c r="J25" s="227" t="str">
        <f t="shared" si="2"/>
        <v/>
      </c>
      <c r="K25" s="234" t="str">
        <f t="shared" si="3"/>
        <v/>
      </c>
      <c r="L25" s="132" t="str">
        <f t="shared" si="4"/>
        <v/>
      </c>
      <c r="M25" s="133" t="str">
        <f t="shared" si="5"/>
        <v/>
      </c>
      <c r="N25" s="134" t="str">
        <f t="shared" si="6"/>
        <v/>
      </c>
      <c r="O25" s="89">
        <f ca="1">IF(AND(I25="",LEN(N25)&gt;1),INDIRECT(N25),Calcolo!I25)</f>
        <v>0</v>
      </c>
      <c r="P25" s="67">
        <f t="shared" si="7"/>
        <v>0</v>
      </c>
      <c r="Q25" s="67">
        <f t="shared" si="8"/>
        <v>0</v>
      </c>
      <c r="R25" s="67">
        <f t="shared" si="9"/>
        <v>0</v>
      </c>
      <c r="S25" s="67" t="str">
        <f t="shared" si="10"/>
        <v/>
      </c>
      <c r="T25" s="70" t="s">
        <v>416</v>
      </c>
      <c r="U25" s="70">
        <f>SUMIF($B$18:$B$42,Constants!$B$137,$I$18:$I$42)</f>
        <v>0</v>
      </c>
      <c r="V25" s="70" t="s">
        <v>30</v>
      </c>
      <c r="W25" s="70" t="str">
        <f t="shared" si="11"/>
        <v/>
      </c>
      <c r="X25" s="63"/>
    </row>
    <row r="26" spans="1:24" ht="16.5" customHeight="1" thickTop="1" thickBot="1">
      <c r="A26" s="69">
        <v>9</v>
      </c>
      <c r="B26" s="80"/>
      <c r="C26" s="280"/>
      <c r="D26" s="278"/>
      <c r="E26" s="278"/>
      <c r="F26" s="278"/>
      <c r="G26" s="281"/>
      <c r="H26" s="83"/>
      <c r="I26" s="88"/>
      <c r="J26" s="227" t="str">
        <f t="shared" si="2"/>
        <v/>
      </c>
      <c r="K26" s="234" t="str">
        <f t="shared" si="3"/>
        <v/>
      </c>
      <c r="L26" s="132" t="str">
        <f t="shared" si="4"/>
        <v/>
      </c>
      <c r="M26" s="133" t="str">
        <f t="shared" si="5"/>
        <v/>
      </c>
      <c r="N26" s="134" t="str">
        <f t="shared" si="6"/>
        <v/>
      </c>
      <c r="O26" s="89">
        <f ca="1">IF(AND(I26="",LEN(N26)&gt;1),INDIRECT(N26),Calcolo!I26)</f>
        <v>0</v>
      </c>
      <c r="P26" s="67">
        <f t="shared" si="7"/>
        <v>0</v>
      </c>
      <c r="Q26" s="67">
        <f t="shared" si="8"/>
        <v>0</v>
      </c>
      <c r="R26" s="67">
        <f t="shared" si="9"/>
        <v>0</v>
      </c>
      <c r="S26" s="67" t="str">
        <f t="shared" si="10"/>
        <v/>
      </c>
      <c r="T26" s="70" t="s">
        <v>419</v>
      </c>
      <c r="U26" s="70">
        <f>SUMIF($B$18:$B$42,Constants!$B$145,$I$18:$I$42)</f>
        <v>0</v>
      </c>
      <c r="V26" s="70" t="s">
        <v>30</v>
      </c>
      <c r="W26" s="70" t="str">
        <f t="shared" si="11"/>
        <v/>
      </c>
      <c r="X26" s="63"/>
    </row>
    <row r="27" spans="1:24" ht="16.5" customHeight="1" thickTop="1" thickBot="1">
      <c r="A27" s="69">
        <v>10</v>
      </c>
      <c r="B27" s="80"/>
      <c r="C27" s="280"/>
      <c r="D27" s="278"/>
      <c r="E27" s="278"/>
      <c r="F27" s="278"/>
      <c r="G27" s="281"/>
      <c r="H27" s="83"/>
      <c r="I27" s="88"/>
      <c r="J27" s="227" t="str">
        <f t="shared" si="2"/>
        <v/>
      </c>
      <c r="K27" s="234" t="str">
        <f t="shared" si="3"/>
        <v/>
      </c>
      <c r="L27" s="132" t="str">
        <f t="shared" si="4"/>
        <v/>
      </c>
      <c r="M27" s="133" t="str">
        <f t="shared" si="5"/>
        <v/>
      </c>
      <c r="N27" s="134" t="str">
        <f t="shared" si="6"/>
        <v/>
      </c>
      <c r="O27" s="89">
        <f ca="1">IF(AND(I27="",LEN(N27)&gt;1),INDIRECT(N27),Calcolo!I27)</f>
        <v>0</v>
      </c>
      <c r="P27" s="67">
        <f t="shared" si="7"/>
        <v>0</v>
      </c>
      <c r="Q27" s="67">
        <f t="shared" si="8"/>
        <v>0</v>
      </c>
      <c r="R27" s="67">
        <f t="shared" si="9"/>
        <v>0</v>
      </c>
      <c r="S27" s="67" t="str">
        <f t="shared" si="10"/>
        <v/>
      </c>
      <c r="T27" s="70" t="s">
        <v>1730</v>
      </c>
      <c r="U27" s="70">
        <f>IFERROR(ROUND(((EBF*VLOOKUP(GebKat,MxEcoGWPE_N,2,FALSE)+(GF-EBF)*GWPE1unbeh+PVflaeche*GWPEpv+ThermieFlaeche*GWPEthermie)/EBF+IF(ErdSonde=Ja,IF(EnStandard=ME,GWPEerdsonde1,GWPEerdsonde2),0))/3.6,1),"")</f>
        <v>29.2</v>
      </c>
      <c r="V27" s="70" t="s">
        <v>298</v>
      </c>
      <c r="W27" s="70" t="str">
        <f t="shared" si="11"/>
        <v/>
      </c>
      <c r="X27" s="63"/>
    </row>
    <row r="28" spans="1:24" ht="16.5" customHeight="1" thickTop="1" thickBot="1">
      <c r="A28" s="69">
        <v>11</v>
      </c>
      <c r="B28" s="80"/>
      <c r="C28" s="280"/>
      <c r="D28" s="278"/>
      <c r="E28" s="278"/>
      <c r="F28" s="278"/>
      <c r="G28" s="281"/>
      <c r="H28" s="83"/>
      <c r="I28" s="88"/>
      <c r="J28" s="227" t="str">
        <f t="shared" si="2"/>
        <v/>
      </c>
      <c r="K28" s="234" t="str">
        <f t="shared" si="3"/>
        <v/>
      </c>
      <c r="L28" s="132" t="str">
        <f t="shared" si="4"/>
        <v/>
      </c>
      <c r="M28" s="133" t="str">
        <f t="shared" si="5"/>
        <v/>
      </c>
      <c r="N28" s="134" t="str">
        <f t="shared" si="6"/>
        <v/>
      </c>
      <c r="O28" s="89">
        <f ca="1">IF(AND(I28="",LEN(N28)&gt;1),INDIRECT(N28),Calcolo!I28)</f>
        <v>0</v>
      </c>
      <c r="P28" s="67">
        <f t="shared" si="7"/>
        <v>0</v>
      </c>
      <c r="Q28" s="67">
        <f t="shared" si="8"/>
        <v>0</v>
      </c>
      <c r="R28" s="67">
        <f t="shared" si="9"/>
        <v>0</v>
      </c>
      <c r="S28" s="67" t="str">
        <f t="shared" si="10"/>
        <v/>
      </c>
      <c r="T28" s="70" t="s">
        <v>1731</v>
      </c>
      <c r="U28" s="70">
        <f>IFERROR(ROUND(((EBF*VLOOKUP(GebKat,MxEcoGWPE_N,3,FALSE)+(GF-EBF)*GWPE2unbeh+PVflaeche*GWPEpv+ThermieFlaeche*GWPEthermie)/EBF+IF(ErdSonde=Ja,IF(EnStandard=ME,GWPEerdsonde1,GWPEerdsonde2),0))/3.6,1),"")</f>
        <v>43.1</v>
      </c>
      <c r="V28" s="70" t="s">
        <v>298</v>
      </c>
      <c r="W28" s="70" t="str">
        <f t="shared" si="11"/>
        <v/>
      </c>
      <c r="X28" s="63"/>
    </row>
    <row r="29" spans="1:24" ht="16.5" customHeight="1" thickTop="1" thickBot="1">
      <c r="A29" s="69">
        <v>12</v>
      </c>
      <c r="B29" s="80"/>
      <c r="C29" s="280"/>
      <c r="D29" s="278"/>
      <c r="E29" s="278"/>
      <c r="F29" s="278"/>
      <c r="G29" s="281"/>
      <c r="H29" s="83"/>
      <c r="I29" s="88"/>
      <c r="J29" s="227" t="str">
        <f t="shared" si="2"/>
        <v/>
      </c>
      <c r="K29" s="234" t="str">
        <f t="shared" si="3"/>
        <v/>
      </c>
      <c r="L29" s="132" t="str">
        <f t="shared" si="4"/>
        <v/>
      </c>
      <c r="M29" s="133" t="str">
        <f t="shared" si="5"/>
        <v/>
      </c>
      <c r="N29" s="134" t="str">
        <f t="shared" si="6"/>
        <v/>
      </c>
      <c r="O29" s="89">
        <f ca="1">IF(AND(I29="",LEN(N29)&gt;1),INDIRECT(N29),Calcolo!I29)</f>
        <v>0</v>
      </c>
      <c r="P29" s="67">
        <f t="shared" si="7"/>
        <v>0</v>
      </c>
      <c r="Q29" s="67">
        <f t="shared" si="8"/>
        <v>0</v>
      </c>
      <c r="R29" s="67">
        <f t="shared" si="9"/>
        <v>0</v>
      </c>
      <c r="S29" s="67" t="str">
        <f t="shared" si="10"/>
        <v/>
      </c>
      <c r="T29" s="70" t="s">
        <v>1732</v>
      </c>
      <c r="U29" s="70">
        <f>IFERROR(ROUND((($U$23*VLOOKUP(GebKat,MxEcoGWPE_M,2,FALSE)+$U$24*VLOOKUP(GebKat,MxEcoGWPE_M,4,FALSE)+$U$25*VLOOKUP(GebKat,MxEcoGWPE_M,6,FALSE)+$U$26*VLOOKUP(GebKat,MxEcoGWPE_M,8,FALSE)+PVflaeche*GWPEpv+ThermieFlaeche*GWPEthermie)/EBF+VLOOKUP(GebKat,MxEcoGWPE_M,10,FALSE)+GT_PE_M)/3.6,1),"")</f>
        <v>1.4</v>
      </c>
      <c r="V29" s="70" t="s">
        <v>298</v>
      </c>
      <c r="W29" s="70" t="str">
        <f t="shared" si="11"/>
        <v/>
      </c>
      <c r="X29" s="63"/>
    </row>
    <row r="30" spans="1:24" ht="16.5" customHeight="1" thickTop="1" thickBot="1">
      <c r="A30" s="69">
        <v>13</v>
      </c>
      <c r="B30" s="80"/>
      <c r="C30" s="280"/>
      <c r="D30" s="278"/>
      <c r="E30" s="278"/>
      <c r="F30" s="278"/>
      <c r="G30" s="281"/>
      <c r="H30" s="83"/>
      <c r="I30" s="88"/>
      <c r="J30" s="227" t="str">
        <f t="shared" si="2"/>
        <v/>
      </c>
      <c r="K30" s="234" t="str">
        <f t="shared" si="3"/>
        <v/>
      </c>
      <c r="L30" s="132" t="str">
        <f t="shared" si="4"/>
        <v/>
      </c>
      <c r="M30" s="133" t="str">
        <f t="shared" si="5"/>
        <v/>
      </c>
      <c r="N30" s="134" t="str">
        <f t="shared" si="6"/>
        <v/>
      </c>
      <c r="O30" s="89">
        <f ca="1">IF(AND(I30="",LEN(N30)&gt;1),INDIRECT(N30),Calcolo!I30)</f>
        <v>0</v>
      </c>
      <c r="P30" s="67">
        <f t="shared" si="7"/>
        <v>0</v>
      </c>
      <c r="Q30" s="67">
        <f t="shared" si="8"/>
        <v>0</v>
      </c>
      <c r="R30" s="67">
        <f t="shared" si="9"/>
        <v>0</v>
      </c>
      <c r="S30" s="67" t="str">
        <f t="shared" si="10"/>
        <v/>
      </c>
      <c r="T30" s="70" t="s">
        <v>1733</v>
      </c>
      <c r="U30" s="70">
        <f>IFERROR(ROUND((($U$23*VLOOKUP(GebKat,MxEcoGWPE_M,3,FALSE)+$U$24*VLOOKUP(GebKat,MxEcoGWPE_M,5,FALSE)+$U$25*VLOOKUP(GebKat,MxEcoGWPE_M,7,FALSE)+$U$26*VLOOKUP(GebKat,MxEcoGWPE_M,9,FALSE)+PVflaeche*GWPEpv+ThermieFlaeche*GWPEthermie)/EBF+VLOOKUP(GebKat,MxEcoGWPE_M,11,FALSE)+GT_PE_M)/3.6,1),"")</f>
        <v>2.8</v>
      </c>
      <c r="V30" s="70" t="s">
        <v>298</v>
      </c>
      <c r="W30" s="70" t="str">
        <f t="shared" si="11"/>
        <v/>
      </c>
      <c r="X30" s="63"/>
    </row>
    <row r="31" spans="1:24" ht="16.5" customHeight="1" thickTop="1" thickBot="1">
      <c r="A31" s="69">
        <v>14</v>
      </c>
      <c r="B31" s="80"/>
      <c r="C31" s="280"/>
      <c r="D31" s="278"/>
      <c r="E31" s="278"/>
      <c r="F31" s="278"/>
      <c r="G31" s="281"/>
      <c r="H31" s="83"/>
      <c r="I31" s="88"/>
      <c r="J31" s="227" t="str">
        <f t="shared" si="2"/>
        <v/>
      </c>
      <c r="K31" s="234" t="str">
        <f t="shared" si="3"/>
        <v/>
      </c>
      <c r="L31" s="132" t="str">
        <f t="shared" si="4"/>
        <v/>
      </c>
      <c r="M31" s="133" t="str">
        <f t="shared" si="5"/>
        <v/>
      </c>
      <c r="N31" s="134" t="str">
        <f t="shared" si="6"/>
        <v/>
      </c>
      <c r="O31" s="89">
        <f ca="1">IF(AND(I31="",LEN(N31)&gt;1),INDIRECT(N31),Calcolo!I31)</f>
        <v>0</v>
      </c>
      <c r="P31" s="67">
        <f t="shared" si="7"/>
        <v>0</v>
      </c>
      <c r="Q31" s="67">
        <f t="shared" si="8"/>
        <v>0</v>
      </c>
      <c r="R31" s="67">
        <f t="shared" si="9"/>
        <v>0</v>
      </c>
      <c r="S31" s="67" t="str">
        <f t="shared" si="10"/>
        <v/>
      </c>
      <c r="T31" s="70" t="s">
        <v>1772</v>
      </c>
      <c r="U31" s="70">
        <f>IFERROR(ROUND(((EBF*VLOOKUP(GebKat,MxEcoGWTH_N,2,FALSE)+(GF-EBF)*GWTH1unbeh+PVflaeche*GWTHpv+ThermieFlaeche*GWTHthermie)/EBF+IF(ErdSonde=Ja,IF(EnStandard=ME,GWTHerdsonde1,GWTHerdsonde2),0)),2),"")</f>
        <v>9.4</v>
      </c>
      <c r="V31" s="70" t="s">
        <v>1776</v>
      </c>
      <c r="W31" s="70" t="str">
        <f t="shared" si="11"/>
        <v/>
      </c>
      <c r="X31" s="63"/>
    </row>
    <row r="32" spans="1:24" ht="16.5" customHeight="1" thickTop="1" thickBot="1">
      <c r="A32" s="69">
        <v>15</v>
      </c>
      <c r="B32" s="80"/>
      <c r="C32" s="280"/>
      <c r="D32" s="278"/>
      <c r="E32" s="278"/>
      <c r="F32" s="278"/>
      <c r="G32" s="281"/>
      <c r="H32" s="83"/>
      <c r="I32" s="88"/>
      <c r="J32" s="227" t="str">
        <f t="shared" si="2"/>
        <v/>
      </c>
      <c r="K32" s="234" t="str">
        <f t="shared" si="3"/>
        <v/>
      </c>
      <c r="L32" s="132" t="str">
        <f t="shared" si="4"/>
        <v/>
      </c>
      <c r="M32" s="133" t="str">
        <f t="shared" si="5"/>
        <v/>
      </c>
      <c r="N32" s="134" t="str">
        <f t="shared" si="6"/>
        <v/>
      </c>
      <c r="O32" s="89">
        <f ca="1">IF(AND(I32="",LEN(N32)&gt;1),INDIRECT(N32),Calcolo!I32)</f>
        <v>0</v>
      </c>
      <c r="P32" s="67">
        <f t="shared" si="7"/>
        <v>0</v>
      </c>
      <c r="Q32" s="67">
        <f t="shared" si="8"/>
        <v>0</v>
      </c>
      <c r="R32" s="67">
        <f t="shared" si="9"/>
        <v>0</v>
      </c>
      <c r="S32" s="67" t="str">
        <f t="shared" si="10"/>
        <v/>
      </c>
      <c r="T32" s="70" t="s">
        <v>1773</v>
      </c>
      <c r="U32" s="70">
        <f>IFERROR(ROUND(((EBF*VLOOKUP(GebKat,MxEcoGWTH_N,3,FALSE)+(GF-EBF)*GWTH2unbeh+PVflaeche*GWTHpv+ThermieFlaeche*GWTHthermie)/EBF+IF(ErdSonde=Ja,IF(EnStandard=ME,GWTHerdsonde1,GWTHerdsonde2),0)),2),"")</f>
        <v>12.35</v>
      </c>
      <c r="V32" s="70" t="s">
        <v>1776</v>
      </c>
      <c r="W32" s="70" t="str">
        <f t="shared" si="11"/>
        <v/>
      </c>
      <c r="X32" s="63"/>
    </row>
    <row r="33" spans="1:24" ht="16.5" customHeight="1" thickTop="1" thickBot="1">
      <c r="A33" s="69">
        <v>16</v>
      </c>
      <c r="B33" s="82"/>
      <c r="C33" s="280"/>
      <c r="D33" s="278"/>
      <c r="E33" s="278"/>
      <c r="F33" s="278"/>
      <c r="G33" s="281"/>
      <c r="H33" s="83"/>
      <c r="I33" s="88"/>
      <c r="J33" s="227" t="str">
        <f t="shared" si="2"/>
        <v/>
      </c>
      <c r="K33" s="234" t="str">
        <f t="shared" si="3"/>
        <v/>
      </c>
      <c r="L33" s="132" t="str">
        <f t="shared" si="4"/>
        <v/>
      </c>
      <c r="M33" s="133" t="str">
        <f t="shared" si="5"/>
        <v/>
      </c>
      <c r="N33" s="134" t="str">
        <f t="shared" si="6"/>
        <v/>
      </c>
      <c r="O33" s="89">
        <f ca="1">IF(AND(I33="",LEN(N33)&gt;1),INDIRECT(N33),Calcolo!I33)</f>
        <v>0</v>
      </c>
      <c r="P33" s="67">
        <f t="shared" si="7"/>
        <v>0</v>
      </c>
      <c r="Q33" s="67">
        <f t="shared" si="8"/>
        <v>0</v>
      </c>
      <c r="R33" s="67">
        <f t="shared" si="9"/>
        <v>0</v>
      </c>
      <c r="S33" s="67" t="str">
        <f t="shared" si="10"/>
        <v/>
      </c>
      <c r="T33" s="70" t="s">
        <v>1774</v>
      </c>
      <c r="U33" s="70">
        <f>IFERROR(ROUND((($U$23*VLOOKUP(GebKat,MxEcoGWTH_M,2,FALSE)+$U$24*VLOOKUP(GebKat,MxEcoGWTH_M,4,FALSE)+$U$25*VLOOKUP(GebKat,MxEcoGWTH_M,6,FALSE)+$U$26*VLOOKUP(GebKat,MxEcoGWTH_M,8,FALSE)+PVflaeche*GWTHpv+ThermieFlaeche*GWTHthermie)/EBF+VLOOKUP(GebKat,MxEcoGWTH_M,10,FALSE)+GT_TH_M),2),"")</f>
        <v>0.39</v>
      </c>
      <c r="V33" s="70" t="s">
        <v>1776</v>
      </c>
      <c r="W33" s="70" t="str">
        <f t="shared" si="11"/>
        <v/>
      </c>
      <c r="X33" s="63"/>
    </row>
    <row r="34" spans="1:24" ht="16.5" customHeight="1" thickTop="1" thickBot="1">
      <c r="A34" s="69">
        <v>17</v>
      </c>
      <c r="B34" s="82"/>
      <c r="C34" s="280"/>
      <c r="D34" s="278"/>
      <c r="E34" s="278"/>
      <c r="F34" s="278"/>
      <c r="G34" s="281"/>
      <c r="H34" s="83"/>
      <c r="I34" s="88"/>
      <c r="J34" s="227" t="str">
        <f t="shared" si="2"/>
        <v/>
      </c>
      <c r="K34" s="234" t="str">
        <f t="shared" si="3"/>
        <v/>
      </c>
      <c r="L34" s="132" t="str">
        <f t="shared" si="4"/>
        <v/>
      </c>
      <c r="M34" s="133" t="str">
        <f t="shared" si="5"/>
        <v/>
      </c>
      <c r="N34" s="134" t="str">
        <f t="shared" si="6"/>
        <v/>
      </c>
      <c r="O34" s="89">
        <f ca="1">IF(AND(I34="",LEN(N34)&gt;1),INDIRECT(N34),Calcolo!I34)</f>
        <v>0</v>
      </c>
      <c r="P34" s="67">
        <f t="shared" si="7"/>
        <v>0</v>
      </c>
      <c r="Q34" s="67">
        <f t="shared" si="8"/>
        <v>0</v>
      </c>
      <c r="R34" s="67">
        <f t="shared" si="9"/>
        <v>0</v>
      </c>
      <c r="S34" s="67" t="str">
        <f t="shared" si="10"/>
        <v/>
      </c>
      <c r="T34" s="70" t="s">
        <v>1775</v>
      </c>
      <c r="U34" s="70">
        <f>IFERROR(ROUND((($U$23*VLOOKUP(GebKat,MxEcoGWTH_M,3,FALSE)+$U$24*VLOOKUP(GebKat,MxEcoGWTH_M,5,FALSE)+$U$25*VLOOKUP(GebKat,MxEcoGWTH_M,7,FALSE)+$U$26*VLOOKUP(GebKat,MxEcoGWTH_M,9,FALSE)+PVflaeche*GWTHpv+ThermieFlaeche*GWTHthermie)/EBF+VLOOKUP(GebKat,MxEcoGWTH_M,11,FALSE)+GT_TH_M),2),"")</f>
        <v>0.78</v>
      </c>
      <c r="V34" s="70" t="s">
        <v>1776</v>
      </c>
      <c r="W34" s="70" t="str">
        <f t="shared" si="11"/>
        <v/>
      </c>
      <c r="X34" s="63"/>
    </row>
    <row r="35" spans="1:24" ht="16.5" customHeight="1" thickTop="1" thickBot="1">
      <c r="A35" s="69">
        <v>18</v>
      </c>
      <c r="B35" s="82"/>
      <c r="C35" s="280"/>
      <c r="D35" s="278"/>
      <c r="E35" s="278"/>
      <c r="F35" s="278"/>
      <c r="G35" s="281"/>
      <c r="H35" s="83"/>
      <c r="I35" s="88"/>
      <c r="J35" s="227" t="str">
        <f t="shared" si="2"/>
        <v/>
      </c>
      <c r="K35" s="234" t="str">
        <f t="shared" si="3"/>
        <v/>
      </c>
      <c r="L35" s="132" t="str">
        <f t="shared" si="4"/>
        <v/>
      </c>
      <c r="M35" s="133" t="str">
        <f t="shared" si="5"/>
        <v/>
      </c>
      <c r="N35" s="134" t="str">
        <f t="shared" si="6"/>
        <v/>
      </c>
      <c r="O35" s="89">
        <f ca="1">IF(AND(I35="",LEN(N35)&gt;1),INDIRECT(N35),Calcolo!I35)</f>
        <v>0</v>
      </c>
      <c r="P35" s="67">
        <f t="shared" si="7"/>
        <v>0</v>
      </c>
      <c r="Q35" s="67">
        <f t="shared" si="8"/>
        <v>0</v>
      </c>
      <c r="R35" s="67">
        <f t="shared" si="9"/>
        <v>0</v>
      </c>
      <c r="S35" s="67" t="str">
        <f t="shared" si="10"/>
        <v/>
      </c>
      <c r="T35" s="70" t="s">
        <v>353</v>
      </c>
      <c r="U35" s="70" t="str">
        <f>IFERROR(VLOOKUP(GebKat,MxEffiPfad_GWPE,IF(Typ=NewConstruction,2,3),FALSE),ErrText)</f>
        <v>Errore nel campo d'immissione</v>
      </c>
      <c r="V35" s="70" t="s">
        <v>298</v>
      </c>
      <c r="W35" s="70" t="str">
        <f t="shared" si="11"/>
        <v/>
      </c>
      <c r="X35" s="63"/>
    </row>
    <row r="36" spans="1:24" ht="16.5" customHeight="1" thickTop="1" thickBot="1">
      <c r="A36" s="69">
        <v>19</v>
      </c>
      <c r="B36" s="82"/>
      <c r="C36" s="280"/>
      <c r="D36" s="278"/>
      <c r="E36" s="278"/>
      <c r="F36" s="278"/>
      <c r="G36" s="281"/>
      <c r="H36" s="83"/>
      <c r="I36" s="88"/>
      <c r="J36" s="227" t="str">
        <f t="shared" si="2"/>
        <v/>
      </c>
      <c r="K36" s="234" t="str">
        <f t="shared" si="3"/>
        <v/>
      </c>
      <c r="L36" s="132" t="str">
        <f t="shared" si="4"/>
        <v/>
      </c>
      <c r="M36" s="133" t="str">
        <f t="shared" si="5"/>
        <v/>
      </c>
      <c r="N36" s="134" t="str">
        <f t="shared" si="6"/>
        <v/>
      </c>
      <c r="O36" s="89">
        <f ca="1">IF(AND(I36="",LEN(N36)&gt;1),INDIRECT(N36),Calcolo!I36)</f>
        <v>0</v>
      </c>
      <c r="P36" s="67">
        <f t="shared" si="7"/>
        <v>0</v>
      </c>
      <c r="Q36" s="67">
        <f t="shared" si="8"/>
        <v>0</v>
      </c>
      <c r="R36" s="67">
        <f t="shared" si="9"/>
        <v>0</v>
      </c>
      <c r="S36" s="67" t="str">
        <f t="shared" si="10"/>
        <v/>
      </c>
      <c r="T36" s="70" t="s">
        <v>354</v>
      </c>
      <c r="U36" s="70" t="str">
        <f>IFERROR(VLOOKUP(GebKat,MxEffiPfad_GWTH,IF(Typ=NewConstruction,2,3),FALSE),ErrText)</f>
        <v>Errore nel campo d'immissione</v>
      </c>
      <c r="V36" s="70" t="s">
        <v>299</v>
      </c>
      <c r="W36" s="70" t="str">
        <f t="shared" si="11"/>
        <v/>
      </c>
      <c r="X36" s="63"/>
    </row>
    <row r="37" spans="1:24" ht="16.5" customHeight="1" thickTop="1" thickBot="1">
      <c r="A37" s="69">
        <v>20</v>
      </c>
      <c r="B37" s="82"/>
      <c r="C37" s="280"/>
      <c r="D37" s="278"/>
      <c r="E37" s="278"/>
      <c r="F37" s="278"/>
      <c r="G37" s="281"/>
      <c r="H37" s="83"/>
      <c r="I37" s="88"/>
      <c r="J37" s="227" t="str">
        <f t="shared" si="2"/>
        <v/>
      </c>
      <c r="K37" s="234" t="str">
        <f t="shared" si="3"/>
        <v/>
      </c>
      <c r="L37" s="132" t="str">
        <f t="shared" si="4"/>
        <v/>
      </c>
      <c r="M37" s="133" t="str">
        <f t="shared" si="5"/>
        <v/>
      </c>
      <c r="N37" s="134" t="str">
        <f t="shared" si="6"/>
        <v/>
      </c>
      <c r="O37" s="89">
        <f ca="1">IF(AND(I37="",LEN(N37)&gt;1),INDIRECT(N37),Calcolo!I37)</f>
        <v>0</v>
      </c>
      <c r="P37" s="67">
        <f t="shared" si="7"/>
        <v>0</v>
      </c>
      <c r="Q37" s="67">
        <f t="shared" si="8"/>
        <v>0</v>
      </c>
      <c r="R37" s="67">
        <f t="shared" si="9"/>
        <v>0</v>
      </c>
      <c r="S37" s="67" t="str">
        <f t="shared" si="10"/>
        <v/>
      </c>
      <c r="T37" s="68" t="s">
        <v>326</v>
      </c>
      <c r="U37" s="70" t="str">
        <f>IF(OR(SumPE&lt;=0,EcoGW1_N=""),"",IF(Typ=NewConstruction,IF(SumPE&lt;EcoGW1_N,Texte!B363,IF(SumPE&lt;=EcoGW2_N,Texte!B364,Texte!B365)),IF(SumPE&lt;EcoGW1_M,Texte!B363,IF(SumPE&lt;=EcoGW2_M,Texte!B364,Texte!B365))))</f>
        <v/>
      </c>
      <c r="V37" s="70"/>
      <c r="W37" s="70" t="str">
        <f t="shared" si="11"/>
        <v/>
      </c>
      <c r="X37" s="63"/>
    </row>
    <row r="38" spans="1:24" ht="16.5" customHeight="1" thickTop="1" thickBot="1">
      <c r="A38" s="69">
        <v>21</v>
      </c>
      <c r="B38" s="82"/>
      <c r="C38" s="280"/>
      <c r="D38" s="278"/>
      <c r="E38" s="278"/>
      <c r="F38" s="278"/>
      <c r="G38" s="281"/>
      <c r="H38" s="83"/>
      <c r="I38" s="88"/>
      <c r="J38" s="227" t="str">
        <f t="shared" si="2"/>
        <v/>
      </c>
      <c r="K38" s="234" t="str">
        <f t="shared" si="3"/>
        <v/>
      </c>
      <c r="L38" s="132" t="str">
        <f t="shared" si="4"/>
        <v/>
      </c>
      <c r="M38" s="133" t="str">
        <f t="shared" si="5"/>
        <v/>
      </c>
      <c r="N38" s="134" t="str">
        <f t="shared" si="6"/>
        <v/>
      </c>
      <c r="O38" s="89">
        <f ca="1">IF(AND(I38="",LEN(N38)&gt;1),INDIRECT(N38),Calcolo!I38)</f>
        <v>0</v>
      </c>
      <c r="P38" s="67">
        <f t="shared" si="7"/>
        <v>0</v>
      </c>
      <c r="Q38" s="67">
        <f t="shared" si="8"/>
        <v>0</v>
      </c>
      <c r="R38" s="67">
        <f t="shared" si="9"/>
        <v>0</v>
      </c>
      <c r="S38" s="67" t="str">
        <f t="shared" si="10"/>
        <v/>
      </c>
      <c r="T38" s="68" t="s">
        <v>1789</v>
      </c>
      <c r="U38" s="70" t="str">
        <f>IF(OR(SumTHGE&lt;=0,EcoGWTH1_N=""),"",IF(Typ=NewConstruction,IF(SumTHGE&lt;EcoGWTH1_N,Texte!B363,IF(SumTHGE&lt;=EcoGWTH2_N,Texte!B364,Texte!B365)),IF(SumTHGE&lt;EcoGWTH1_M,Texte!B363,IF(SumTHGE&lt;=EcoGWTH2_M,Texte!B364,Texte!B365))))</f>
        <v/>
      </c>
      <c r="V38" s="70"/>
      <c r="W38" s="70" t="str">
        <f t="shared" si="11"/>
        <v/>
      </c>
      <c r="X38" s="63"/>
    </row>
    <row r="39" spans="1:24" ht="16.5" customHeight="1" thickTop="1" thickBot="1">
      <c r="A39" s="69">
        <v>22</v>
      </c>
      <c r="B39" s="82"/>
      <c r="C39" s="280"/>
      <c r="D39" s="278"/>
      <c r="E39" s="278"/>
      <c r="F39" s="278"/>
      <c r="G39" s="281"/>
      <c r="H39" s="83"/>
      <c r="I39" s="88"/>
      <c r="J39" s="227" t="str">
        <f t="shared" si="2"/>
        <v/>
      </c>
      <c r="K39" s="234" t="str">
        <f t="shared" si="3"/>
        <v/>
      </c>
      <c r="L39" s="132" t="str">
        <f t="shared" si="4"/>
        <v/>
      </c>
      <c r="M39" s="133" t="str">
        <f t="shared" si="5"/>
        <v/>
      </c>
      <c r="N39" s="134" t="str">
        <f t="shared" si="6"/>
        <v/>
      </c>
      <c r="O39" s="89">
        <f ca="1">IF(AND(I39="",LEN(N39)&gt;1),INDIRECT(N39),Calcolo!I39)</f>
        <v>0</v>
      </c>
      <c r="P39" s="67">
        <f t="shared" si="7"/>
        <v>0</v>
      </c>
      <c r="Q39" s="67">
        <f t="shared" si="8"/>
        <v>0</v>
      </c>
      <c r="R39" s="67">
        <f t="shared" si="9"/>
        <v>0</v>
      </c>
      <c r="S39" s="67" t="str">
        <f t="shared" si="10"/>
        <v/>
      </c>
      <c r="T39" s="70" t="s">
        <v>327</v>
      </c>
      <c r="U39" s="70" t="str" cm="1">
        <f t="array" ref="U39">IFERROR(INDEX(SNBSnoten,1,MATCH(SumPE,Constants!C109:'Constants'!H109,-1)+1),Constants!C108)</f>
        <v>Grado 1</v>
      </c>
      <c r="V39" s="70"/>
      <c r="W39" s="70" t="str">
        <f t="shared" si="11"/>
        <v/>
      </c>
      <c r="X39" s="63"/>
    </row>
    <row r="40" spans="1:24" ht="16.5" customHeight="1" thickTop="1" thickBot="1">
      <c r="A40" s="69">
        <v>23</v>
      </c>
      <c r="B40" s="82"/>
      <c r="C40" s="280"/>
      <c r="D40" s="278"/>
      <c r="E40" s="278"/>
      <c r="F40" s="278"/>
      <c r="G40" s="281"/>
      <c r="H40" s="83"/>
      <c r="I40" s="88"/>
      <c r="J40" s="227" t="str">
        <f t="shared" si="2"/>
        <v/>
      </c>
      <c r="K40" s="234" t="str">
        <f t="shared" si="3"/>
        <v/>
      </c>
      <c r="L40" s="132" t="str">
        <f t="shared" si="4"/>
        <v/>
      </c>
      <c r="M40" s="133" t="str">
        <f t="shared" si="5"/>
        <v/>
      </c>
      <c r="N40" s="134" t="str">
        <f t="shared" si="6"/>
        <v/>
      </c>
      <c r="O40" s="89">
        <f ca="1">IF(AND(I40="",LEN(N40)&gt;1),INDIRECT(N40),Calcolo!I40)</f>
        <v>0</v>
      </c>
      <c r="P40" s="67">
        <f t="shared" si="7"/>
        <v>0</v>
      </c>
      <c r="Q40" s="67">
        <f t="shared" si="8"/>
        <v>0</v>
      </c>
      <c r="R40" s="67">
        <f t="shared" si="9"/>
        <v>0</v>
      </c>
      <c r="S40" s="67" t="str">
        <f t="shared" si="10"/>
        <v/>
      </c>
      <c r="T40" s="70" t="s">
        <v>345</v>
      </c>
      <c r="U40" s="70" t="str" cm="1">
        <f t="array" ref="U40">IFERROR(INDEX(SNBSnoten,1,MATCH(SumTHGE,Constants!C114:'Constants'!H114,-1)+1),Constants!C108)</f>
        <v>Grado 1</v>
      </c>
      <c r="V40" s="70"/>
      <c r="W40" s="70" t="str">
        <f t="shared" si="11"/>
        <v/>
      </c>
      <c r="X40" s="63"/>
    </row>
    <row r="41" spans="1:24" ht="16.5" customHeight="1" thickTop="1" thickBot="1">
      <c r="A41" s="69">
        <v>24</v>
      </c>
      <c r="B41" s="82"/>
      <c r="C41" s="280"/>
      <c r="D41" s="278"/>
      <c r="E41" s="278"/>
      <c r="F41" s="278"/>
      <c r="G41" s="281"/>
      <c r="H41" s="83"/>
      <c r="I41" s="88"/>
      <c r="J41" s="227" t="str">
        <f t="shared" si="2"/>
        <v/>
      </c>
      <c r="K41" s="234" t="str">
        <f t="shared" si="3"/>
        <v/>
      </c>
      <c r="L41" s="132" t="str">
        <f t="shared" si="4"/>
        <v/>
      </c>
      <c r="M41" s="133" t="str">
        <f t="shared" si="5"/>
        <v/>
      </c>
      <c r="N41" s="134" t="str">
        <f t="shared" si="6"/>
        <v/>
      </c>
      <c r="O41" s="89">
        <f ca="1">IF(AND(I41="",LEN(N41)&gt;1),INDIRECT(N41),Calcolo!I41)</f>
        <v>0</v>
      </c>
      <c r="P41" s="67">
        <f t="shared" si="7"/>
        <v>0</v>
      </c>
      <c r="Q41" s="67">
        <f t="shared" si="8"/>
        <v>0</v>
      </c>
      <c r="R41" s="67">
        <f t="shared" si="9"/>
        <v>0</v>
      </c>
      <c r="S41" s="67" t="str">
        <f t="shared" si="10"/>
        <v/>
      </c>
      <c r="T41" s="109" t="s">
        <v>343</v>
      </c>
      <c r="U41" s="225" t="str">
        <f>IFERROR(IF(SumPE&lt;VLOOKUP(GebKat,MxEffiPfad_GWPE,IF(Typ=NewConstruction,2,3),FALSE),Texte!B364,Texte!B365),ErrText)</f>
        <v>Errore nel campo d'immissione</v>
      </c>
      <c r="V41" s="109"/>
      <c r="W41" s="109" t="str">
        <f t="shared" si="11"/>
        <v/>
      </c>
      <c r="X41" s="63"/>
    </row>
    <row r="42" spans="1:24" ht="16.5" customHeight="1" thickTop="1" thickBot="1">
      <c r="A42" s="69">
        <v>25</v>
      </c>
      <c r="B42" s="82"/>
      <c r="C42" s="280"/>
      <c r="D42" s="278"/>
      <c r="E42" s="278"/>
      <c r="F42" s="278"/>
      <c r="G42" s="281"/>
      <c r="H42" s="83"/>
      <c r="I42" s="88"/>
      <c r="J42" s="227" t="str">
        <f t="shared" si="2"/>
        <v/>
      </c>
      <c r="K42" s="234" t="str">
        <f t="shared" si="3"/>
        <v/>
      </c>
      <c r="L42" s="132" t="str">
        <f t="shared" si="4"/>
        <v/>
      </c>
      <c r="M42" s="133" t="str">
        <f t="shared" si="5"/>
        <v/>
      </c>
      <c r="N42" s="134" t="str">
        <f t="shared" si="6"/>
        <v/>
      </c>
      <c r="O42" s="89">
        <f ca="1">IF(AND(I42="",LEN(N42)&gt;1),INDIRECT(N42),Calcolo!I42)</f>
        <v>0</v>
      </c>
      <c r="P42" s="67">
        <f t="shared" si="7"/>
        <v>0</v>
      </c>
      <c r="Q42" s="67">
        <f t="shared" si="8"/>
        <v>0</v>
      </c>
      <c r="R42" s="67">
        <f t="shared" si="9"/>
        <v>0</v>
      </c>
      <c r="S42" s="67" t="str">
        <f t="shared" si="10"/>
        <v/>
      </c>
      <c r="T42" s="70" t="s">
        <v>344</v>
      </c>
      <c r="U42" s="70" t="str">
        <f>IFERROR(IF(SumTHGE&lt;VLOOKUP(GebKat,MxEffiPfad_GWTH,IF(Typ=NewConstruction,2,3),FALSE),Texte!B364,Texte!B365),ErrText)</f>
        <v>Errore nel campo d'immissione</v>
      </c>
      <c r="V42" s="70"/>
      <c r="W42" s="70" t="str">
        <f t="shared" si="11"/>
        <v/>
      </c>
      <c r="X42" s="63"/>
    </row>
    <row r="43" spans="1:24" ht="14.25" thickTop="1" thickBot="1">
      <c r="A43" s="85"/>
      <c r="B43" s="85" t="str">
        <f>VLOOKUP(ADDRESS(ROW(),COLUMN(),4),MatrixTexteT2,2,FALSE)</f>
        <v>Riporto da altri fogli di calcolo</v>
      </c>
      <c r="C43" s="85"/>
      <c r="D43" s="85"/>
      <c r="E43" s="85"/>
      <c r="F43" s="85"/>
      <c r="G43" s="85"/>
      <c r="H43" s="85"/>
      <c r="I43" s="85"/>
      <c r="J43" s="85"/>
      <c r="K43" s="85"/>
      <c r="L43" s="102"/>
      <c r="M43" s="103"/>
      <c r="N43" s="85"/>
      <c r="O43" s="85"/>
      <c r="P43" s="85"/>
      <c r="Q43" s="85"/>
      <c r="R43" s="85"/>
      <c r="S43" s="85"/>
      <c r="T43" s="85"/>
      <c r="U43" s="68"/>
      <c r="V43" s="68"/>
      <c r="W43" s="68"/>
      <c r="X43" s="63"/>
    </row>
    <row r="44" spans="1:24" ht="14.25" thickTop="1" thickBot="1">
      <c r="A44" s="86"/>
      <c r="B44" s="105" t="str">
        <f>VLOOKUP(ADDRESS(ROW(),COLUMN(),4),MatrixTexteT2,2,FALSE)</f>
        <v>Valori progetto</v>
      </c>
      <c r="C44" s="86"/>
      <c r="D44" s="86"/>
      <c r="E44" s="86"/>
      <c r="F44" s="86"/>
      <c r="G44" s="86"/>
      <c r="H44" s="86"/>
      <c r="I44" s="86"/>
      <c r="J44" s="86"/>
      <c r="K44" s="86"/>
      <c r="L44" s="128">
        <f>SUM(L18:L43)</f>
        <v>0</v>
      </c>
      <c r="M44" s="129">
        <f>SUM(M18:M43)</f>
        <v>0</v>
      </c>
      <c r="N44" s="86"/>
      <c r="O44" s="86"/>
      <c r="P44" s="86"/>
      <c r="Q44" s="86"/>
      <c r="R44" s="86"/>
      <c r="S44" s="86"/>
      <c r="T44" s="86"/>
      <c r="U44" s="107"/>
      <c r="V44" s="107"/>
      <c r="W44" s="107"/>
      <c r="X44" s="63"/>
    </row>
    <row r="45" spans="1:24" ht="14.25" thickTop="1" thickBot="1">
      <c r="A45" s="86"/>
      <c r="B45" s="86" t="str">
        <f>IF(Cert=ECO,Texte!B368&amp;" 1",IF(Cert=SNBS,Texte!B370,IF(Cert=EffiPfad,Texte!B369,Texte!B367)))</f>
        <v>Minergie-Eco valore limite 1</v>
      </c>
      <c r="C45" s="86"/>
      <c r="D45" s="86"/>
      <c r="E45" s="86"/>
      <c r="F45" s="86"/>
      <c r="G45" s="86"/>
      <c r="H45" s="86"/>
      <c r="I45" s="86"/>
      <c r="J45" s="86"/>
      <c r="K45" s="86"/>
      <c r="L45" s="100">
        <f>IF(Cert=ECO,IF(Typ=NewConstruction,EcoGW1_N,EcoGW1_M),IF(Cert=EffiPfad,EffiPfadGWpe,""))</f>
        <v>29.2</v>
      </c>
      <c r="M45" s="112">
        <f>IF(Cert=ECO,IF(Typ=NewConstruction,U31,U33),IF(Cert=EffiPfad,EffiPfadGWth,""))</f>
        <v>9.4</v>
      </c>
      <c r="N45" s="107"/>
      <c r="O45" s="107"/>
      <c r="P45" s="107"/>
      <c r="Q45" s="107"/>
      <c r="R45" s="107"/>
      <c r="S45" s="107"/>
      <c r="T45" s="107"/>
      <c r="U45" s="107"/>
      <c r="V45" s="107"/>
      <c r="W45" s="107"/>
      <c r="X45" s="63"/>
    </row>
    <row r="46" spans="1:24" ht="14.25" thickTop="1" thickBot="1">
      <c r="A46" s="86"/>
      <c r="B46" s="86" t="str">
        <f>IF(Cert=ECO,Texte!B368&amp;" 2","")</f>
        <v>Minergie-Eco valore limite 2</v>
      </c>
      <c r="C46" s="86"/>
      <c r="D46" s="86"/>
      <c r="E46" s="86"/>
      <c r="F46" s="86"/>
      <c r="G46" s="86"/>
      <c r="H46" s="86"/>
      <c r="I46" s="86"/>
      <c r="J46" s="86"/>
      <c r="K46" s="86"/>
      <c r="L46" s="100">
        <f>IF(Cert=ECO,IF(Typ=NewConstruction,EcoGW2_N,EcoGW2_M),"")</f>
        <v>43.1</v>
      </c>
      <c r="M46" s="112">
        <f>IF(Cert=ECO,IF(Typ=NewConstruction,U32,U34),"")</f>
        <v>12.35</v>
      </c>
      <c r="N46" s="107"/>
      <c r="O46" s="107"/>
      <c r="P46" s="107"/>
      <c r="Q46" s="107"/>
      <c r="R46" s="107"/>
      <c r="S46" s="107"/>
      <c r="T46" s="107"/>
      <c r="U46" s="107"/>
      <c r="V46" s="107"/>
      <c r="W46" s="107"/>
      <c r="X46" s="63"/>
    </row>
    <row r="47" spans="1:24" ht="26.25" customHeight="1" thickTop="1" thickBot="1">
      <c r="A47" s="260"/>
      <c r="B47" s="287" t="str">
        <f>CmpltTextElements&amp;" "&amp;CmpltTextTech</f>
        <v>Mancano i gruppi di elementi C, C, C, C, E. Mancano gli elementi tecniciImp. ventilazione, Imp. elettrico, Imp. Sanitari, Emiss. Calore, Gen. Termico, Distr. Calore.</v>
      </c>
      <c r="C47" s="287"/>
      <c r="D47" s="287"/>
      <c r="E47" s="287"/>
      <c r="F47" s="287"/>
      <c r="G47" s="287"/>
      <c r="H47" s="287"/>
      <c r="I47" s="287"/>
      <c r="J47" s="287"/>
      <c r="K47" s="287"/>
      <c r="L47" s="287"/>
      <c r="M47" s="288"/>
      <c r="N47" s="107"/>
      <c r="O47" s="107"/>
      <c r="P47" s="107"/>
      <c r="Q47" s="107"/>
      <c r="R47" s="107"/>
      <c r="S47" s="107"/>
      <c r="T47" s="107"/>
      <c r="U47" s="107"/>
      <c r="V47" s="107"/>
      <c r="W47" s="107"/>
      <c r="X47" s="63"/>
    </row>
    <row r="48" spans="1:24" s="63" customFormat="1" ht="9" customHeight="1" thickTop="1">
      <c r="A48" s="171"/>
      <c r="B48" s="171"/>
      <c r="C48" s="171"/>
      <c r="D48" s="171"/>
      <c r="E48" s="171"/>
      <c r="F48" s="171"/>
      <c r="G48" s="171"/>
      <c r="H48" s="171"/>
      <c r="I48" s="171"/>
      <c r="J48" s="171"/>
      <c r="K48" s="171"/>
      <c r="L48" s="172"/>
      <c r="M48" s="173"/>
      <c r="N48" s="127"/>
      <c r="O48" s="127"/>
      <c r="P48" s="127"/>
      <c r="Q48" s="127"/>
      <c r="R48" s="127"/>
      <c r="S48" s="127"/>
      <c r="T48" s="127"/>
      <c r="U48" s="127"/>
      <c r="V48" s="127"/>
    </row>
    <row r="49" spans="1:24" ht="24.75" customHeight="1" thickBot="1">
      <c r="A49" s="253" t="str">
        <f>VLOOKUP(ADDRESS(ROW(),COLUMN(),4),MatrixTexteT2,2,FALSE)</f>
        <v>Risultato</v>
      </c>
      <c r="B49" s="253"/>
      <c r="C49" s="253"/>
      <c r="D49" s="253"/>
      <c r="E49" s="253"/>
      <c r="F49" s="253"/>
      <c r="G49" s="253"/>
      <c r="H49" s="253"/>
      <c r="I49" s="253"/>
      <c r="J49" s="253"/>
      <c r="K49" s="253"/>
      <c r="L49" s="253"/>
      <c r="M49" s="259"/>
      <c r="N49" s="107"/>
      <c r="O49" s="107"/>
      <c r="P49" s="107"/>
      <c r="Q49" s="107"/>
      <c r="R49" s="107"/>
      <c r="S49" s="107"/>
      <c r="T49" s="107"/>
      <c r="U49" s="107"/>
      <c r="V49" s="107"/>
      <c r="W49" s="107"/>
      <c r="X49" s="63"/>
    </row>
    <row r="50" spans="1:24" s="63" customFormat="1" ht="9" customHeight="1" thickTop="1" thickBot="1">
      <c r="A50" s="171"/>
      <c r="B50" s="171"/>
      <c r="C50" s="171"/>
      <c r="D50" s="171"/>
      <c r="E50" s="171"/>
      <c r="F50" s="171"/>
      <c r="G50" s="171"/>
      <c r="H50" s="171"/>
      <c r="I50" s="171"/>
      <c r="J50" s="171"/>
      <c r="K50" s="171"/>
      <c r="L50" s="172"/>
      <c r="M50" s="173"/>
      <c r="N50" s="127"/>
      <c r="O50" s="127"/>
      <c r="P50" s="127"/>
      <c r="Q50" s="127"/>
      <c r="R50" s="127"/>
      <c r="S50" s="127"/>
      <c r="T50" s="127"/>
      <c r="U50" s="127"/>
      <c r="V50" s="127"/>
    </row>
    <row r="51" spans="1:24" ht="22.5" customHeight="1" thickTop="1" thickBot="1">
      <c r="A51" s="110"/>
      <c r="B51" s="111" t="str">
        <f>IF(Cert=ECO,Texte!B22,IF(Cert=SNBS,Texte!B23,IF(Cert=EffiPfad,Texte!B24,Texte!B25)))</f>
        <v>L'esigenza Minergie-Eco sull' energia grigia è</v>
      </c>
      <c r="C51" s="111"/>
      <c r="D51" s="111"/>
      <c r="E51" s="111"/>
      <c r="F51" s="111"/>
      <c r="G51" s="111"/>
      <c r="H51" s="111"/>
      <c r="I51" s="111"/>
      <c r="J51" s="111"/>
      <c r="K51" s="271" t="str">
        <f>IF(Cert=ECO,U37,IF(Cert=SNBS,U39,IF(Cert=EffiPfad,U41,"")))</f>
        <v/>
      </c>
      <c r="L51" s="271"/>
      <c r="M51" s="272"/>
      <c r="W51" s="63"/>
      <c r="X51" s="63"/>
    </row>
    <row r="52" spans="1:24" ht="22.5" customHeight="1" thickTop="1">
      <c r="A52" s="110"/>
      <c r="B52" s="111" t="str">
        <f>IF(Cert=ECO,Texte!B26,IF(Cert=SNBS,Texte!B27,IF(Cert=EffiPfad,Texte!B28,Texte!B29)))</f>
        <v>L'esigenza Minergie-Eco sull' emissioni di gas serra è</v>
      </c>
      <c r="C52" s="111"/>
      <c r="D52" s="111"/>
      <c r="E52" s="111"/>
      <c r="F52" s="111"/>
      <c r="G52" s="111"/>
      <c r="H52" s="111"/>
      <c r="I52" s="111"/>
      <c r="J52" s="111"/>
      <c r="K52" s="271" t="str">
        <f>IF(Cert=ECO,U38,IF(Cert=SNBS,U40,IF(Cert=EffiPfad,U42,"")))</f>
        <v/>
      </c>
      <c r="L52" s="271"/>
      <c r="M52" s="272"/>
      <c r="W52" s="63"/>
      <c r="X52" s="63"/>
    </row>
    <row r="53" spans="1:24">
      <c r="W53" s="63"/>
      <c r="X53" s="63"/>
    </row>
    <row r="54" spans="1:24">
      <c r="W54" s="63"/>
      <c r="X54" s="63"/>
    </row>
    <row r="55" spans="1:24">
      <c r="W55" s="63"/>
      <c r="X55" s="63"/>
    </row>
    <row r="56" spans="1:24">
      <c r="W56" s="63"/>
      <c r="X56" s="63"/>
    </row>
  </sheetData>
  <sheetProtection algorithmName="SHA-512" hashValue="jOYazguwVtcOmTbLVT2W+Ep5Uy/XbvTuJXZoCDhNVqTicEJuntH3G9W3XU4Pxp5KvIWlWIeAB2fZyWZayD31DA==" saltValue="RAkKoHEPjs4vHIClg9Julg==" spinCount="100000" sheet="1" selectLockedCells="1"/>
  <mergeCells count="43">
    <mergeCell ref="C22:G22"/>
    <mergeCell ref="C23:G23"/>
    <mergeCell ref="X3:Y3"/>
    <mergeCell ref="N3:W3"/>
    <mergeCell ref="B47:M47"/>
    <mergeCell ref="A16:M16"/>
    <mergeCell ref="C17:G17"/>
    <mergeCell ref="N16:T16"/>
    <mergeCell ref="C24:G24"/>
    <mergeCell ref="C25:G25"/>
    <mergeCell ref="C30:G30"/>
    <mergeCell ref="C26:G26"/>
    <mergeCell ref="C27:G27"/>
    <mergeCell ref="C28:G28"/>
    <mergeCell ref="C29:G29"/>
    <mergeCell ref="C31:G31"/>
    <mergeCell ref="C32:G32"/>
    <mergeCell ref="C33:G33"/>
    <mergeCell ref="C34:G34"/>
    <mergeCell ref="C42:G42"/>
    <mergeCell ref="C35:G35"/>
    <mergeCell ref="C36:G36"/>
    <mergeCell ref="C37:G37"/>
    <mergeCell ref="C38:G38"/>
    <mergeCell ref="C39:G39"/>
    <mergeCell ref="C40:G40"/>
    <mergeCell ref="C41:G41"/>
    <mergeCell ref="K52:M52"/>
    <mergeCell ref="G3:L3"/>
    <mergeCell ref="K7:L7"/>
    <mergeCell ref="K6:L6"/>
    <mergeCell ref="K8:L8"/>
    <mergeCell ref="K10:L10"/>
    <mergeCell ref="K11:L11"/>
    <mergeCell ref="K12:L12"/>
    <mergeCell ref="K13:L13"/>
    <mergeCell ref="K5:L5"/>
    <mergeCell ref="C18:G18"/>
    <mergeCell ref="C19:G19"/>
    <mergeCell ref="C20:G20"/>
    <mergeCell ref="C21:G21"/>
    <mergeCell ref="K51:M51"/>
    <mergeCell ref="A3:F3"/>
  </mergeCells>
  <conditionalFormatting sqref="I18:I42">
    <cfRule type="expression" dxfId="185" priority="17">
      <formula>NOT(OR(N18=0,N18=""))</formula>
    </cfRule>
  </conditionalFormatting>
  <conditionalFormatting sqref="L43:M43">
    <cfRule type="expression" dxfId="184" priority="16">
      <formula>P43=Ja</formula>
    </cfRule>
  </conditionalFormatting>
  <conditionalFormatting sqref="G11:L13 C12:E14">
    <cfRule type="expression" dxfId="183" priority="9">
      <formula>Typ=NewConstruction</formula>
    </cfRule>
  </conditionalFormatting>
  <conditionalFormatting sqref="R5:V5 U10 R6:U9 V6:V13">
    <cfRule type="expression" dxfId="182" priority="7">
      <formula>$N5=Fehler</formula>
    </cfRule>
  </conditionalFormatting>
  <conditionalFormatting sqref="C18:G42">
    <cfRule type="expression" dxfId="181" priority="5">
      <formula>AND($C18&lt;&gt;"",ISERROR(IF(Typ=NewConstruction,VLOOKUP(C18,INDIRECT(VLOOKUP(B18,BKPshort,3,FALSE)),1,FALSE),VLOOKUP(C18,INDIRECT(VLOOKUP(B18,BKPshort,4,FALSE)),1,FALSE))))</formula>
    </cfRule>
  </conditionalFormatting>
  <conditionalFormatting sqref="P11:P14 U14:V14 U11:U13">
    <cfRule type="expression" dxfId="180" priority="19">
      <formula>#REF!=Fehler</formula>
    </cfRule>
  </conditionalFormatting>
  <conditionalFormatting sqref="T11:T14">
    <cfRule type="expression" dxfId="179" priority="4">
      <formula>#REF!=Fehler</formula>
    </cfRule>
  </conditionalFormatting>
  <conditionalFormatting sqref="W5:W10">
    <cfRule type="expression" dxfId="178" priority="2">
      <formula>$N5=Fehler</formula>
    </cfRule>
  </conditionalFormatting>
  <conditionalFormatting sqref="W11:W14">
    <cfRule type="expression" dxfId="177" priority="3">
      <formula>#REF!=Fehler</formula>
    </cfRule>
  </conditionalFormatting>
  <conditionalFormatting sqref="A47:M47">
    <cfRule type="expression" dxfId="176" priority="1">
      <formula>OR(CmpltElements=Nein,CmpltTech=Nein)</formula>
    </cfRule>
  </conditionalFormatting>
  <dataValidations xWindow="628" yWindow="301" count="123">
    <dataValidation type="decimal" allowBlank="1" showInputMessage="1" showErrorMessage="1" errorTitle="Errore" error="È necessario immettere un valore intero compreso tra 0 e 99'999." promptTitle="Superficie" prompt="Indicare la superficie dell'elemento costruttivo. Se il campo di imput è marcato in rosso, non deve inserire nessun valore (calcolato automaticamente)." sqref="I42" xr:uid="{00000000-0002-0000-0100-000000000000}">
      <formula1>0</formula1>
      <formula2>99999</formula2>
    </dataValidation>
    <dataValidation type="list" allowBlank="1" showInputMessage="1" showErrorMessage="1" errorTitle="Errore" error="È necessario selezionare una voce dall'elenco." promptTitle="eCCC-E" prompt="Selezioni dalla lista la rispettiva categoria del eCCC-E." sqref="B42" xr:uid="{00000000-0002-0000-0100-000001000000}">
      <formula1>ListBKP</formula1>
    </dataValidation>
    <dataValidation type="list" allowBlank="1" showInputMessage="1" showErrorMessage="1" errorTitle="Errore" error="È necessario selezionare una voce dall' elenco." promptTitle="Standard energetico" prompt="Selezioni dalla lista lo standard energetico desiderato." sqref="H42" xr:uid="{00000000-0002-0000-0100-000002000000}">
      <formula1>ListEnStandard</formula1>
    </dataValidation>
    <dataValidation type="list" allowBlank="1" showInputMessage="1" showErrorMessage="1" errorTitle="Fehler" error="Sie müssen einen Eintrag aus der Liste wählen." promptTitle="Componente" prompt="Selezionare un componente dall'elenco.  Se il campo è di colore giallo, è necessario effettuare una nuova selezione.  Se non è stata selezionata una voce nella colonna eBKP-H, l'elenco è vuoto. " sqref="C18:G42" xr:uid="{00000000-0002-0000-0100-000003000000}">
      <formula1>IF(Typ=Renovation,INDIRECT(VLOOKUP(B18,BKPshort,4,FALSE)),INDIRECT(VLOOKUP(B18,BKPshort,3,FALSE)))</formula1>
    </dataValidation>
    <dataValidation type="list" allowBlank="1" showInputMessage="1" showErrorMessage="1" errorTitle="Errore" error="È necessario selezionare una voce dall'elenco." promptTitle="Standard energetico" prompt="Selezioni lo standard energetico desiderato." sqref="E5" xr:uid="{00000000-0002-0000-0100-000004000000}">
      <formula1>ListEnStandard</formula1>
    </dataValidation>
    <dataValidation type="decimal" allowBlank="1" showInputMessage="1" showErrorMessage="1" errorTitle="Errore" error="La SRE deve trovarsi tra 0 e 200'000 m2." promptTitle="Superfice di riferimento energ." prompt="P.F. indichi la SRE dell'edifico" sqref="E6" xr:uid="{00000000-0002-0000-0100-000005000000}">
      <formula1>0</formula1>
      <formula2>200000</formula2>
    </dataValidation>
    <dataValidation type="list" allowBlank="1" showInputMessage="1" showErrorMessage="1" errorTitle="Errore" error="È necessario selezionare una voce dall'elenco." promptTitle="Tipologia della pianta" prompt="Selezioni nell'elenco la tipologia di pianta più affine." sqref="K5" xr:uid="{00000000-0002-0000-0100-000006000000}">
      <formula1>ListIWtyp</formula1>
    </dataValidation>
    <dataValidation type="list" allowBlank="1" showInputMessage="1" showErrorMessage="1" errorTitle="Errore" error="È necessario selezionare una voce dall'elenco." promptTitle="Impianti sanitari" prompt="Selezioni SÌ, se gli impianti sanitari vengono in buona parte sostituiti o sono nuovi." sqref="K13" xr:uid="{00000000-0002-0000-0100-000007000000}">
      <formula1>JaNein</formula1>
    </dataValidation>
    <dataValidation type="whole" allowBlank="1" showInputMessage="1" showErrorMessage="1" errorTitle="Errore" error="Deve indicare un valore tra 0 e la SRE." promptTitle="Pavimento risc. contro non risc." prompt="Indichi la superficie." sqref="E7" xr:uid="{00000000-0002-0000-0100-000008000000}">
      <formula1>0</formula1>
      <formula2>E6</formula2>
    </dataValidation>
    <dataValidation type="decimal" allowBlank="1" showInputMessage="1" showErrorMessage="1" errorTitle="Errore" error="Deve indicare un valore tra 0 e 20." promptTitle="Piano non riscaldato" prompt="Indichi il numero di piani non riscaldati (numeri decimali sono ammessi)." sqref="E8" xr:uid="{00000000-0002-0000-0100-000009000000}">
      <formula1>0</formula1>
      <formula2>10</formula2>
    </dataValidation>
    <dataValidation type="decimal" allowBlank="1" showInputMessage="1" showErrorMessage="1" errorTitle="Errore" error="Deve indicare un valore tra 0 e 20." promptTitle="Altezza media del locale" prompt="Indichi l'altezza media di tutti i piani riscaldati." sqref="E9" xr:uid="{00000000-0002-0000-0100-00000A000000}">
      <formula1>1</formula1>
      <formula2>20</formula2>
    </dataValidation>
    <dataValidation type="whole" allowBlank="1" showInputMessage="1" showErrorMessage="1" errorTitle="Fehler" error="Sie müssen einen Eintrag aus der Liste wählen." promptTitle="Energiestandard" prompt="Wählen Sie den angestrebten Energiestandard aus." sqref="L10" xr:uid="{00000000-0002-0000-0100-00000B000000}">
      <formula1>0</formula1>
      <formula2>2.5*GF</formula2>
    </dataValidation>
    <dataValidation type="decimal" allowBlank="1" showInputMessage="1" showErrorMessage="1" sqref="L6" xr:uid="{00000000-0002-0000-0100-00000C000000}">
      <formula1>EBF</formula1>
      <formula2>300000</formula2>
    </dataValidation>
    <dataValidation type="decimal" allowBlank="1" showInputMessage="1" showErrorMessage="1" sqref="L7" xr:uid="{00000000-0002-0000-0100-00000D000000}">
      <formula1>0</formula1>
      <formula2>GF</formula2>
    </dataValidation>
    <dataValidation type="decimal" allowBlank="1" showInputMessage="1" showErrorMessage="1" sqref="L8" xr:uid="{00000000-0002-0000-0100-00000E000000}">
      <formula1>0</formula1>
      <formula2>20</formula2>
    </dataValidation>
    <dataValidation type="whole" allowBlank="1" showInputMessage="1" showErrorMessage="1" errorTitle="Errore" error="Deve indicare un valore tra 0 e 2.5 volte la superfice del piano." promptTitle="Impianto FV" prompt="Indichi la superficie netta di captazione FV" sqref="E10" xr:uid="{00000000-0002-0000-0100-00000F000000}">
      <formula1>0</formula1>
      <formula2>2.5*GF</formula2>
    </dataValidation>
    <dataValidation type="list" allowBlank="1" showInputMessage="1" showErrorMessage="1" errorTitle="Errore" error="È necessario selezionare una voce dall'elenco." promptTitle="Sonde geotermiche" prompt="Selezioni SI, nel caso le sonde siano nuove o vengano sostituite." sqref="E11" xr:uid="{00000000-0002-0000-0100-000010000000}">
      <formula1>JaNein</formula1>
    </dataValidation>
    <dataValidation type="list" allowBlank="1" showInputMessage="1" showErrorMessage="1" errorTitle="Errore" error="È necessario selezionare una voce dall'elenco." promptTitle="Distribuzione del calore" prompt="Selezioni SÌ, se la distribuzione viene in buona parte sostituita o è nuova" sqref="E12" xr:uid="{00000000-0002-0000-0100-000011000000}">
      <formula1>JaNein</formula1>
    </dataValidation>
    <dataValidation type="list" allowBlank="1" showInputMessage="1" showErrorMessage="1" errorTitle="Errore" error="È necessario selezionare una voce dall'elenco." promptTitle="Impianto di ventilazione" prompt="Selezioni SÌ, se la ventilazione viene in buona parte sostituita o è nuova" sqref="E13" xr:uid="{00000000-0002-0000-0100-000012000000}">
      <formula1>JaNein</formula1>
    </dataValidation>
    <dataValidation type="list" allowBlank="1" showInputMessage="1" showErrorMessage="1" errorTitle="Errore" error="È necessario selezionare una voce dall'elenco." promptTitle="Impianti elettrici" prompt="Selezioni SÌ, se le installazioni elettriche vengono in buona parte sostituite o sono nuove" sqref="E14" xr:uid="{00000000-0002-0000-0100-000013000000}">
      <formula1>JaNein</formula1>
    </dataValidation>
    <dataValidation type="whole" allowBlank="1" showInputMessage="1" showErrorMessage="1" errorTitle="Errore" error="Deve indicare un valore tra 0 e 2.5 volte la superfice del piano." promptTitle="Impianto solare termico" prompt="Indichi la superficie netta dell'assorbitore." sqref="K10" xr:uid="{00000000-0002-0000-0100-000014000000}">
      <formula1>0</formula1>
      <formula2>2.5*GF</formula2>
    </dataValidation>
    <dataValidation type="list" allowBlank="1" showInputMessage="1" showErrorMessage="1" errorTitle="Errore" error="È necessario selezionare una voce dall'elenco." promptTitle="Generatore termico" prompt="Selezioni SÌ, se il generatore termico viene in buona parte sostituito o è nuovo" sqref="K11" xr:uid="{00000000-0002-0000-0100-000015000000}">
      <formula1>JaNein</formula1>
    </dataValidation>
    <dataValidation type="decimal" allowBlank="1" showInputMessage="1" showErrorMessage="1" errorTitle="Errore" error="Deve indicare un valore tra 0 e 300'000." promptTitle="Superfice dei piani" prompt="Indicare la superficie dei piani (inclusa quella dei piani non riscaldati)." sqref="K6" xr:uid="{00000000-0002-0000-0100-000016000000}">
      <formula1>EBF</formula1>
      <formula2>300000</formula2>
    </dataValidation>
    <dataValidation type="decimal" allowBlank="1" showInputMessage="1" showErrorMessage="1" errorTitle="Errore" error="Deve indicare un valore tra 0 e quello della superficie del piano." promptTitle="Superficie dei piani interrati" prompt="Indicare la superficie dei piani interrati." sqref="K7" xr:uid="{00000000-0002-0000-0100-000017000000}">
      <formula1>0</formula1>
      <formula2>GF</formula2>
    </dataValidation>
    <dataValidation type="decimal" allowBlank="1" showInputMessage="1" showErrorMessage="1" errorTitle="Errore" error="Deve indicare un valore tra 0 e 10." promptTitle="Piani interrati" prompt="Indicare il numero dei piani interrati (numeri decimali sono ammessi)." sqref="K8" xr:uid="{00000000-0002-0000-0100-000018000000}">
      <formula1>0</formula1>
      <formula2>20</formula2>
    </dataValidation>
    <dataValidation type="list" allowBlank="1" showInputMessage="1" showErrorMessage="1" errorTitle="Errore" error="È necessario selezionare una voce dall'elenco." promptTitle="Emissione del calore" prompt="Selezioni SÌ, se il sistema d'emissione del calore (corpi riscaldanti ecc.) viene in buona parte sostituito o è nuovo." sqref="K12" xr:uid="{00000000-0002-0000-0100-000019000000}">
      <formula1>JaNein</formula1>
    </dataValidation>
    <dataValidation type="whole" errorStyle="information" showInputMessage="1" showErrorMessage="1" errorTitle="Nessun campo di ingresso" error="Questo campo viene utilizzato per visualizzare i link e non consente alcuna immissione." promptTitle="Link" prompt="Cliccare sul link per saperne di più sul componente selezionato." sqref="K42" xr:uid="{00000000-0002-0000-0100-00001A000000}">
      <formula1>9998</formula1>
      <formula2>9999</formula2>
    </dataValidation>
    <dataValidation type="list" allowBlank="1" showInputMessage="1" showErrorMessage="1" errorTitle="Errore" error="È necessario selezionare una voce dall'elenco." promptTitle="eCCC-E" prompt="Selezioni dalla lista la rispettiva categoria del eCCC-E." sqref="B18" xr:uid="{D99AEC32-2A91-44DC-8DD4-7E10EFDAA3AD}">
      <formula1>ListBKP</formula1>
    </dataValidation>
    <dataValidation type="list" allowBlank="1" showInputMessage="1" showErrorMessage="1" errorTitle="Errore" error="È necessario selezionare una voce dall'elenco." promptTitle="eCCC-E" prompt="Selezioni dalla lista la rispettiva categoria del eCCC-E." sqref="B19" xr:uid="{3ACBEB74-D53B-4EAF-A6B8-D663A34D7B22}">
      <formula1>ListBKP</formula1>
    </dataValidation>
    <dataValidation type="list" allowBlank="1" showInputMessage="1" showErrorMessage="1" errorTitle="Errore" error="È necessario selezionare una voce dall'elenco." promptTitle="eCCC-E" prompt="Selezioni dalla lista la rispettiva categoria del eCCC-E." sqref="B20" xr:uid="{BC80994A-70D4-4CD3-8154-3D1DE29EA6DA}">
      <formula1>ListBKP</formula1>
    </dataValidation>
    <dataValidation type="list" allowBlank="1" showInputMessage="1" showErrorMessage="1" errorTitle="Errore" error="È necessario selezionare una voce dall'elenco." promptTitle="eCCC-E" prompt="Selezioni dalla lista la rispettiva categoria del eCCC-E." sqref="B21" xr:uid="{8380658C-6384-4383-A8BC-A7C2D51621DB}">
      <formula1>ListBKP</formula1>
    </dataValidation>
    <dataValidation type="list" allowBlank="1" showInputMessage="1" showErrorMessage="1" errorTitle="Errore" error="È necessario selezionare una voce dall'elenco." promptTitle="eCCC-E" prompt="Selezioni dalla lista la rispettiva categoria del eCCC-E." sqref="B22" xr:uid="{CB1782EB-DED8-4C30-A7C8-C2611DF67D06}">
      <formula1>ListBKP</formula1>
    </dataValidation>
    <dataValidation type="list" allowBlank="1" showInputMessage="1" showErrorMessage="1" errorTitle="Errore" error="È necessario selezionare una voce dall'elenco." promptTitle="eCCC-E" prompt="Selezioni dalla lista la rispettiva categoria del eCCC-E." sqref="B23" xr:uid="{82928AF2-BE48-4C3B-9F17-A653657E8DC1}">
      <formula1>ListBKP</formula1>
    </dataValidation>
    <dataValidation type="list" allowBlank="1" showInputMessage="1" showErrorMessage="1" errorTitle="Errore" error="È necessario selezionare una voce dall'elenco." promptTitle="eCCC-E" prompt="Selezioni dalla lista la rispettiva categoria del eCCC-E." sqref="B24" xr:uid="{51367E38-FB58-4556-AACA-AADB985DB7E9}">
      <formula1>ListBKP</formula1>
    </dataValidation>
    <dataValidation type="list" allowBlank="1" showInputMessage="1" showErrorMessage="1" errorTitle="Errore" error="È necessario selezionare una voce dall'elenco." promptTitle="eCCC-E" prompt="Selezioni dalla lista la rispettiva categoria del eCCC-E." sqref="B25" xr:uid="{3D446C5E-A599-42A9-B84D-A4C444E970DC}">
      <formula1>ListBKP</formula1>
    </dataValidation>
    <dataValidation type="list" allowBlank="1" showInputMessage="1" showErrorMessage="1" errorTitle="Errore" error="È necessario selezionare una voce dall'elenco." promptTitle="eCCC-E" prompt="Selezioni dalla lista la rispettiva categoria del eCCC-E." sqref="B26" xr:uid="{171AFAB2-418D-420B-AD66-AE9190EAF508}">
      <formula1>ListBKP</formula1>
    </dataValidation>
    <dataValidation type="list" allowBlank="1" showInputMessage="1" showErrorMessage="1" errorTitle="Errore" error="È necessario selezionare una voce dall'elenco." promptTitle="eCCC-E" prompt="Selezioni dalla lista la rispettiva categoria del eCCC-E." sqref="B27" xr:uid="{2079BD5F-EAC2-49DD-8684-264121C00BA3}">
      <formula1>ListBKP</formula1>
    </dataValidation>
    <dataValidation type="list" allowBlank="1" showInputMessage="1" showErrorMessage="1" errorTitle="Errore" error="È necessario selezionare una voce dall'elenco." promptTitle="eCCC-E" prompt="Selezioni dalla lista la rispettiva categoria del eCCC-E." sqref="B28" xr:uid="{D9C4B507-95C8-48F2-A7B4-F7490C0C640D}">
      <formula1>ListBKP</formula1>
    </dataValidation>
    <dataValidation type="list" allowBlank="1" showInputMessage="1" showErrorMessage="1" errorTitle="Errore" error="È necessario selezionare una voce dall'elenco." promptTitle="eCCC-E" prompt="Selezioni dalla lista la rispettiva categoria del eCCC-E." sqref="B29" xr:uid="{E1173FD5-2070-40E8-86B6-48F80651968F}">
      <formula1>ListBKP</formula1>
    </dataValidation>
    <dataValidation type="list" allowBlank="1" showInputMessage="1" showErrorMessage="1" errorTitle="Errore" error="È necessario selezionare una voce dall'elenco." promptTitle="eCCC-E" prompt="Selezioni dalla lista la rispettiva categoria del eCCC-E." sqref="B30" xr:uid="{8D4BCD5C-C022-4744-906E-975C3D04B1E2}">
      <formula1>ListBKP</formula1>
    </dataValidation>
    <dataValidation type="list" allowBlank="1" showInputMessage="1" showErrorMessage="1" errorTitle="Errore" error="È necessario selezionare una voce dall'elenco." promptTitle="eCCC-E" prompt="Selezioni dalla lista la rispettiva categoria del eCCC-E." sqref="B31" xr:uid="{FC5B9E1A-706E-4000-9317-DAB2D7BD217D}">
      <formula1>ListBKP</formula1>
    </dataValidation>
    <dataValidation type="list" allowBlank="1" showInputMessage="1" showErrorMessage="1" errorTitle="Errore" error="È necessario selezionare una voce dall'elenco." promptTitle="eCCC-E" prompt="Selezioni dalla lista la rispettiva categoria del eCCC-E." sqref="B32" xr:uid="{6C693239-D9BE-45A7-8BEF-973E63A8561F}">
      <formula1>ListBKP</formula1>
    </dataValidation>
    <dataValidation type="list" allowBlank="1" showInputMessage="1" showErrorMessage="1" errorTitle="Errore" error="È necessario selezionare una voce dall'elenco." promptTitle="eCCC-E" prompt="Selezioni dalla lista la rispettiva categoria del eCCC-E." sqref="B33" xr:uid="{070C89FD-D882-44D2-A666-E19A69F715DE}">
      <formula1>ListBKP</formula1>
    </dataValidation>
    <dataValidation type="list" allowBlank="1" showInputMessage="1" showErrorMessage="1" errorTitle="Errore" error="È necessario selezionare una voce dall'elenco." promptTitle="eCCC-E" prompt="Selezioni dalla lista la rispettiva categoria del eCCC-E." sqref="B34" xr:uid="{09FBE20F-3686-4A00-B9EE-38067ADC2F29}">
      <formula1>ListBKP</formula1>
    </dataValidation>
    <dataValidation type="list" allowBlank="1" showInputMessage="1" showErrorMessage="1" errorTitle="Errore" error="È necessario selezionare una voce dall'elenco." promptTitle="eCCC-E" prompt="Selezioni dalla lista la rispettiva categoria del eCCC-E." sqref="B35" xr:uid="{00A91AD4-D81B-4217-8275-7B3E7615ABE1}">
      <formula1>ListBKP</formula1>
    </dataValidation>
    <dataValidation type="list" allowBlank="1" showInputMessage="1" showErrorMessage="1" errorTitle="Errore" error="È necessario selezionare una voce dall'elenco." promptTitle="eCCC-E" prompt="Selezioni dalla lista la rispettiva categoria del eCCC-E." sqref="B36" xr:uid="{BC5D127B-573F-490B-91A0-1CB9D90455F5}">
      <formula1>ListBKP</formula1>
    </dataValidation>
    <dataValidation type="list" allowBlank="1" showInputMessage="1" showErrorMessage="1" errorTitle="Errore" error="È necessario selezionare una voce dall'elenco." promptTitle="eCCC-E" prompt="Selezioni dalla lista la rispettiva categoria del eCCC-E." sqref="B37" xr:uid="{5A00D003-0ACF-4C7B-8164-035EFDF08820}">
      <formula1>ListBKP</formula1>
    </dataValidation>
    <dataValidation type="list" allowBlank="1" showInputMessage="1" showErrorMessage="1" errorTitle="Errore" error="È necessario selezionare una voce dall'elenco." promptTitle="eCCC-E" prompt="Selezioni dalla lista la rispettiva categoria del eCCC-E." sqref="B38" xr:uid="{1AC6DD53-124F-4D34-974F-A10CC942D1ED}">
      <formula1>ListBKP</formula1>
    </dataValidation>
    <dataValidation type="list" allowBlank="1" showInputMessage="1" showErrorMessage="1" errorTitle="Errore" error="È necessario selezionare una voce dall'elenco." promptTitle="eCCC-E" prompt="Selezioni dalla lista la rispettiva categoria del eCCC-E." sqref="B39" xr:uid="{521DC094-8B3F-44B7-B6CA-DD53B3981168}">
      <formula1>ListBKP</formula1>
    </dataValidation>
    <dataValidation type="list" allowBlank="1" showInputMessage="1" showErrorMessage="1" errorTitle="Errore" error="È necessario selezionare una voce dall'elenco." promptTitle="eCCC-E" prompt="Selezioni dalla lista la rispettiva categoria del eCCC-E." sqref="B40" xr:uid="{149F20CC-9B66-4BC2-8AE2-250001A63617}">
      <formula1>ListBKP</formula1>
    </dataValidation>
    <dataValidation type="list" allowBlank="1" showInputMessage="1" showErrorMessage="1" errorTitle="Errore" error="È necessario selezionare una voce dall'elenco." promptTitle="eCCC-E" prompt="Selezioni dalla lista la rispettiva categoria del eCCC-E." sqref="B41" xr:uid="{686F64FC-2B5F-4BC7-8E87-A2C5C4EE5473}">
      <formula1>ListBKP</formula1>
    </dataValidation>
    <dataValidation type="list" allowBlank="1" showInputMessage="1" showErrorMessage="1" errorTitle="Errore" error="È necessario selezionare una voce dall' elenco." promptTitle="Standard energetico" prompt="Selezioni dalla lista lo standard energetico desiderato." sqref="H18" xr:uid="{15918E05-DD5C-44A7-A300-D4CCDE0B199D}">
      <formula1>ListEnStandard</formula1>
    </dataValidation>
    <dataValidation type="list" allowBlank="1" showInputMessage="1" showErrorMessage="1" errorTitle="Errore" error="È necessario selezionare una voce dall' elenco." promptTitle="Standard energetico" prompt="Selezioni dalla lista lo standard energetico desiderato." sqref="H19" xr:uid="{D0AD532B-8DA5-4091-9A3E-794B54321360}">
      <formula1>ListEnStandard</formula1>
    </dataValidation>
    <dataValidation type="list" allowBlank="1" showInputMessage="1" showErrorMessage="1" errorTitle="Errore" error="È necessario selezionare una voce dall' elenco." promptTitle="Standard energetico" prompt="Selezioni dalla lista lo standard energetico desiderato." sqref="H20" xr:uid="{B8B32D9D-5435-4F71-980C-AC421AF8ACF9}">
      <formula1>ListEnStandard</formula1>
    </dataValidation>
    <dataValidation type="list" allowBlank="1" showInputMessage="1" showErrorMessage="1" errorTitle="Errore" error="È necessario selezionare una voce dall' elenco." promptTitle="Standard energetico" prompt="Selezioni dalla lista lo standard energetico desiderato." sqref="H21" xr:uid="{E6D108CA-53F0-4BF8-AE59-59BAC61029FA}">
      <formula1>ListEnStandard</formula1>
    </dataValidation>
    <dataValidation type="list" allowBlank="1" showInputMessage="1" showErrorMessage="1" errorTitle="Errore" error="È necessario selezionare una voce dall' elenco." promptTitle="Standard energetico" prompt="Selezioni dalla lista lo standard energetico desiderato." sqref="H22" xr:uid="{8D54FA00-7842-41BA-97E1-22DC8AB6A062}">
      <formula1>ListEnStandard</formula1>
    </dataValidation>
    <dataValidation type="list" allowBlank="1" showInputMessage="1" showErrorMessage="1" errorTitle="Errore" error="È necessario selezionare una voce dall' elenco." promptTitle="Standard energetico" prompt="Selezioni dalla lista lo standard energetico desiderato." sqref="H23" xr:uid="{2E7DCFEC-D488-4B3F-A0DF-D3CD359EFF59}">
      <formula1>ListEnStandard</formula1>
    </dataValidation>
    <dataValidation type="list" allowBlank="1" showInputMessage="1" showErrorMessage="1" errorTitle="Errore" error="È necessario selezionare una voce dall' elenco." promptTitle="Standard energetico" prompt="Selezioni dalla lista lo standard energetico desiderato." sqref="H24" xr:uid="{963808D4-E5F5-4EDC-837A-9FFA9EB9CF07}">
      <formula1>ListEnStandard</formula1>
    </dataValidation>
    <dataValidation type="list" allowBlank="1" showInputMessage="1" showErrorMessage="1" errorTitle="Errore" error="È necessario selezionare una voce dall' elenco." promptTitle="Standard energetico" prompt="Selezioni dalla lista lo standard energetico desiderato." sqref="H25" xr:uid="{8DA35837-54DF-4D09-BC92-0496597C348F}">
      <formula1>ListEnStandard</formula1>
    </dataValidation>
    <dataValidation type="list" allowBlank="1" showInputMessage="1" showErrorMessage="1" errorTitle="Errore" error="È necessario selezionare una voce dall' elenco." promptTitle="Standard energetico" prompt="Selezioni dalla lista lo standard energetico desiderato." sqref="H26" xr:uid="{5FB91A4A-F326-4774-B905-92E912FA730B}">
      <formula1>ListEnStandard</formula1>
    </dataValidation>
    <dataValidation type="list" allowBlank="1" showInputMessage="1" showErrorMessage="1" errorTitle="Errore" error="È necessario selezionare una voce dall' elenco." promptTitle="Standard energetico" prompt="Selezioni dalla lista lo standard energetico desiderato." sqref="H27" xr:uid="{9E9ACF13-0226-4A24-ABC4-5D2B314566F2}">
      <formula1>ListEnStandard</formula1>
    </dataValidation>
    <dataValidation type="list" allowBlank="1" showInputMessage="1" showErrorMessage="1" errorTitle="Errore" error="È necessario selezionare una voce dall' elenco." promptTitle="Standard energetico" prompt="Selezioni dalla lista lo standard energetico desiderato." sqref="H28" xr:uid="{A8603B8A-69AA-49BC-8076-0601F12D9461}">
      <formula1>ListEnStandard</formula1>
    </dataValidation>
    <dataValidation type="list" allowBlank="1" showInputMessage="1" showErrorMessage="1" errorTitle="Errore" error="È necessario selezionare una voce dall' elenco." promptTitle="Standard energetico" prompt="Selezioni dalla lista lo standard energetico desiderato." sqref="H29" xr:uid="{F8DB20EA-6CCE-42B4-9C8C-B8B43AA568DB}">
      <formula1>ListEnStandard</formula1>
    </dataValidation>
    <dataValidation type="list" allowBlank="1" showInputMessage="1" showErrorMessage="1" errorTitle="Errore" error="È necessario selezionare una voce dall' elenco." promptTitle="Standard energetico" prompt="Selezioni dalla lista lo standard energetico desiderato." sqref="H30" xr:uid="{302BB365-E898-48B0-94C7-8763FE03A4A4}">
      <formula1>ListEnStandard</formula1>
    </dataValidation>
    <dataValidation type="list" allowBlank="1" showInputMessage="1" showErrorMessage="1" errorTitle="Errore" error="È necessario selezionare una voce dall' elenco." promptTitle="Standard energetico" prompt="Selezioni dalla lista lo standard energetico desiderato." sqref="H31" xr:uid="{0896C3DF-3BE6-4C08-A3C0-4F86F4421AEC}">
      <formula1>ListEnStandard</formula1>
    </dataValidation>
    <dataValidation type="list" allowBlank="1" showInputMessage="1" showErrorMessage="1" errorTitle="Errore" error="È necessario selezionare una voce dall' elenco." promptTitle="Standard energetico" prompt="Selezioni dalla lista lo standard energetico desiderato." sqref="H32" xr:uid="{5A7F1F91-2B5E-486B-AFAE-05A489AC004B}">
      <formula1>ListEnStandard</formula1>
    </dataValidation>
    <dataValidation type="list" allowBlank="1" showInputMessage="1" showErrorMessage="1" errorTitle="Errore" error="È necessario selezionare una voce dall' elenco." promptTitle="Standard energetico" prompt="Selezioni dalla lista lo standard energetico desiderato." sqref="H33" xr:uid="{E39C6E83-EACA-4629-B513-80184C92215B}">
      <formula1>ListEnStandard</formula1>
    </dataValidation>
    <dataValidation type="list" allowBlank="1" showInputMessage="1" showErrorMessage="1" errorTitle="Errore" error="È necessario selezionare una voce dall' elenco." promptTitle="Standard energetico" prompt="Selezioni dalla lista lo standard energetico desiderato." sqref="H34" xr:uid="{4C7FF27C-523D-4BB0-B4E0-70EFBA9230BD}">
      <formula1>ListEnStandard</formula1>
    </dataValidation>
    <dataValidation type="list" allowBlank="1" showInputMessage="1" showErrorMessage="1" errorTitle="Errore" error="È necessario selezionare una voce dall' elenco." promptTitle="Standard energetico" prompt="Selezioni dalla lista lo standard energetico desiderato." sqref="H35" xr:uid="{3CF68A19-1270-4EC5-BF10-38A2DA845FE2}">
      <formula1>ListEnStandard</formula1>
    </dataValidation>
    <dataValidation type="list" allowBlank="1" showInputMessage="1" showErrorMessage="1" errorTitle="Errore" error="È necessario selezionare una voce dall' elenco." promptTitle="Standard energetico" prompt="Selezioni dalla lista lo standard energetico desiderato." sqref="H36" xr:uid="{CE276C9F-0152-4933-9554-CA0FD74A444C}">
      <formula1>ListEnStandard</formula1>
    </dataValidation>
    <dataValidation type="list" allowBlank="1" showInputMessage="1" showErrorMessage="1" errorTitle="Errore" error="È necessario selezionare una voce dall' elenco." promptTitle="Standard energetico" prompt="Selezioni dalla lista lo standard energetico desiderato." sqref="H37" xr:uid="{6C2C1FBD-E334-4DFA-94F3-60EAAE1A42CD}">
      <formula1>ListEnStandard</formula1>
    </dataValidation>
    <dataValidation type="list" allowBlank="1" showInputMessage="1" showErrorMessage="1" errorTitle="Errore" error="È necessario selezionare una voce dall' elenco." promptTitle="Standard energetico" prompt="Selezioni dalla lista lo standard energetico desiderato." sqref="H38" xr:uid="{7ACD865D-ED3C-40EB-8A7F-45E8EBB5E8DF}">
      <formula1>ListEnStandard</formula1>
    </dataValidation>
    <dataValidation type="list" allowBlank="1" showInputMessage="1" showErrorMessage="1" errorTitle="Errore" error="È necessario selezionare una voce dall' elenco." promptTitle="Standard energetico" prompt="Selezioni dalla lista lo standard energetico desiderato." sqref="H39" xr:uid="{FFA2EFA4-F731-4140-BA12-8A83ABE15D9B}">
      <formula1>ListEnStandard</formula1>
    </dataValidation>
    <dataValidation type="list" allowBlank="1" showInputMessage="1" showErrorMessage="1" errorTitle="Errore" error="È necessario selezionare una voce dall' elenco." promptTitle="Standard energetico" prompt="Selezioni dalla lista lo standard energetico desiderato." sqref="H40" xr:uid="{B1B429B2-662A-403E-BD05-C25BCDA97DE5}">
      <formula1>ListEnStandard</formula1>
    </dataValidation>
    <dataValidation type="list" allowBlank="1" showInputMessage="1" showErrorMessage="1" errorTitle="Errore" error="È necessario selezionare una voce dall' elenco." promptTitle="Standard energetico" prompt="Selezioni dalla lista lo standard energetico desiderato." sqref="H41" xr:uid="{49ACEDA7-1A2F-4737-BFBE-25E5D41B53C5}">
      <formula1>ListEnStandard</formula1>
    </dataValidation>
    <dataValidation type="decimal" allowBlank="1" showInputMessage="1" showErrorMessage="1" errorTitle="Errore" error="È necessario immettere un valore intero compreso tra 0 e 99'999." promptTitle="Superficie" prompt="Indicare la superficie dell'elemento costruttivo. Se il campo di imput è marcato in rosso, non deve inserire nessun valore (calcolato automaticamente)." sqref="I18" xr:uid="{E6F9FF2F-2B64-44EB-90A2-9F18854985F1}">
      <formula1>0</formula1>
      <formula2>99999</formula2>
    </dataValidation>
    <dataValidation type="decimal" allowBlank="1" showInputMessage="1" showErrorMessage="1" errorTitle="Errore" error="È necessario immettere un valore intero compreso tra 0 e 99'999." promptTitle="Superficie" prompt="Indicare la superficie dell'elemento costruttivo. Se il campo di imput è marcato in rosso, non deve inserire nessun valore (calcolato automaticamente)." sqref="I19" xr:uid="{DCD3BCE4-5367-42DE-A3E2-68A72E4ED002}">
      <formula1>0</formula1>
      <formula2>99999</formula2>
    </dataValidation>
    <dataValidation type="decimal" allowBlank="1" showInputMessage="1" showErrorMessage="1" errorTitle="Errore" error="È necessario immettere un valore intero compreso tra 0 e 99'999." promptTitle="Superficie" prompt="Indicare la superficie dell'elemento costruttivo. Se il campo di imput è marcato in rosso, non deve inserire nessun valore (calcolato automaticamente)." sqref="I20" xr:uid="{6D4EDCCA-2947-46FB-A577-DDA21691A0A7}">
      <formula1>0</formula1>
      <formula2>99999</formula2>
    </dataValidation>
    <dataValidation type="decimal" allowBlank="1" showInputMessage="1" showErrorMessage="1" errorTitle="Errore" error="È necessario immettere un valore intero compreso tra 0 e 99'999." promptTitle="Superficie" prompt="Indicare la superficie dell'elemento costruttivo. Se il campo di imput è marcato in rosso, non deve inserire nessun valore (calcolato automaticamente)." sqref="I21" xr:uid="{28D500EF-589F-421D-A33A-EFE1F8FB5A41}">
      <formula1>0</formula1>
      <formula2>99999</formula2>
    </dataValidation>
    <dataValidation type="decimal" allowBlank="1" showInputMessage="1" showErrorMessage="1" errorTitle="Errore" error="È necessario immettere un valore intero compreso tra 0 e 99'999." promptTitle="Superficie" prompt="Indicare la superficie dell'elemento costruttivo. Se il campo di imput è marcato in rosso, non deve inserire nessun valore (calcolato automaticamente)." sqref="I22" xr:uid="{ADF3C902-BC45-4143-8433-17CB84A4068B}">
      <formula1>0</formula1>
      <formula2>99999</formula2>
    </dataValidation>
    <dataValidation type="decimal" allowBlank="1" showInputMessage="1" showErrorMessage="1" errorTitle="Errore" error="È necessario immettere un valore intero compreso tra 0 e 99'999." promptTitle="Superficie" prompt="Indicare la superficie dell'elemento costruttivo. Se il campo di imput è marcato in rosso, non deve inserire nessun valore (calcolato automaticamente)." sqref="I23" xr:uid="{AB7D9637-0D92-49DE-8ABB-365998CCD7D6}">
      <formula1>0</formula1>
      <formula2>99999</formula2>
    </dataValidation>
    <dataValidation type="decimal" allowBlank="1" showInputMessage="1" showErrorMessage="1" errorTitle="Errore" error="È necessario immettere un valore intero compreso tra 0 e 99'999." promptTitle="Superficie" prompt="Indicare la superficie dell'elemento costruttivo. Se il campo di imput è marcato in rosso, non deve inserire nessun valore (calcolato automaticamente)." sqref="I24" xr:uid="{3473A201-FC87-4057-B486-D1BC1601FDC4}">
      <formula1>0</formula1>
      <formula2>99999</formula2>
    </dataValidation>
    <dataValidation type="decimal" allowBlank="1" showInputMessage="1" showErrorMessage="1" errorTitle="Errore" error="È necessario immettere un valore intero compreso tra 0 e 99'999." promptTitle="Superficie" prompt="Indicare la superficie dell'elemento costruttivo. Se il campo di imput è marcato in rosso, non deve inserire nessun valore (calcolato automaticamente)." sqref="I25" xr:uid="{32B77CCF-1EEE-4F31-86D4-0EE0B47824E4}">
      <formula1>0</formula1>
      <formula2>99999</formula2>
    </dataValidation>
    <dataValidation type="decimal" allowBlank="1" showInputMessage="1" showErrorMessage="1" errorTitle="Errore" error="È necessario immettere un valore intero compreso tra 0 e 99'999." promptTitle="Superficie" prompt="Indicare la superficie dell'elemento costruttivo. Se il campo di imput è marcato in rosso, non deve inserire nessun valore (calcolato automaticamente)." sqref="I26" xr:uid="{98037E6F-2E3B-468F-BDC3-772D00D1D930}">
      <formula1>0</formula1>
      <formula2>99999</formula2>
    </dataValidation>
    <dataValidation type="decimal" allowBlank="1" showInputMessage="1" showErrorMessage="1" errorTitle="Errore" error="È necessario immettere un valore intero compreso tra 0 e 99'999." promptTitle="Superficie" prompt="Indicare la superficie dell'elemento costruttivo. Se il campo di imput è marcato in rosso, non deve inserire nessun valore (calcolato automaticamente)." sqref="I27" xr:uid="{B6BC780C-D4C4-426D-BC86-D0CDF0D6D3E6}">
      <formula1>0</formula1>
      <formula2>99999</formula2>
    </dataValidation>
    <dataValidation type="decimal" allowBlank="1" showInputMessage="1" showErrorMessage="1" errorTitle="Errore" error="È necessario immettere un valore intero compreso tra 0 e 99'999." promptTitle="Superficie" prompt="Indicare la superficie dell'elemento costruttivo. Se il campo di imput è marcato in rosso, non deve inserire nessun valore (calcolato automaticamente)." sqref="I28" xr:uid="{3AD43F1D-DEDE-4457-9EC9-005BC34393E0}">
      <formula1>0</formula1>
      <formula2>99999</formula2>
    </dataValidation>
    <dataValidation type="decimal" allowBlank="1" showInputMessage="1" showErrorMessage="1" errorTitle="Errore" error="È necessario immettere un valore intero compreso tra 0 e 99'999." promptTitle="Superficie" prompt="Indicare la superficie dell'elemento costruttivo. Se il campo di imput è marcato in rosso, non deve inserire nessun valore (calcolato automaticamente)." sqref="I29" xr:uid="{9F39ADA6-6920-4F7D-AA9E-BFC6D1B1B105}">
      <formula1>0</formula1>
      <formula2>99999</formula2>
    </dataValidation>
    <dataValidation type="decimal" allowBlank="1" showInputMessage="1" showErrorMessage="1" errorTitle="Errore" error="È necessario immettere un valore intero compreso tra 0 e 99'999." promptTitle="Superficie" prompt="Indicare la superficie dell'elemento costruttivo. Se il campo di imput è marcato in rosso, non deve inserire nessun valore (calcolato automaticamente)." sqref="I30" xr:uid="{958DCF93-D129-4D25-AC96-DA9DE664292A}">
      <formula1>0</formula1>
      <formula2>99999</formula2>
    </dataValidation>
    <dataValidation type="decimal" allowBlank="1" showInputMessage="1" showErrorMessage="1" errorTitle="Errore" error="È necessario immettere un valore intero compreso tra 0 e 99'999." promptTitle="Superficie" prompt="Indicare la superficie dell'elemento costruttivo. Se il campo di imput è marcato in rosso, non deve inserire nessun valore (calcolato automaticamente)." sqref="I31" xr:uid="{F59DE1D9-1C93-45AD-9DD9-3035DBFEF5E3}">
      <formula1>0</formula1>
      <formula2>99999</formula2>
    </dataValidation>
    <dataValidation type="decimal" allowBlank="1" showInputMessage="1" showErrorMessage="1" errorTitle="Errore" error="È necessario immettere un valore intero compreso tra 0 e 99'999." promptTitle="Superficie" prompt="Indicare la superficie dell'elemento costruttivo. Se il campo di imput è marcato in rosso, non deve inserire nessun valore (calcolato automaticamente)." sqref="I32" xr:uid="{34E04152-D802-40F6-B1EF-70054B31EE77}">
      <formula1>0</formula1>
      <formula2>99999</formula2>
    </dataValidation>
    <dataValidation type="decimal" allowBlank="1" showInputMessage="1" showErrorMessage="1" errorTitle="Errore" error="È necessario immettere un valore intero compreso tra 0 e 99'999." promptTitle="Superficie" prompt="Indicare la superficie dell'elemento costruttivo. Se il campo di imput è marcato in rosso, non deve inserire nessun valore (calcolato automaticamente)." sqref="I33" xr:uid="{0FB3D5D2-36CD-47B7-8D80-B00A79FFB500}">
      <formula1>0</formula1>
      <formula2>99999</formula2>
    </dataValidation>
    <dataValidation type="decimal" allowBlank="1" showInputMessage="1" showErrorMessage="1" errorTitle="Errore" error="È necessario immettere un valore intero compreso tra 0 e 99'999." promptTitle="Superficie" prompt="Indicare la superficie dell'elemento costruttivo. Se il campo di imput è marcato in rosso, non deve inserire nessun valore (calcolato automaticamente)." sqref="I34" xr:uid="{23134915-9AA5-479D-8E2E-5FEC7C26C913}">
      <formula1>0</formula1>
      <formula2>99999</formula2>
    </dataValidation>
    <dataValidation type="decimal" allowBlank="1" showInputMessage="1" showErrorMessage="1" errorTitle="Errore" error="È necessario immettere un valore intero compreso tra 0 e 99'999." promptTitle="Superficie" prompt="Indicare la superficie dell'elemento costruttivo. Se il campo di imput è marcato in rosso, non deve inserire nessun valore (calcolato automaticamente)." sqref="I35" xr:uid="{D0ADD9E3-66DC-4CAB-BA69-1F82FEB8C654}">
      <formula1>0</formula1>
      <formula2>99999</formula2>
    </dataValidation>
    <dataValidation type="decimal" allowBlank="1" showInputMessage="1" showErrorMessage="1" errorTitle="Errore" error="È necessario immettere un valore intero compreso tra 0 e 99'999." promptTitle="Superficie" prompt="Indicare la superficie dell'elemento costruttivo. Se il campo di imput è marcato in rosso, non deve inserire nessun valore (calcolato automaticamente)." sqref="I36" xr:uid="{9AEF219E-708E-4867-9830-D20C53171645}">
      <formula1>0</formula1>
      <formula2>99999</formula2>
    </dataValidation>
    <dataValidation type="decimal" allowBlank="1" showInputMessage="1" showErrorMessage="1" errorTitle="Errore" error="È necessario immettere un valore intero compreso tra 0 e 99'999." promptTitle="Superficie" prompt="Indicare la superficie dell'elemento costruttivo. Se il campo di imput è marcato in rosso, non deve inserire nessun valore (calcolato automaticamente)." sqref="I37" xr:uid="{E0DBC8AE-DB95-45A0-BA03-A9CE781A1048}">
      <formula1>0</formula1>
      <formula2>99999</formula2>
    </dataValidation>
    <dataValidation type="decimal" allowBlank="1" showInputMessage="1" showErrorMessage="1" errorTitle="Errore" error="È necessario immettere un valore intero compreso tra 0 e 99'999." promptTitle="Superficie" prompt="Indicare la superficie dell'elemento costruttivo. Se il campo di imput è marcato in rosso, non deve inserire nessun valore (calcolato automaticamente)." sqref="I38" xr:uid="{B1F3E88E-DAB4-4B86-AB30-E2B2BFDFC629}">
      <formula1>0</formula1>
      <formula2>99999</formula2>
    </dataValidation>
    <dataValidation type="decimal" allowBlank="1" showInputMessage="1" showErrorMessage="1" errorTitle="Errore" error="È necessario immettere un valore intero compreso tra 0 e 99'999." promptTitle="Superficie" prompt="Indicare la superficie dell'elemento costruttivo. Se il campo di imput è marcato in rosso, non deve inserire nessun valore (calcolato automaticamente)." sqref="I39" xr:uid="{4E7B24F6-0E69-400A-BD01-1459304BB75F}">
      <formula1>0</formula1>
      <formula2>99999</formula2>
    </dataValidation>
    <dataValidation type="decimal" allowBlank="1" showInputMessage="1" showErrorMessage="1" errorTitle="Errore" error="È necessario immettere un valore intero compreso tra 0 e 99'999." promptTitle="Superficie" prompt="Indicare la superficie dell'elemento costruttivo. Se il campo di imput è marcato in rosso, non deve inserire nessun valore (calcolato automaticamente)." sqref="I40" xr:uid="{A34C7283-2FD8-4B82-8FE7-224C1DEA46CD}">
      <formula1>0</formula1>
      <formula2>99999</formula2>
    </dataValidation>
    <dataValidation type="decimal" allowBlank="1" showInputMessage="1" showErrorMessage="1" errorTitle="Errore" error="È necessario immettere un valore intero compreso tra 0 e 99'999." promptTitle="Superficie" prompt="Indicare la superficie dell'elemento costruttivo. Se il campo di imput è marcato in rosso, non deve inserire nessun valore (calcolato automaticamente)." sqref="I41" xr:uid="{D9B5D463-7509-41A1-9FE8-0242C4F0F41D}">
      <formula1>0</formula1>
      <formula2>99999</formula2>
    </dataValidation>
    <dataValidation type="whole" errorStyle="information" showInputMessage="1" showErrorMessage="1" errorTitle="Nessun campo di ingresso" error="Questo campo viene utilizzato per visualizzare i link e non consente alcuna immissione." promptTitle="Link" prompt="Cliccare sul link per saperne di più sul componente selezionato." sqref="K18" xr:uid="{8769F6C5-A876-429E-B8EF-A2AF7B601F5A}">
      <formula1>9998</formula1>
      <formula2>9999</formula2>
    </dataValidation>
    <dataValidation type="whole" errorStyle="information" showInputMessage="1" showErrorMessage="1" errorTitle="Nessun campo di ingresso" error="Questo campo viene utilizzato per visualizzare i link e non consente alcuna immissione." promptTitle="Link" prompt="Cliccare sul link per saperne di più sul componente selezionato." sqref="K19" xr:uid="{E6CF2159-4A4F-4E10-A8F8-E39642B0A7EA}">
      <formula1>9998</formula1>
      <formula2>9999</formula2>
    </dataValidation>
    <dataValidation type="whole" errorStyle="information" showInputMessage="1" showErrorMessage="1" errorTitle="Nessun campo di ingresso" error="Questo campo viene utilizzato per visualizzare i link e non consente alcuna immissione." promptTitle="Link" prompt="Cliccare sul link per saperne di più sul componente selezionato." sqref="K20" xr:uid="{4BF2E6F6-DF72-493C-8562-2F73590A275E}">
      <formula1>9998</formula1>
      <formula2>9999</formula2>
    </dataValidation>
    <dataValidation type="whole" errorStyle="information" showInputMessage="1" showErrorMessage="1" errorTitle="Nessun campo di ingresso" error="Questo campo viene utilizzato per visualizzare i link e non consente alcuna immissione." promptTitle="Link" prompt="Cliccare sul link per saperne di più sul componente selezionato." sqref="K21" xr:uid="{FACB39F8-A4C7-4BE1-AE7D-97015863C5D8}">
      <formula1>9998</formula1>
      <formula2>9999</formula2>
    </dataValidation>
    <dataValidation type="whole" errorStyle="information" showInputMessage="1" showErrorMessage="1" errorTitle="Nessun campo di ingresso" error="Questo campo viene utilizzato per visualizzare i link e non consente alcuna immissione." promptTitle="Link" prompt="Cliccare sul link per saperne di più sul componente selezionato." sqref="K22" xr:uid="{538406EC-8C18-46E4-B2C5-9548910ACCEA}">
      <formula1>9998</formula1>
      <formula2>9999</formula2>
    </dataValidation>
    <dataValidation type="whole" errorStyle="information" showInputMessage="1" showErrorMessage="1" errorTitle="Nessun campo di ingresso" error="Questo campo viene utilizzato per visualizzare i link e non consente alcuna immissione." promptTitle="Link" prompt="Cliccare sul link per saperne di più sul componente selezionato." sqref="K23" xr:uid="{E91CB469-8751-45B4-AC9F-45B0C19D291A}">
      <formula1>9998</formula1>
      <formula2>9999</formula2>
    </dataValidation>
    <dataValidation type="whole" errorStyle="information" showInputMessage="1" showErrorMessage="1" errorTitle="Nessun campo di ingresso" error="Questo campo viene utilizzato per visualizzare i link e non consente alcuna immissione." promptTitle="Link" prompt="Cliccare sul link per saperne di più sul componente selezionato." sqref="K24" xr:uid="{4CC83950-F970-4543-AF0B-822104456845}">
      <formula1>9998</formula1>
      <formula2>9999</formula2>
    </dataValidation>
    <dataValidation type="whole" errorStyle="information" showInputMessage="1" showErrorMessage="1" errorTitle="Nessun campo di ingresso" error="Questo campo viene utilizzato per visualizzare i link e non consente alcuna immissione." promptTitle="Link" prompt="Cliccare sul link per saperne di più sul componente selezionato." sqref="K25" xr:uid="{BD4D8D7D-D86B-4C10-8335-6B2EAF023042}">
      <formula1>9998</formula1>
      <formula2>9999</formula2>
    </dataValidation>
    <dataValidation type="whole" errorStyle="information" showInputMessage="1" showErrorMessage="1" errorTitle="Nessun campo di ingresso" error="Questo campo viene utilizzato per visualizzare i link e non consente alcuna immissione." promptTitle="Link" prompt="Cliccare sul link per saperne di più sul componente selezionato." sqref="K26" xr:uid="{764D5876-21D5-4A13-A99B-796CF92B1C90}">
      <formula1>9998</formula1>
      <formula2>9999</formula2>
    </dataValidation>
    <dataValidation type="whole" errorStyle="information" showInputMessage="1" showErrorMessage="1" errorTitle="Nessun campo di ingresso" error="Questo campo viene utilizzato per visualizzare i link e non consente alcuna immissione." promptTitle="Link" prompt="Cliccare sul link per saperne di più sul componente selezionato." sqref="K27" xr:uid="{C860A298-1319-4B24-95DD-65CCBFC7D628}">
      <formula1>9998</formula1>
      <formula2>9999</formula2>
    </dataValidation>
    <dataValidation type="whole" errorStyle="information" showInputMessage="1" showErrorMessage="1" errorTitle="Nessun campo di ingresso" error="Questo campo viene utilizzato per visualizzare i link e non consente alcuna immissione." promptTitle="Link" prompt="Cliccare sul link per saperne di più sul componente selezionato." sqref="K28" xr:uid="{DA388DFB-20A6-4259-92EC-917F55302D49}">
      <formula1>9998</formula1>
      <formula2>9999</formula2>
    </dataValidation>
    <dataValidation type="whole" errorStyle="information" showInputMessage="1" showErrorMessage="1" errorTitle="Nessun campo di ingresso" error="Questo campo viene utilizzato per visualizzare i link e non consente alcuna immissione." promptTitle="Link" prompt="Cliccare sul link per saperne di più sul componente selezionato." sqref="K29" xr:uid="{FA3B980C-685C-4468-B85A-F7E553A09313}">
      <formula1>9998</formula1>
      <formula2>9999</formula2>
    </dataValidation>
    <dataValidation type="whole" errorStyle="information" showInputMessage="1" showErrorMessage="1" errorTitle="Nessun campo di ingresso" error="Questo campo viene utilizzato per visualizzare i link e non consente alcuna immissione." promptTitle="Link" prompt="Cliccare sul link per saperne di più sul componente selezionato." sqref="K30" xr:uid="{CE8EE35F-500A-4D13-A1E2-8D87DDD929DE}">
      <formula1>9998</formula1>
      <formula2>9999</formula2>
    </dataValidation>
    <dataValidation type="whole" errorStyle="information" showInputMessage="1" showErrorMessage="1" errorTitle="Nessun campo di ingresso" error="Questo campo viene utilizzato per visualizzare i link e non consente alcuna immissione." promptTitle="Link" prompt="Cliccare sul link per saperne di più sul componente selezionato." sqref="K31" xr:uid="{F09D2D71-BE19-443A-8454-8FA710038556}">
      <formula1>9998</formula1>
      <formula2>9999</formula2>
    </dataValidation>
    <dataValidation type="whole" errorStyle="information" showInputMessage="1" showErrorMessage="1" errorTitle="Nessun campo di ingresso" error="Questo campo viene utilizzato per visualizzare i link e non consente alcuna immissione." promptTitle="Link" prompt="Cliccare sul link per saperne di più sul componente selezionato." sqref="K32" xr:uid="{0CC05D41-FED0-4609-B773-0466C82C5C0B}">
      <formula1>9998</formula1>
      <formula2>9999</formula2>
    </dataValidation>
    <dataValidation type="whole" errorStyle="information" showInputMessage="1" showErrorMessage="1" errorTitle="Nessun campo di ingresso" error="Questo campo viene utilizzato per visualizzare i link e non consente alcuna immissione." promptTitle="Link" prompt="Cliccare sul link per saperne di più sul componente selezionato." sqref="K33" xr:uid="{CF306B0E-C0D8-4D13-AB04-B95932E2FFF6}">
      <formula1>9998</formula1>
      <formula2>9999</formula2>
    </dataValidation>
    <dataValidation type="whole" errorStyle="information" showInputMessage="1" showErrorMessage="1" errorTitle="Nessun campo di ingresso" error="Questo campo viene utilizzato per visualizzare i link e non consente alcuna immissione." promptTitle="Link" prompt="Cliccare sul link per saperne di più sul componente selezionato." sqref="K34" xr:uid="{9DF437B2-D88F-4D70-8D02-246610D20ED0}">
      <formula1>9998</formula1>
      <formula2>9999</formula2>
    </dataValidation>
    <dataValidation type="whole" errorStyle="information" showInputMessage="1" showErrorMessage="1" errorTitle="Nessun campo di ingresso" error="Questo campo viene utilizzato per visualizzare i link e non consente alcuna immissione." promptTitle="Link" prompt="Cliccare sul link per saperne di più sul componente selezionato." sqref="K35" xr:uid="{D64A5385-94B6-4C8C-832A-85E846416417}">
      <formula1>9998</formula1>
      <formula2>9999</formula2>
    </dataValidation>
    <dataValidation type="whole" errorStyle="information" showInputMessage="1" showErrorMessage="1" errorTitle="Nessun campo di ingresso" error="Questo campo viene utilizzato per visualizzare i link e non consente alcuna immissione." promptTitle="Link" prompt="Cliccare sul link per saperne di più sul componente selezionato." sqref="K36" xr:uid="{FFA8A254-08A9-4E19-AC80-CAEADFF5D160}">
      <formula1>9998</formula1>
      <formula2>9999</formula2>
    </dataValidation>
    <dataValidation type="whole" errorStyle="information" showInputMessage="1" showErrorMessage="1" errorTitle="Nessun campo di ingresso" error="Questo campo viene utilizzato per visualizzare i link e non consente alcuna immissione." promptTitle="Link" prompt="Cliccare sul link per saperne di più sul componente selezionato." sqref="K37" xr:uid="{E320CED1-6232-44CE-89A1-BE43BDA7886C}">
      <formula1>9998</formula1>
      <formula2>9999</formula2>
    </dataValidation>
    <dataValidation type="whole" errorStyle="information" showInputMessage="1" showErrorMessage="1" errorTitle="Nessun campo di ingresso" error="Questo campo viene utilizzato per visualizzare i link e non consente alcuna immissione." promptTitle="Link" prompt="Cliccare sul link per saperne di più sul componente selezionato." sqref="K38" xr:uid="{C806B571-49E2-4D94-BA38-C3CE1D7814D4}">
      <formula1>9998</formula1>
      <formula2>9999</formula2>
    </dataValidation>
    <dataValidation type="whole" errorStyle="information" showInputMessage="1" showErrorMessage="1" errorTitle="Nessun campo di ingresso" error="Questo campo viene utilizzato per visualizzare i link e non consente alcuna immissione." promptTitle="Link" prompt="Cliccare sul link per saperne di più sul componente selezionato." sqref="K39" xr:uid="{67C57BF1-4306-42D5-AE0E-68150067B727}">
      <formula1>9998</formula1>
      <formula2>9999</formula2>
    </dataValidation>
    <dataValidation type="whole" errorStyle="information" showInputMessage="1" showErrorMessage="1" errorTitle="Nessun campo di ingresso" error="Questo campo viene utilizzato per visualizzare i link e non consente alcuna immissione." promptTitle="Link" prompt="Cliccare sul link per saperne di più sul componente selezionato." sqref="K40" xr:uid="{5C4BADFC-354A-49B2-8D8D-7B04D1315557}">
      <formula1>9998</formula1>
      <formula2>9999</formula2>
    </dataValidation>
    <dataValidation type="whole" errorStyle="information" showInputMessage="1" showErrorMessage="1" errorTitle="Nessun campo di ingresso" error="Questo campo viene utilizzato per visualizzare i link e non consente alcuna immissione." promptTitle="Link" prompt="Cliccare sul link per saperne di più sul componente selezionato." sqref="K41" xr:uid="{E2E15060-613B-4666-9164-E10DE64A0607}">
      <formula1>9998</formula1>
      <formula2>9999</formula2>
    </dataValidation>
  </dataValidations>
  <printOptions horizontalCentered="1"/>
  <pageMargins left="0.47244094488188981" right="0.47244094488188981" top="0.43307086614173229" bottom="0.47244094488188981" header="0.47244094488188981" footer="0.27559055118110237"/>
  <pageSetup paperSize="9" scale="64" orientation="portrait" cellComments="atEnd" r:id="rId1"/>
  <headerFooter alignWithMargins="0">
    <oddHeader>&amp;R&amp;G</oddHeader>
    <oddFooter>&amp;L&amp;10&amp;F&amp;R&amp;10&amp;P von &amp;N</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2" id="{34B99601-9F87-46BB-9C2D-71580B28B9EC}">
            <xm:f>$K51=Texte!$B$365</xm:f>
            <x14:dxf>
              <font>
                <color theme="1"/>
              </font>
              <fill>
                <patternFill>
                  <bgColor theme="5" tint="0.59996337778862885"/>
                </patternFill>
              </fill>
            </x14:dxf>
          </x14:cfRule>
          <x14:cfRule type="expression" priority="13" id="{A90B1C57-F0B6-49F0-800C-D56AD813D826}">
            <xm:f>$K51=Texte!$B$363</xm:f>
            <x14:dxf>
              <font>
                <color theme="1"/>
              </font>
              <fill>
                <patternFill>
                  <bgColor theme="6" tint="0.39994506668294322"/>
                </patternFill>
              </fill>
            </x14:dxf>
          </x14:cfRule>
          <x14:cfRule type="expression" priority="14" id="{DB50A227-8C13-4D49-A8FE-EE5C37A21C88}">
            <xm:f>$K51=Texte!$B$364</xm:f>
            <x14:dxf>
              <font>
                <color theme="1"/>
              </font>
              <fill>
                <patternFill>
                  <bgColor rgb="FFEBE2AD"/>
                </patternFill>
              </fill>
            </x14:dxf>
          </x14:cfRule>
          <xm:sqref>A51:M52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rgb="FFECD69E"/>
    <pageSetUpPr fitToPage="1"/>
  </sheetPr>
  <dimension ref="A1:X82"/>
  <sheetViews>
    <sheetView showGridLines="0" zoomScaleNormal="100" workbookViewId="0">
      <selection activeCell="E5" sqref="E5"/>
    </sheetView>
  </sheetViews>
  <sheetFormatPr baseColWidth="10" defaultRowHeight="15"/>
  <cols>
    <col min="1" max="1" width="10.33203125" style="165" customWidth="1"/>
    <col min="2" max="2" width="25.77734375" style="165" customWidth="1"/>
    <col min="3" max="3" width="18.109375" style="165" customWidth="1"/>
    <col min="4" max="4" width="18.88671875" style="29" customWidth="1"/>
    <col min="5" max="5" width="9" style="29" customWidth="1"/>
    <col min="6" max="6" width="12.33203125" style="29" hidden="1" customWidth="1"/>
    <col min="7" max="7" width="16.109375" style="145" customWidth="1"/>
    <col min="8" max="8" width="7.33203125" style="29" customWidth="1"/>
    <col min="9" max="13" width="7.33203125" style="28" customWidth="1"/>
    <col min="14" max="24" width="11.5546875" style="28"/>
    <col min="25" max="16384" width="11.5546875" style="29"/>
  </cols>
  <sheetData>
    <row r="1" spans="1:24" ht="28.5" customHeight="1">
      <c r="A1" s="139" t="str">
        <f>IF(Projektbez="","",Projektbez&amp;" - ")&amp;VLOOKUP(ADDRESS(ROW(),COLUMN(),4),MatrixTexteT4,2,FALSE)</f>
        <v>Questionario ammodernamento</v>
      </c>
      <c r="B1" s="140"/>
      <c r="C1" s="140"/>
      <c r="D1" s="141"/>
      <c r="E1" s="25"/>
      <c r="F1" s="25"/>
      <c r="G1" s="142"/>
      <c r="H1" s="143"/>
      <c r="I1" s="25"/>
      <c r="J1" s="25"/>
      <c r="K1" s="25"/>
      <c r="L1" s="25"/>
      <c r="M1" s="25"/>
    </row>
    <row r="2" spans="1:24" ht="9" customHeight="1">
      <c r="A2" s="144"/>
      <c r="B2" s="144"/>
      <c r="C2" s="144"/>
      <c r="D2" s="145"/>
      <c r="E2" s="145"/>
      <c r="F2" s="145"/>
    </row>
    <row r="3" spans="1:24" ht="18.75" customHeight="1">
      <c r="A3" s="106" t="str">
        <f>VLOOKUP(ADDRESS(ROW(),COLUMN(),4),MatrixTexteT4,2,FALSE)</f>
        <v>Domande</v>
      </c>
      <c r="B3" s="146"/>
      <c r="C3" s="146"/>
      <c r="D3" s="147"/>
      <c r="E3" s="148" t="str">
        <f>VLOOKUP(ADDRESS(ROW(),COLUMN(),4),MatrixTexteT4,2,FALSE)</f>
        <v>Risposte</v>
      </c>
      <c r="F3" s="34"/>
      <c r="G3" s="34"/>
      <c r="H3" s="34"/>
      <c r="I3" s="34"/>
      <c r="J3" s="34"/>
      <c r="K3" s="34"/>
      <c r="W3" s="29"/>
      <c r="X3" s="29"/>
    </row>
    <row r="4" spans="1:24" s="36" customFormat="1" ht="3.75" customHeight="1">
      <c r="A4" s="52"/>
      <c r="B4" s="52"/>
      <c r="C4" s="52"/>
      <c r="D4" s="52"/>
      <c r="E4" s="52"/>
      <c r="F4" s="54"/>
      <c r="G4" s="7"/>
      <c r="H4" s="7"/>
      <c r="I4" s="7"/>
      <c r="J4" s="7"/>
      <c r="K4" s="7"/>
      <c r="L4" s="7"/>
      <c r="M4" s="7"/>
      <c r="N4" s="7"/>
      <c r="O4" s="7"/>
      <c r="P4" s="7"/>
      <c r="Q4" s="7"/>
      <c r="R4" s="7"/>
      <c r="S4" s="7"/>
      <c r="T4" s="7"/>
      <c r="U4" s="7"/>
      <c r="V4" s="7"/>
    </row>
    <row r="5" spans="1:24" s="36" customFormat="1" ht="32.25" customHeight="1">
      <c r="A5" s="149" t="str">
        <f>VLOOKUP(ADDRESS(ROW(),COLUMN(),4),MatrixTexteT4,2,FALSE)</f>
        <v>Grandezza oggetto</v>
      </c>
      <c r="B5" s="296" t="str">
        <f>VLOOKUP(ADDRESS(ROW(),COLUMN(),4),MatrixTexteT4,2,FALSE)</f>
        <v>L'oggetto è un edificio con una superficie di riferimento energetico inferiore a 5'000 m2 oppure è un altro tipo di edificio con una superficie inferiore a 2'000 m2.</v>
      </c>
      <c r="C5" s="296"/>
      <c r="D5" s="297"/>
      <c r="E5" s="17"/>
      <c r="F5" s="150"/>
      <c r="G5" s="7"/>
      <c r="H5" s="7"/>
      <c r="I5" s="7"/>
      <c r="J5" s="7"/>
      <c r="K5" s="7"/>
      <c r="L5" s="7"/>
      <c r="M5" s="7"/>
      <c r="N5" s="7"/>
      <c r="O5" s="7"/>
      <c r="P5" s="7"/>
      <c r="Q5" s="7"/>
      <c r="R5" s="7"/>
      <c r="S5" s="7"/>
      <c r="T5" s="7"/>
      <c r="U5" s="7"/>
      <c r="V5" s="7"/>
    </row>
    <row r="6" spans="1:24" s="36" customFormat="1" ht="3.75" customHeight="1">
      <c r="A6" s="79"/>
      <c r="B6" s="262"/>
      <c r="C6" s="262"/>
      <c r="D6" s="299"/>
      <c r="E6" s="18"/>
      <c r="F6" s="150"/>
      <c r="G6" s="7"/>
      <c r="H6" s="7"/>
      <c r="I6" s="7"/>
      <c r="J6" s="7"/>
      <c r="K6" s="7"/>
      <c r="L6" s="7"/>
      <c r="M6" s="7"/>
      <c r="N6" s="7"/>
      <c r="O6" s="7"/>
      <c r="P6" s="7"/>
      <c r="Q6" s="7"/>
      <c r="R6" s="7"/>
      <c r="S6" s="7"/>
      <c r="T6" s="7"/>
      <c r="U6" s="7"/>
      <c r="V6" s="7"/>
    </row>
    <row r="7" spans="1:24" s="36" customFormat="1" ht="36" customHeight="1">
      <c r="A7" s="149" t="str">
        <f>VLOOKUP(ADDRESS(ROW(),COLUMN(),4),MatrixTexteT4,2,FALSE)</f>
        <v>Compattezza</v>
      </c>
      <c r="B7" s="296" t="str">
        <f>VLOOKUP(ADDRESS(ROW(),COLUMN(),4),MatrixTexteT4,2,FALSE)</f>
        <v>La compattezza dell'edificio (rapporto tra involucro termico Ath e la superficie di riferimento energetico AE) è rimasto invaraito o è migliorato</v>
      </c>
      <c r="C7" s="296"/>
      <c r="D7" s="297"/>
      <c r="E7" s="17"/>
      <c r="F7" s="150"/>
      <c r="G7" s="7"/>
      <c r="H7" s="7"/>
      <c r="I7" s="7"/>
      <c r="L7" s="7"/>
      <c r="M7" s="7"/>
      <c r="N7" s="7"/>
      <c r="O7" s="7"/>
      <c r="P7" s="7"/>
      <c r="Q7" s="7"/>
      <c r="R7" s="7"/>
      <c r="S7" s="7"/>
      <c r="T7" s="7"/>
      <c r="U7" s="7"/>
      <c r="V7" s="7"/>
    </row>
    <row r="8" spans="1:24" s="36" customFormat="1" ht="3.75" customHeight="1">
      <c r="A8" s="151"/>
      <c r="B8" s="295"/>
      <c r="C8" s="295"/>
      <c r="D8" s="300"/>
      <c r="E8" s="18"/>
      <c r="F8" s="150"/>
      <c r="G8" s="7"/>
      <c r="H8" s="7"/>
      <c r="I8" s="7"/>
      <c r="L8" s="7"/>
      <c r="M8" s="7"/>
      <c r="N8" s="7"/>
      <c r="O8" s="7"/>
      <c r="P8" s="7"/>
      <c r="Q8" s="7"/>
      <c r="R8" s="7"/>
      <c r="S8" s="7"/>
      <c r="T8" s="7"/>
      <c r="U8" s="7"/>
      <c r="V8" s="7"/>
    </row>
    <row r="9" spans="1:24" s="36" customFormat="1" ht="30.75" customHeight="1">
      <c r="A9" s="149" t="str">
        <f>VLOOKUP(ADDRESS(ROW(),COLUMN(),4),MatrixTexteT4,2,FALSE)</f>
        <v>Approfondi-mento</v>
      </c>
      <c r="B9" s="296" t="str">
        <f>VLOOKUP(ADDRESS(ROW(),COLUMN(),4),MatrixTexteT4,2,FALSE)</f>
        <v>La maggior parte dell'elemento costruttivo viene mantenuta (nessun carotaggio, demolizione fino al grezzo)</v>
      </c>
      <c r="C9" s="296"/>
      <c r="D9" s="297"/>
      <c r="E9" s="17"/>
      <c r="F9" s="150"/>
      <c r="G9" s="7"/>
      <c r="H9" s="7"/>
      <c r="I9" s="7"/>
      <c r="L9" s="7"/>
      <c r="M9" s="7"/>
      <c r="N9" s="7"/>
      <c r="O9" s="7"/>
      <c r="P9" s="7"/>
      <c r="Q9" s="7"/>
      <c r="R9" s="7"/>
      <c r="S9" s="7"/>
      <c r="T9" s="7"/>
      <c r="U9" s="7"/>
      <c r="V9" s="7"/>
    </row>
    <row r="10" spans="1:24" s="36" customFormat="1" ht="3.75" customHeight="1">
      <c r="A10" s="151"/>
      <c r="B10" s="295"/>
      <c r="C10" s="295"/>
      <c r="D10" s="300"/>
      <c r="E10" s="18"/>
      <c r="F10" s="150"/>
      <c r="G10" s="7"/>
      <c r="H10" s="7"/>
      <c r="I10" s="7"/>
      <c r="L10" s="7"/>
      <c r="M10" s="7"/>
      <c r="N10" s="7"/>
      <c r="O10" s="7"/>
      <c r="P10" s="7"/>
      <c r="Q10" s="7"/>
      <c r="R10" s="7"/>
      <c r="S10" s="7"/>
      <c r="T10" s="7"/>
      <c r="U10" s="7"/>
      <c r="V10" s="7"/>
    </row>
    <row r="11" spans="1:24" s="36" customFormat="1" ht="124.5" customHeight="1">
      <c r="A11" s="149" t="str">
        <f>VLOOKUP(ADDRESS(ROW(),COLUMN(),4),MatrixTexteT4,2,FALSE)</f>
        <v>Costruzione pareti esterne fuori terra e tetto</v>
      </c>
      <c r="B11" s="296" t="str">
        <f>VLOOKUP(ADDRESS(ROW(),COLUMN(),4),MatrixTexteT4,2,FALSE)</f>
        <v>Le pareti esterne fuori terra e il tetto non vengono ammodernate, rispettivamente rinnovate con lo stesso tipo di materializzazione (ad esclusione naturalmente degli strati isolanti aggiuntivi).
Oppure
Le pareti esterne sostituite o nuove sono costituite da una delle seguenti composizioni:
- costruzione massiccia monostrato con rivestimento leggero (legno, derivati dal legno, fibrocemento, elementi in calcestruzzo spess. &lt; 8 cm, pannelli FV ecc.).
- costruzione intelaiata in legno con isolamento a cappotto o rivestimento leggero
- costruzione massiccia monostrato con cappotto</v>
      </c>
      <c r="C11" s="296"/>
      <c r="D11" s="297"/>
      <c r="E11" s="17"/>
      <c r="F11" s="150"/>
      <c r="G11" s="7"/>
      <c r="H11" s="7"/>
      <c r="I11" s="7"/>
      <c r="L11" s="7"/>
      <c r="M11" s="7"/>
      <c r="N11" s="7"/>
      <c r="O11" s="7"/>
      <c r="P11" s="7"/>
      <c r="Q11" s="7"/>
      <c r="R11" s="7"/>
      <c r="S11" s="7"/>
      <c r="T11" s="7"/>
      <c r="U11" s="7"/>
      <c r="V11" s="7"/>
    </row>
    <row r="12" spans="1:24" s="36" customFormat="1" ht="3.75" customHeight="1">
      <c r="A12" s="151"/>
      <c r="B12" s="295"/>
      <c r="C12" s="295"/>
      <c r="D12" s="300"/>
      <c r="E12" s="18"/>
      <c r="F12" s="150"/>
      <c r="G12" s="7"/>
      <c r="H12" s="38"/>
      <c r="I12" s="7"/>
      <c r="J12" s="38"/>
      <c r="K12" s="7"/>
      <c r="L12" s="7"/>
      <c r="M12" s="7"/>
      <c r="N12" s="7"/>
      <c r="O12" s="7"/>
      <c r="P12" s="7"/>
      <c r="Q12" s="7"/>
      <c r="R12" s="7"/>
      <c r="S12" s="7"/>
      <c r="T12" s="7"/>
      <c r="U12" s="7"/>
      <c r="V12" s="7"/>
    </row>
    <row r="13" spans="1:24" s="36" customFormat="1" ht="71.25" customHeight="1">
      <c r="A13" s="149" t="str">
        <f>VLOOKUP(ADDRESS(ROW(),COLUMN(),4),MatrixTexteT4,2,FALSE)</f>
        <v>Ampliamenti</v>
      </c>
      <c r="B13" s="296" t="str">
        <f>VLOOKUP(ADDRESS(ROW(),COLUMN(),4),MatrixTexteT4,2,FALSE)</f>
        <v xml:space="preserve">Il volume dell'edificio non viene aumentato (eccetto gli aumenti dovuti agli strati aggiuntivi di isolamento termico)
oppure
La superficie del piano del volume aggiunto corrisponde al massimo al 20% della superficie del piano esistente. </v>
      </c>
      <c r="C13" s="296"/>
      <c r="D13" s="297"/>
      <c r="E13" s="17"/>
      <c r="F13" s="150"/>
      <c r="G13" s="152"/>
      <c r="H13" s="153"/>
      <c r="I13" s="7"/>
      <c r="J13" s="42"/>
      <c r="K13" s="7"/>
      <c r="L13" s="7"/>
      <c r="M13" s="7"/>
      <c r="N13" s="7"/>
      <c r="O13" s="7"/>
      <c r="P13" s="7"/>
      <c r="Q13" s="7"/>
      <c r="R13" s="7"/>
      <c r="S13" s="7"/>
      <c r="T13" s="7"/>
      <c r="U13" s="7"/>
      <c r="V13" s="7"/>
    </row>
    <row r="14" spans="1:24" s="36" customFormat="1" ht="3.75" customHeight="1">
      <c r="A14" s="151"/>
      <c r="B14" s="295"/>
      <c r="C14" s="295"/>
      <c r="D14" s="300"/>
      <c r="E14" s="18"/>
      <c r="F14" s="150"/>
      <c r="G14" s="7"/>
      <c r="H14" s="154"/>
      <c r="I14" s="7"/>
      <c r="J14" s="44"/>
      <c r="K14" s="7"/>
      <c r="L14" s="7"/>
      <c r="M14" s="7"/>
      <c r="N14" s="7"/>
      <c r="O14" s="7"/>
      <c r="P14" s="7"/>
      <c r="Q14" s="7"/>
      <c r="R14" s="7"/>
      <c r="S14" s="7"/>
      <c r="T14" s="7"/>
      <c r="U14" s="7"/>
      <c r="V14" s="7"/>
    </row>
    <row r="15" spans="1:24" s="36" customFormat="1" ht="48.75" customHeight="1">
      <c r="A15" s="149" t="str">
        <f>VLOOKUP(ADDRESS(ROW(),COLUMN(),4),MatrixTexteT4,2,FALSE)</f>
        <v>Finestre</v>
      </c>
      <c r="B15" s="296" t="str">
        <f>VLOOKUP(ADDRESS(ROW(),COLUMN(),4),MatrixTexteT4,2,FALSE)</f>
        <v>La superfice delle finestre della facciata e del tetto vengono aumentate del 20% al massimo
e
i telai delle finestre sostituite o nuove sono in legno o legno-metallo.</v>
      </c>
      <c r="C15" s="296"/>
      <c r="D15" s="297"/>
      <c r="E15" s="17"/>
      <c r="F15" s="150"/>
      <c r="G15" s="7"/>
      <c r="H15" s="155"/>
      <c r="I15" s="7"/>
      <c r="J15" s="7"/>
      <c r="K15" s="7"/>
      <c r="L15" s="7"/>
      <c r="M15" s="7"/>
      <c r="N15" s="7"/>
      <c r="O15" s="7"/>
      <c r="P15" s="7"/>
      <c r="Q15" s="7"/>
      <c r="R15" s="7"/>
      <c r="S15" s="7"/>
      <c r="T15" s="7"/>
      <c r="U15" s="7"/>
      <c r="V15" s="7"/>
    </row>
    <row r="16" spans="1:24" s="36" customFormat="1" ht="3.75" customHeight="1">
      <c r="A16" s="151"/>
      <c r="B16" s="295"/>
      <c r="C16" s="295"/>
      <c r="D16" s="295"/>
      <c r="E16" s="19"/>
      <c r="F16" s="150"/>
      <c r="G16" s="7"/>
      <c r="H16" s="155"/>
      <c r="I16" s="7"/>
      <c r="J16" s="7"/>
      <c r="K16" s="7"/>
      <c r="L16" s="7"/>
      <c r="M16" s="7"/>
      <c r="N16" s="7"/>
      <c r="O16" s="7"/>
      <c r="P16" s="7"/>
      <c r="Q16" s="7"/>
      <c r="R16" s="7"/>
      <c r="S16" s="7"/>
      <c r="T16" s="7"/>
      <c r="U16" s="7"/>
      <c r="V16" s="7"/>
    </row>
    <row r="17" spans="1:24" s="36" customFormat="1" ht="45.75" customHeight="1">
      <c r="A17" s="149" t="str">
        <f>VLOOKUP(ADDRESS(ROW(),COLUMN(),4),MatrixTexteT4,2,FALSE)</f>
        <v>Adattamento della struttura portante</v>
      </c>
      <c r="B17" s="296" t="str">
        <f>VLOOKUP(ADDRESS(ROW(),COLUMN(),4),MatrixTexteT4,2,FALSE)</f>
        <v>Gli elementi costruttivi portanti non vengono modificati (non vengono considerati singoli passaggi nelle pareti portanti con una superficie fino a 3 m2 come pure rinforzi antisismici).</v>
      </c>
      <c r="C17" s="296"/>
      <c r="D17" s="297"/>
      <c r="E17" s="17"/>
      <c r="F17" s="150"/>
      <c r="G17" s="7"/>
      <c r="H17" s="155"/>
      <c r="I17" s="7"/>
      <c r="J17" s="7"/>
      <c r="K17" s="7"/>
      <c r="L17" s="7"/>
      <c r="M17" s="7"/>
      <c r="N17" s="7"/>
      <c r="O17" s="7"/>
      <c r="P17" s="7"/>
      <c r="Q17" s="7"/>
      <c r="R17" s="7"/>
      <c r="S17" s="7"/>
      <c r="T17" s="7"/>
      <c r="U17" s="7"/>
      <c r="V17" s="7"/>
    </row>
    <row r="18" spans="1:24" s="36" customFormat="1" ht="3.75" customHeight="1">
      <c r="A18" s="157"/>
      <c r="B18" s="157"/>
      <c r="C18" s="157"/>
      <c r="D18" s="158"/>
      <c r="E18" s="156"/>
      <c r="F18" s="150"/>
      <c r="G18" s="7"/>
      <c r="H18" s="155"/>
      <c r="I18" s="7"/>
      <c r="J18" s="7"/>
      <c r="K18" s="7"/>
      <c r="L18" s="7"/>
      <c r="M18" s="7"/>
      <c r="N18" s="7"/>
      <c r="O18" s="7"/>
      <c r="P18" s="7"/>
      <c r="Q18" s="7"/>
      <c r="R18" s="7"/>
      <c r="S18" s="7"/>
      <c r="T18" s="7"/>
      <c r="U18" s="7"/>
      <c r="V18" s="7"/>
    </row>
    <row r="19" spans="1:24" s="36" customFormat="1" ht="18.75" customHeight="1">
      <c r="A19" s="106" t="str">
        <f>VLOOKUP(ADDRESS(ROW(),COLUMN(),4),MatrixTexteT4,2,FALSE)</f>
        <v>Risultato</v>
      </c>
      <c r="B19" s="159"/>
      <c r="C19" s="159"/>
      <c r="D19" s="160" t="str">
        <f>IF(COUNTA(A5:A17)=COUNTA(E5:E17),Ja,Nein)</f>
        <v>No</v>
      </c>
      <c r="E19" s="160" t="str">
        <f>IF(AND(E5=Ja,E7=Ja,E9=Ja,E11=Ja,E13=Ja,E15=Ja, E17=Ja),Ja,Nein)</f>
        <v>No</v>
      </c>
      <c r="F19" s="161"/>
      <c r="G19" s="7"/>
      <c r="H19" s="7"/>
      <c r="I19" s="7"/>
      <c r="J19" s="7"/>
      <c r="K19" s="7"/>
      <c r="L19" s="7"/>
      <c r="M19" s="7"/>
      <c r="N19" s="7"/>
      <c r="O19" s="7"/>
      <c r="P19" s="7"/>
      <c r="Q19" s="7"/>
      <c r="R19" s="7"/>
      <c r="S19" s="7"/>
      <c r="T19" s="7"/>
      <c r="U19" s="7"/>
      <c r="V19" s="7"/>
    </row>
    <row r="20" spans="1:24" s="36" customFormat="1" ht="5.25" customHeight="1">
      <c r="A20" s="52"/>
      <c r="B20" s="52"/>
      <c r="C20" s="52"/>
      <c r="D20" s="52"/>
      <c r="E20" s="20"/>
      <c r="F20" s="54"/>
      <c r="G20" s="7"/>
      <c r="H20" s="7"/>
      <c r="I20" s="7"/>
      <c r="J20" s="7"/>
      <c r="K20" s="7"/>
      <c r="L20" s="7"/>
      <c r="M20" s="7"/>
      <c r="N20" s="7"/>
      <c r="O20" s="7"/>
      <c r="P20" s="7"/>
      <c r="Q20" s="7"/>
      <c r="R20" s="7"/>
      <c r="S20" s="7"/>
      <c r="T20" s="7"/>
      <c r="U20" s="7"/>
      <c r="V20" s="7"/>
    </row>
    <row r="21" spans="1:24" s="36" customFormat="1" ht="51.75" customHeight="1">
      <c r="A21" s="298" t="str">
        <f>IF(Typ=NewConstruction,Texte!$B$106,IF(QuestComplete=Nein,Texte!$B$109,IF(ResQuest=Ja,Texte!$B$107,Texte!$B$108)))</f>
        <v>QUESTO FOGLIO DEVE ESSERE COMPLETATO UNICAMENTE IN CASO DI AMMODERNAMENTO</v>
      </c>
      <c r="B21" s="298"/>
      <c r="C21" s="298"/>
      <c r="D21" s="298"/>
      <c r="E21" s="298"/>
      <c r="F21" s="162"/>
      <c r="G21" s="7"/>
      <c r="H21" s="7"/>
      <c r="I21" s="7"/>
      <c r="J21" s="7"/>
      <c r="K21" s="7"/>
      <c r="L21" s="7"/>
      <c r="T21" s="7"/>
      <c r="U21" s="7"/>
      <c r="V21" s="7"/>
    </row>
    <row r="22" spans="1:24" s="36" customFormat="1" ht="10.5" customHeight="1">
      <c r="A22" s="52"/>
      <c r="B22" s="52"/>
      <c r="C22" s="52"/>
      <c r="D22" s="52"/>
      <c r="E22" s="20"/>
      <c r="F22" s="54"/>
      <c r="G22" s="7"/>
      <c r="H22" s="7"/>
      <c r="I22" s="7"/>
      <c r="J22" s="7"/>
      <c r="K22" s="7"/>
      <c r="L22" s="7"/>
      <c r="M22" s="7"/>
      <c r="N22" s="7"/>
      <c r="O22" s="7"/>
      <c r="P22" s="7"/>
      <c r="Q22" s="7"/>
      <c r="R22" s="7"/>
      <c r="S22" s="7"/>
      <c r="T22" s="7"/>
      <c r="U22" s="7"/>
      <c r="V22" s="7"/>
    </row>
    <row r="23" spans="1:24" s="48" customFormat="1" ht="6" customHeight="1">
      <c r="A23" s="35"/>
      <c r="B23" s="35"/>
      <c r="C23" s="35"/>
      <c r="D23" s="35"/>
      <c r="E23" s="20"/>
      <c r="F23" s="163"/>
      <c r="G23" s="47"/>
      <c r="H23" s="47"/>
      <c r="I23" s="47"/>
      <c r="J23" s="47"/>
      <c r="K23" s="47"/>
      <c r="L23" s="47"/>
      <c r="T23" s="47"/>
      <c r="U23" s="47"/>
      <c r="V23" s="47"/>
    </row>
    <row r="24" spans="1:24" s="54" customFormat="1">
      <c r="A24" s="52"/>
      <c r="B24" s="52"/>
      <c r="C24" s="52"/>
      <c r="D24" s="52"/>
      <c r="E24" s="52"/>
      <c r="G24" s="150"/>
      <c r="I24" s="53"/>
      <c r="J24" s="53"/>
      <c r="K24" s="53"/>
      <c r="L24" s="53"/>
      <c r="M24" s="53"/>
      <c r="N24" s="53"/>
      <c r="O24" s="53"/>
      <c r="P24" s="53"/>
      <c r="Q24" s="53"/>
      <c r="R24" s="53"/>
      <c r="S24" s="53"/>
      <c r="T24" s="53"/>
      <c r="U24" s="53"/>
      <c r="V24" s="53"/>
      <c r="W24" s="53"/>
      <c r="X24" s="53"/>
    </row>
    <row r="25" spans="1:24" s="64" customFormat="1" ht="12.75">
      <c r="A25" s="164"/>
      <c r="B25" s="164"/>
      <c r="C25" s="164"/>
      <c r="G25" s="63"/>
      <c r="I25" s="127"/>
      <c r="J25" s="127"/>
      <c r="K25" s="127"/>
      <c r="L25" s="127"/>
      <c r="M25" s="127"/>
      <c r="N25" s="127"/>
      <c r="O25" s="127"/>
      <c r="P25" s="127"/>
      <c r="Q25" s="127"/>
      <c r="R25" s="127"/>
      <c r="S25" s="127"/>
      <c r="T25" s="127"/>
      <c r="U25" s="127"/>
      <c r="V25" s="127"/>
      <c r="W25" s="127"/>
      <c r="X25" s="127"/>
    </row>
    <row r="26" spans="1:24" s="64" customFormat="1" ht="12.75">
      <c r="A26" s="164"/>
      <c r="B26" s="164"/>
      <c r="C26" s="164"/>
      <c r="G26" s="63"/>
      <c r="I26" s="127"/>
      <c r="J26" s="127"/>
      <c r="K26" s="127"/>
      <c r="L26" s="127"/>
      <c r="M26" s="127"/>
      <c r="N26" s="127"/>
      <c r="O26" s="127"/>
      <c r="P26" s="127"/>
      <c r="Q26" s="127"/>
      <c r="R26" s="127"/>
      <c r="S26" s="127"/>
      <c r="T26" s="127"/>
      <c r="U26" s="127"/>
      <c r="V26" s="127"/>
      <c r="W26" s="127"/>
      <c r="X26" s="127"/>
    </row>
    <row r="27" spans="1:24" s="64" customFormat="1" ht="12.75">
      <c r="A27" s="164"/>
      <c r="B27" s="164"/>
      <c r="C27" s="164"/>
      <c r="G27" s="63"/>
      <c r="I27" s="127"/>
      <c r="J27" s="127"/>
      <c r="K27" s="127"/>
      <c r="L27" s="127"/>
      <c r="M27" s="127"/>
      <c r="N27" s="127"/>
      <c r="O27" s="127"/>
      <c r="P27" s="127"/>
      <c r="Q27" s="127"/>
      <c r="R27" s="127"/>
      <c r="S27" s="127"/>
      <c r="T27" s="127"/>
      <c r="U27" s="127"/>
      <c r="V27" s="127"/>
      <c r="W27" s="127"/>
      <c r="X27" s="127"/>
    </row>
    <row r="28" spans="1:24" s="64" customFormat="1" ht="12.75">
      <c r="A28" s="164"/>
      <c r="B28" s="164"/>
      <c r="C28" s="164"/>
      <c r="G28" s="63"/>
      <c r="I28" s="127"/>
      <c r="J28" s="127"/>
      <c r="K28" s="127"/>
      <c r="L28" s="127"/>
      <c r="M28" s="127"/>
      <c r="N28" s="127"/>
      <c r="O28" s="127"/>
      <c r="P28" s="127"/>
      <c r="Q28" s="127"/>
      <c r="R28" s="127"/>
      <c r="S28" s="127"/>
      <c r="T28" s="127"/>
      <c r="U28" s="127"/>
      <c r="V28" s="127"/>
      <c r="W28" s="127"/>
      <c r="X28" s="127"/>
    </row>
    <row r="29" spans="1:24" s="64" customFormat="1" ht="12.75">
      <c r="A29" s="164"/>
      <c r="B29" s="164"/>
      <c r="C29" s="164"/>
      <c r="G29" s="63"/>
      <c r="I29" s="127"/>
      <c r="J29" s="127"/>
      <c r="K29" s="127"/>
      <c r="L29" s="127"/>
      <c r="M29" s="127"/>
      <c r="N29" s="127"/>
      <c r="O29" s="127"/>
      <c r="P29" s="127"/>
      <c r="Q29" s="127"/>
      <c r="R29" s="127"/>
      <c r="S29" s="127"/>
      <c r="T29" s="127"/>
      <c r="U29" s="127"/>
      <c r="V29" s="127"/>
      <c r="W29" s="127"/>
      <c r="X29" s="127"/>
    </row>
    <row r="30" spans="1:24" s="64" customFormat="1" ht="12.75">
      <c r="A30" s="164"/>
      <c r="B30" s="164"/>
      <c r="C30" s="164"/>
      <c r="G30" s="63"/>
      <c r="I30" s="127"/>
      <c r="J30" s="127"/>
      <c r="K30" s="127"/>
      <c r="L30" s="127"/>
      <c r="M30" s="127"/>
      <c r="N30" s="127"/>
      <c r="O30" s="127"/>
      <c r="P30" s="127"/>
      <c r="Q30" s="127"/>
      <c r="R30" s="127"/>
      <c r="S30" s="127"/>
      <c r="T30" s="127"/>
      <c r="U30" s="127"/>
      <c r="V30" s="127"/>
      <c r="W30" s="127"/>
      <c r="X30" s="127"/>
    </row>
    <row r="31" spans="1:24" s="64" customFormat="1" ht="12.75">
      <c r="A31" s="164"/>
      <c r="B31" s="164"/>
      <c r="C31" s="164"/>
      <c r="G31" s="63"/>
      <c r="I31" s="127"/>
      <c r="J31" s="127"/>
      <c r="K31" s="127"/>
      <c r="L31" s="127"/>
      <c r="M31" s="127"/>
      <c r="N31" s="127"/>
      <c r="O31" s="127"/>
      <c r="P31" s="127"/>
      <c r="Q31" s="127"/>
      <c r="R31" s="127"/>
      <c r="S31" s="127"/>
      <c r="T31" s="127"/>
      <c r="U31" s="127"/>
      <c r="V31" s="127"/>
      <c r="W31" s="127"/>
      <c r="X31" s="127"/>
    </row>
    <row r="32" spans="1:24" s="64" customFormat="1" ht="12.75">
      <c r="A32" s="164"/>
      <c r="B32" s="164"/>
      <c r="C32" s="164"/>
      <c r="G32" s="63"/>
      <c r="I32" s="127"/>
      <c r="J32" s="127"/>
      <c r="K32" s="127"/>
      <c r="L32" s="127"/>
      <c r="M32" s="127"/>
      <c r="N32" s="127"/>
      <c r="O32" s="127"/>
      <c r="P32" s="127"/>
      <c r="Q32" s="127"/>
      <c r="R32" s="127"/>
      <c r="S32" s="127"/>
      <c r="T32" s="127"/>
      <c r="U32" s="127"/>
      <c r="V32" s="127"/>
      <c r="W32" s="127"/>
      <c r="X32" s="127"/>
    </row>
    <row r="33" spans="1:24" s="64" customFormat="1" ht="12.75">
      <c r="A33" s="164"/>
      <c r="B33" s="164"/>
      <c r="C33" s="164"/>
      <c r="G33" s="63"/>
      <c r="I33" s="127"/>
      <c r="J33" s="127"/>
      <c r="K33" s="127"/>
      <c r="L33" s="127"/>
      <c r="M33" s="127"/>
      <c r="N33" s="127"/>
      <c r="O33" s="127"/>
      <c r="P33" s="127"/>
      <c r="Q33" s="127"/>
      <c r="R33" s="127"/>
      <c r="S33" s="127"/>
      <c r="T33" s="127"/>
      <c r="U33" s="127"/>
      <c r="V33" s="127"/>
      <c r="W33" s="127"/>
      <c r="X33" s="127"/>
    </row>
    <row r="34" spans="1:24" s="64" customFormat="1" ht="12.75">
      <c r="A34" s="164"/>
      <c r="B34" s="164"/>
      <c r="C34" s="164"/>
      <c r="G34" s="63"/>
      <c r="I34" s="127"/>
      <c r="J34" s="127"/>
      <c r="K34" s="127"/>
      <c r="L34" s="127"/>
      <c r="M34" s="127"/>
      <c r="N34" s="127"/>
      <c r="O34" s="127"/>
      <c r="P34" s="127"/>
      <c r="Q34" s="127"/>
      <c r="R34" s="127"/>
      <c r="S34" s="127"/>
      <c r="T34" s="127"/>
      <c r="U34" s="127"/>
      <c r="V34" s="127"/>
      <c r="W34" s="127"/>
      <c r="X34" s="127"/>
    </row>
    <row r="35" spans="1:24" s="64" customFormat="1" ht="12.75">
      <c r="A35" s="164"/>
      <c r="B35" s="164"/>
      <c r="C35" s="164"/>
      <c r="G35" s="63"/>
      <c r="I35" s="127"/>
      <c r="J35" s="127"/>
      <c r="K35" s="127"/>
      <c r="L35" s="127"/>
      <c r="M35" s="127"/>
      <c r="N35" s="127"/>
      <c r="O35" s="127"/>
      <c r="P35" s="127"/>
      <c r="Q35" s="127"/>
      <c r="R35" s="127"/>
      <c r="S35" s="127"/>
      <c r="T35" s="127"/>
      <c r="U35" s="127"/>
      <c r="V35" s="127"/>
      <c r="W35" s="127"/>
      <c r="X35" s="127"/>
    </row>
    <row r="36" spans="1:24" s="64" customFormat="1" ht="12.75">
      <c r="A36" s="164"/>
      <c r="B36" s="164"/>
      <c r="C36" s="164"/>
      <c r="G36" s="63"/>
      <c r="I36" s="127"/>
      <c r="J36" s="127"/>
      <c r="K36" s="127"/>
      <c r="L36" s="127"/>
      <c r="M36" s="127"/>
      <c r="N36" s="127"/>
      <c r="O36" s="127"/>
      <c r="P36" s="127"/>
      <c r="Q36" s="127"/>
      <c r="R36" s="127"/>
      <c r="S36" s="127"/>
      <c r="T36" s="127"/>
      <c r="U36" s="127"/>
      <c r="V36" s="127"/>
      <c r="W36" s="127"/>
      <c r="X36" s="127"/>
    </row>
    <row r="37" spans="1:24" s="64" customFormat="1" ht="12.75">
      <c r="A37" s="164"/>
      <c r="B37" s="164"/>
      <c r="C37" s="164"/>
      <c r="G37" s="63"/>
      <c r="I37" s="127"/>
      <c r="J37" s="127"/>
      <c r="K37" s="127"/>
      <c r="L37" s="127"/>
      <c r="M37" s="127"/>
      <c r="N37" s="127"/>
      <c r="O37" s="127"/>
      <c r="P37" s="127"/>
      <c r="Q37" s="127"/>
      <c r="R37" s="127"/>
      <c r="S37" s="127"/>
      <c r="T37" s="127"/>
      <c r="U37" s="127"/>
      <c r="V37" s="127"/>
      <c r="W37" s="127"/>
      <c r="X37" s="127"/>
    </row>
    <row r="38" spans="1:24" s="64" customFormat="1" ht="12.75">
      <c r="A38" s="164"/>
      <c r="B38" s="164"/>
      <c r="C38" s="164"/>
      <c r="G38" s="63"/>
      <c r="I38" s="127"/>
      <c r="J38" s="127"/>
      <c r="K38" s="127"/>
      <c r="L38" s="127"/>
      <c r="M38" s="127"/>
      <c r="N38" s="127"/>
      <c r="O38" s="127"/>
      <c r="P38" s="127"/>
      <c r="Q38" s="127"/>
      <c r="R38" s="127"/>
      <c r="S38" s="127"/>
      <c r="T38" s="127"/>
      <c r="U38" s="127"/>
      <c r="V38" s="127"/>
      <c r="W38" s="127"/>
      <c r="X38" s="127"/>
    </row>
    <row r="39" spans="1:24" s="64" customFormat="1" ht="12.75">
      <c r="A39" s="164"/>
      <c r="B39" s="164"/>
      <c r="C39" s="164"/>
      <c r="G39" s="63"/>
      <c r="I39" s="127"/>
      <c r="J39" s="127"/>
      <c r="K39" s="127"/>
      <c r="L39" s="127"/>
      <c r="M39" s="127"/>
      <c r="N39" s="127"/>
      <c r="O39" s="127"/>
      <c r="P39" s="127"/>
      <c r="Q39" s="127"/>
      <c r="R39" s="127"/>
      <c r="S39" s="127"/>
      <c r="T39" s="127"/>
      <c r="U39" s="127"/>
      <c r="V39" s="127"/>
      <c r="W39" s="127"/>
      <c r="X39" s="127"/>
    </row>
    <row r="82" spans="1:4">
      <c r="A82" s="62">
        <v>5</v>
      </c>
      <c r="B82" s="62"/>
      <c r="C82" s="62"/>
      <c r="D82" s="62"/>
    </row>
  </sheetData>
  <sheetProtection algorithmName="SHA-512" hashValue="LpJJjsdiEzO0PZlPLNs0BsiHPGuR9KPbqKY/R++ohY8C70N0SGWe1Sqmn53Y81tJVp6etCOYHhtBBIAB43PYpw==" saltValue="F0zTsoaMu3mEdRgQaNPRqg==" spinCount="100000" sheet="1" selectLockedCells="1"/>
  <mergeCells count="14">
    <mergeCell ref="B16:D16"/>
    <mergeCell ref="B17:D17"/>
    <mergeCell ref="A21:E21"/>
    <mergeCell ref="B15:D15"/>
    <mergeCell ref="B5:D5"/>
    <mergeCell ref="B6:D6"/>
    <mergeCell ref="B7:D7"/>
    <mergeCell ref="B8:D8"/>
    <mergeCell ref="B9:D9"/>
    <mergeCell ref="B10:D10"/>
    <mergeCell ref="B11:D11"/>
    <mergeCell ref="B12:D12"/>
    <mergeCell ref="B13:D13"/>
    <mergeCell ref="B14:D14"/>
  </mergeCells>
  <phoneticPr fontId="0" type="noConversion"/>
  <dataValidations count="1">
    <dataValidation type="list" allowBlank="1" showInputMessage="1" showErrorMessage="1" sqref="E7 E5 E11 E13 E15:E18 E9" xr:uid="{00000000-0002-0000-0200-000000000000}">
      <formula1>JaNein</formula1>
    </dataValidation>
  </dataValidations>
  <printOptions horizontalCentered="1"/>
  <pageMargins left="0.47244094488188981" right="0.47244094488188981" top="0.43307086614173229" bottom="0.47244094488188981" header="0.47244094488188981" footer="0.27559055118110237"/>
  <pageSetup paperSize="9" scale="95" orientation="portrait" cellComments="atEnd" r:id="rId1"/>
  <headerFooter alignWithMargins="0">
    <oddHeader>&amp;R&amp;G</oddHeader>
    <oddFooter>&amp;L&amp;10&amp;F&amp;R&amp;10&amp;P von &amp;N</oddFooter>
  </headerFooter>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1" stopIfTrue="1" id="{0DD5E068-3CEC-452B-809B-7ADDFD65E516}">
            <xm:f>$A$21=Texte!$C$108</xm:f>
            <x14:dxf>
              <fill>
                <patternFill>
                  <bgColor theme="5" tint="0.79998168889431442"/>
                </patternFill>
              </fill>
            </x14:dxf>
          </x14:cfRule>
          <x14:cfRule type="expression" priority="2" stopIfTrue="1" id="{1470677D-76C7-46AB-8499-14B08F5C86D5}">
            <xm:f>A21=Texte!$B$107</xm:f>
            <x14:dxf>
              <font>
                <color theme="1"/>
              </font>
              <fill>
                <patternFill>
                  <bgColor rgb="FFEAE3AE"/>
                </patternFill>
              </fill>
            </x14:dxf>
          </x14:cfRule>
          <xm:sqref>A21:E21</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Y175"/>
  <sheetViews>
    <sheetView workbookViewId="0">
      <selection activeCell="B5" sqref="B5"/>
    </sheetView>
  </sheetViews>
  <sheetFormatPr baseColWidth="10" defaultRowHeight="12"/>
  <cols>
    <col min="1" max="1" width="31" style="5" customWidth="1"/>
    <col min="2" max="2" width="41.109375" style="5" customWidth="1"/>
    <col min="3" max="3" width="11.6640625" style="5" customWidth="1"/>
    <col min="4" max="4" width="14.77734375" style="5" customWidth="1"/>
    <col min="5" max="5" width="17.109375" style="5" customWidth="1"/>
    <col min="6" max="6" width="12.44140625" style="5" bestFit="1" customWidth="1"/>
    <col min="7" max="7" width="14.33203125" style="5" customWidth="1"/>
    <col min="8" max="8" width="12.6640625" style="5" customWidth="1"/>
    <col min="9" max="13" width="9.5546875" style="5" customWidth="1"/>
    <col min="14" max="14" width="9.6640625" style="5" customWidth="1"/>
    <col min="15" max="20" width="7.109375" style="5" customWidth="1"/>
    <col min="21" max="16384" width="11.5546875" style="5"/>
  </cols>
  <sheetData>
    <row r="1" spans="1:12" ht="23.25">
      <c r="A1" s="12" t="s">
        <v>37</v>
      </c>
      <c r="B1" s="14"/>
      <c r="C1" s="14"/>
      <c r="D1" s="14"/>
      <c r="E1" s="14"/>
    </row>
    <row r="2" spans="1:12" ht="9" customHeight="1">
      <c r="A2" s="12"/>
      <c r="B2" s="14"/>
      <c r="C2" s="14"/>
      <c r="D2" s="14"/>
      <c r="E2" s="14"/>
    </row>
    <row r="3" spans="1:12" ht="12.75">
      <c r="A3" s="15" t="s">
        <v>9</v>
      </c>
      <c r="B3" s="15" t="s">
        <v>109</v>
      </c>
      <c r="C3" s="15" t="s">
        <v>110</v>
      </c>
      <c r="D3" s="15" t="s">
        <v>111</v>
      </c>
      <c r="E3" s="15" t="s">
        <v>112</v>
      </c>
      <c r="F3" s="15" t="s">
        <v>323</v>
      </c>
      <c r="G3" s="15" t="s">
        <v>324</v>
      </c>
      <c r="H3" s="15" t="s">
        <v>325</v>
      </c>
      <c r="I3" s="15" t="s">
        <v>374</v>
      </c>
      <c r="J3" s="15" t="s">
        <v>375</v>
      </c>
      <c r="K3" s="15" t="s">
        <v>376</v>
      </c>
      <c r="L3" s="15" t="s">
        <v>377</v>
      </c>
    </row>
    <row r="5" spans="1:12">
      <c r="A5" s="3" t="s">
        <v>133</v>
      </c>
      <c r="B5" s="16" t="s">
        <v>14</v>
      </c>
    </row>
    <row r="6" spans="1:12">
      <c r="A6" s="3"/>
    </row>
    <row r="7" spans="1:12">
      <c r="A7" s="3" t="s">
        <v>132</v>
      </c>
      <c r="B7" s="5" t="s">
        <v>134</v>
      </c>
    </row>
    <row r="8" spans="1:12">
      <c r="A8" s="3"/>
    </row>
    <row r="9" spans="1:12" ht="12.75">
      <c r="A9" s="3" t="s">
        <v>67</v>
      </c>
      <c r="B9" s="1" t="str">
        <f>Texte!$B$378</f>
        <v>Si</v>
      </c>
      <c r="D9" s="6"/>
    </row>
    <row r="10" spans="1:12" ht="12.75">
      <c r="A10" s="5" t="s">
        <v>67</v>
      </c>
      <c r="B10" s="1" t="str">
        <f>Texte!$B$379</f>
        <v>No</v>
      </c>
      <c r="D10" s="6"/>
    </row>
    <row r="11" spans="1:12">
      <c r="A11" s="3"/>
      <c r="D11" s="6"/>
    </row>
    <row r="12" spans="1:12">
      <c r="A12" s="3" t="s">
        <v>120</v>
      </c>
      <c r="B12" s="5" t="s">
        <v>120</v>
      </c>
      <c r="D12" s="6"/>
    </row>
    <row r="13" spans="1:12">
      <c r="A13" s="3"/>
      <c r="B13" s="5" t="s">
        <v>363</v>
      </c>
      <c r="D13" s="6"/>
    </row>
    <row r="14" spans="1:12">
      <c r="A14" s="3"/>
      <c r="D14" s="6"/>
    </row>
    <row r="15" spans="1:12">
      <c r="A15" s="3" t="s">
        <v>231</v>
      </c>
      <c r="B15" s="5" t="str">
        <f>Texte!B372</f>
        <v>Nuova costruzione</v>
      </c>
    </row>
    <row r="16" spans="1:12">
      <c r="B16" s="5" t="str">
        <f>Texte!B373</f>
        <v>Ammodernamento</v>
      </c>
    </row>
    <row r="18" spans="1:4">
      <c r="A18" s="3" t="s">
        <v>230</v>
      </c>
      <c r="B18" s="5" t="s">
        <v>228</v>
      </c>
    </row>
    <row r="19" spans="1:4">
      <c r="B19" s="5" t="s">
        <v>229</v>
      </c>
    </row>
    <row r="21" spans="1:4">
      <c r="A21" s="3" t="s">
        <v>307</v>
      </c>
      <c r="B21" s="5" t="s">
        <v>308</v>
      </c>
      <c r="C21" s="5" t="s">
        <v>334</v>
      </c>
    </row>
    <row r="22" spans="1:4">
      <c r="B22" s="5" t="s">
        <v>2470</v>
      </c>
      <c r="C22" s="5" t="s">
        <v>335</v>
      </c>
    </row>
    <row r="23" spans="1:4">
      <c r="B23" s="5" t="s">
        <v>309</v>
      </c>
      <c r="C23" s="5" t="s">
        <v>336</v>
      </c>
    </row>
    <row r="24" spans="1:4">
      <c r="B24" s="5" t="s">
        <v>310</v>
      </c>
      <c r="C24" s="231" t="s">
        <v>334</v>
      </c>
    </row>
    <row r="26" spans="1:4">
      <c r="C26" s="3" t="s">
        <v>367</v>
      </c>
    </row>
    <row r="27" spans="1:4">
      <c r="A27" s="4" t="s">
        <v>1728</v>
      </c>
      <c r="B27" s="4" t="s">
        <v>145</v>
      </c>
      <c r="C27" s="4" t="s">
        <v>1711</v>
      </c>
      <c r="D27" s="4" t="s">
        <v>1712</v>
      </c>
    </row>
    <row r="28" spans="1:4" ht="12.75">
      <c r="A28" s="5" t="s">
        <v>1725</v>
      </c>
      <c r="B28" s="2" t="str">
        <f>Texte!$B$113</f>
        <v>Abitazione plurifamiliare</v>
      </c>
      <c r="C28" s="5">
        <v>90</v>
      </c>
      <c r="D28" s="5">
        <v>130</v>
      </c>
    </row>
    <row r="29" spans="1:4" ht="12.75">
      <c r="B29" s="2" t="str">
        <f>Texte!$B$114</f>
        <v>Piccoli edifici</v>
      </c>
      <c r="C29" s="5">
        <v>100</v>
      </c>
      <c r="D29" s="5">
        <v>145</v>
      </c>
    </row>
    <row r="30" spans="1:4" ht="12.75">
      <c r="B30" s="2" t="str">
        <f>Texte!$B$115</f>
        <v>Amministrazione</v>
      </c>
      <c r="C30" s="5">
        <v>110</v>
      </c>
      <c r="D30" s="5">
        <v>150</v>
      </c>
    </row>
    <row r="31" spans="1:4" ht="12.75">
      <c r="B31" s="2" t="str">
        <f>Texte!$B$116</f>
        <v>Scuola</v>
      </c>
      <c r="C31" s="5">
        <v>90</v>
      </c>
      <c r="D31" s="5">
        <v>130</v>
      </c>
    </row>
    <row r="32" spans="1:4" ht="12.75">
      <c r="B32" s="2" t="str">
        <f>Texte!$B$117</f>
        <v>Negozi</v>
      </c>
      <c r="C32" s="5">
        <v>170</v>
      </c>
      <c r="D32" s="5">
        <v>210</v>
      </c>
    </row>
    <row r="33" spans="1:6" ht="12.75">
      <c r="B33" s="2" t="str">
        <f>Texte!$B$118</f>
        <v>Ristorante</v>
      </c>
      <c r="C33" s="5">
        <v>120</v>
      </c>
      <c r="D33" s="5">
        <v>160</v>
      </c>
    </row>
    <row r="34" spans="1:6" ht="12.75">
      <c r="B34" s="2" t="str">
        <f>Texte!$B$119</f>
        <v>Museo</v>
      </c>
      <c r="C34" s="5">
        <v>140</v>
      </c>
      <c r="D34" s="5">
        <v>180</v>
      </c>
    </row>
    <row r="35" spans="1:6" ht="12.75">
      <c r="B35" s="2" t="str">
        <f>Texte!$B$120</f>
        <v>Ospedale</v>
      </c>
      <c r="C35" s="5">
        <v>160</v>
      </c>
      <c r="D35" s="5">
        <v>200</v>
      </c>
    </row>
    <row r="36" spans="1:6" ht="12.75">
      <c r="B36" s="2" t="str">
        <f>Texte!$B$121</f>
        <v>Industria</v>
      </c>
      <c r="C36" s="5">
        <v>140</v>
      </c>
      <c r="D36" s="5">
        <v>180</v>
      </c>
    </row>
    <row r="37" spans="1:6" ht="12.75">
      <c r="B37" s="2" t="str">
        <f>Texte!$B$122</f>
        <v>Piccole scuole</v>
      </c>
      <c r="C37" s="5">
        <v>100</v>
      </c>
      <c r="D37" s="5">
        <v>145</v>
      </c>
    </row>
    <row r="38" spans="1:6" ht="12.75">
      <c r="B38" s="2" t="str">
        <f>Texte!$B$123</f>
        <v>Edifici sportivi</v>
      </c>
      <c r="C38" s="5">
        <v>140</v>
      </c>
      <c r="D38" s="5">
        <v>180</v>
      </c>
    </row>
    <row r="39" spans="1:6" ht="12.75">
      <c r="B39" s="2"/>
    </row>
    <row r="40" spans="1:6">
      <c r="C40" s="3" t="s">
        <v>1717</v>
      </c>
    </row>
    <row r="41" spans="1:6">
      <c r="A41" s="4" t="s">
        <v>1729</v>
      </c>
      <c r="B41" s="4" t="s">
        <v>145</v>
      </c>
      <c r="C41" s="4" t="s">
        <v>1713</v>
      </c>
      <c r="D41" s="4" t="s">
        <v>1714</v>
      </c>
    </row>
    <row r="42" spans="1:6" ht="12.75">
      <c r="A42" s="5" t="s">
        <v>1727</v>
      </c>
      <c r="B42" s="2" t="str">
        <f>Texte!$B$113</f>
        <v>Abitazione plurifamiliare</v>
      </c>
      <c r="C42" s="223">
        <v>8</v>
      </c>
      <c r="D42" s="223">
        <v>10</v>
      </c>
      <c r="F42" s="5" t="s">
        <v>1869</v>
      </c>
    </row>
    <row r="43" spans="1:6" ht="12.75">
      <c r="B43" s="2" t="str">
        <f>Texte!$B$114</f>
        <v>Piccoli edifici</v>
      </c>
      <c r="C43" s="223">
        <v>8</v>
      </c>
      <c r="D43" s="223">
        <v>10.5</v>
      </c>
      <c r="F43" s="5" t="s">
        <v>1869</v>
      </c>
    </row>
    <row r="44" spans="1:6" ht="12.75">
      <c r="B44" s="2" t="str">
        <f>Texte!$B$115</f>
        <v>Amministrazione</v>
      </c>
      <c r="C44" s="223">
        <v>8</v>
      </c>
      <c r="D44" s="223">
        <v>11</v>
      </c>
      <c r="F44" s="5" t="s">
        <v>1869</v>
      </c>
    </row>
    <row r="45" spans="1:6" ht="12.75">
      <c r="B45" s="2" t="str">
        <f>Texte!$B$116</f>
        <v>Scuola</v>
      </c>
      <c r="C45" s="223">
        <v>8</v>
      </c>
      <c r="D45" s="223">
        <v>11</v>
      </c>
      <c r="F45" s="5" t="s">
        <v>1869</v>
      </c>
    </row>
    <row r="46" spans="1:6" ht="12.75">
      <c r="B46" s="2" t="str">
        <f>Texte!$B$117</f>
        <v>Negozi</v>
      </c>
      <c r="C46" s="223">
        <v>11</v>
      </c>
      <c r="D46" s="223">
        <v>16</v>
      </c>
      <c r="F46" s="5" t="s">
        <v>1869</v>
      </c>
    </row>
    <row r="47" spans="1:6" ht="12.75">
      <c r="B47" s="2" t="str">
        <f>Texte!$B$118</f>
        <v>Ristorante</v>
      </c>
      <c r="C47" s="223">
        <v>8</v>
      </c>
      <c r="D47" s="223">
        <v>13</v>
      </c>
      <c r="F47" s="5" t="s">
        <v>1869</v>
      </c>
    </row>
    <row r="48" spans="1:6" ht="12.75">
      <c r="B48" s="2" t="str">
        <f>Texte!$B$119</f>
        <v>Museo</v>
      </c>
      <c r="C48" s="223">
        <v>11</v>
      </c>
      <c r="D48" s="223">
        <v>14</v>
      </c>
    </row>
    <row r="49" spans="1:6" ht="12.75">
      <c r="B49" s="2" t="str">
        <f>Texte!$B$120</f>
        <v>Ospedale</v>
      </c>
      <c r="C49" s="223">
        <v>11</v>
      </c>
      <c r="D49" s="223">
        <v>16</v>
      </c>
    </row>
    <row r="50" spans="1:6" ht="12.75">
      <c r="B50" s="2" t="str">
        <f>Texte!$B$121</f>
        <v>Industria</v>
      </c>
      <c r="C50" s="223">
        <v>11</v>
      </c>
      <c r="D50" s="223">
        <v>14</v>
      </c>
    </row>
    <row r="51" spans="1:6" ht="12.75">
      <c r="B51" s="2" t="str">
        <f>Texte!$B$122</f>
        <v>Piccole scuole</v>
      </c>
      <c r="C51" s="223">
        <v>8</v>
      </c>
      <c r="D51" s="223">
        <v>11.5</v>
      </c>
      <c r="F51" s="5" t="s">
        <v>1869</v>
      </c>
    </row>
    <row r="52" spans="1:6" ht="12.75">
      <c r="B52" s="2" t="str">
        <f>Texte!$B$123</f>
        <v>Edifici sportivi</v>
      </c>
      <c r="C52" s="223">
        <v>11</v>
      </c>
      <c r="D52" s="223">
        <v>14</v>
      </c>
    </row>
    <row r="53" spans="1:6" ht="12.75">
      <c r="B53" s="2"/>
    </row>
    <row r="54" spans="1:6">
      <c r="A54" s="4" t="s">
        <v>1759</v>
      </c>
      <c r="B54" s="224" t="s">
        <v>23</v>
      </c>
      <c r="C54" s="4" t="s">
        <v>1909</v>
      </c>
      <c r="D54" s="211"/>
    </row>
    <row r="55" spans="1:6">
      <c r="A55" s="5" t="s">
        <v>1734</v>
      </c>
      <c r="B55" s="180" t="s">
        <v>1742</v>
      </c>
      <c r="C55" s="5">
        <v>159.6</v>
      </c>
      <c r="D55" s="5" t="s">
        <v>2388</v>
      </c>
    </row>
    <row r="56" spans="1:6">
      <c r="A56" s="5" t="s">
        <v>1735</v>
      </c>
      <c r="B56" s="180" t="s">
        <v>1743</v>
      </c>
      <c r="C56" s="5">
        <v>83.4</v>
      </c>
      <c r="D56" s="5" t="s">
        <v>2388</v>
      </c>
    </row>
    <row r="57" spans="1:6">
      <c r="A57" s="5" t="s">
        <v>1736</v>
      </c>
      <c r="B57" s="180" t="s">
        <v>1744</v>
      </c>
      <c r="C57" s="5">
        <v>5</v>
      </c>
      <c r="D57" s="5" t="s">
        <v>2389</v>
      </c>
    </row>
    <row r="58" spans="1:6">
      <c r="A58" s="5" t="s">
        <v>1737</v>
      </c>
      <c r="B58" s="180" t="s">
        <v>1745</v>
      </c>
      <c r="C58" s="5">
        <v>3</v>
      </c>
      <c r="D58" s="5" t="s">
        <v>2389</v>
      </c>
    </row>
    <row r="59" spans="1:6">
      <c r="A59" s="5" t="s">
        <v>1738</v>
      </c>
      <c r="B59" s="180" t="s">
        <v>1746</v>
      </c>
      <c r="C59" s="5">
        <v>13.3</v>
      </c>
      <c r="D59" s="5" t="s">
        <v>2390</v>
      </c>
    </row>
    <row r="60" spans="1:6">
      <c r="A60" s="5" t="s">
        <v>1739</v>
      </c>
      <c r="B60" s="180" t="s">
        <v>1747</v>
      </c>
      <c r="C60" s="5">
        <v>5.2</v>
      </c>
      <c r="D60" s="5" t="s">
        <v>2390</v>
      </c>
    </row>
    <row r="61" spans="1:6">
      <c r="A61" s="5" t="s">
        <v>1740</v>
      </c>
      <c r="B61" s="180" t="s">
        <v>1748</v>
      </c>
      <c r="C61" s="5">
        <f>C57*FaktorPE_TH_ECO_N</f>
        <v>0.5</v>
      </c>
      <c r="D61" s="5" t="s">
        <v>2391</v>
      </c>
    </row>
    <row r="62" spans="1:6">
      <c r="A62" s="5" t="s">
        <v>1741</v>
      </c>
      <c r="B62" s="180" t="s">
        <v>1749</v>
      </c>
      <c r="C62" s="5">
        <f>C58*FaktorPE_TH_ECO_N</f>
        <v>0.30000000000000004</v>
      </c>
      <c r="D62" s="5" t="s">
        <v>2391</v>
      </c>
    </row>
    <row r="63" spans="1:6" ht="12.75">
      <c r="B63" s="9"/>
    </row>
    <row r="64" spans="1:6">
      <c r="A64" s="4" t="s">
        <v>1758</v>
      </c>
      <c r="B64" s="224" t="s">
        <v>23</v>
      </c>
      <c r="C64" s="4" t="s">
        <v>1760</v>
      </c>
      <c r="D64" s="211"/>
    </row>
    <row r="65" spans="1:25" ht="12.75">
      <c r="A65" s="5" t="s">
        <v>1750</v>
      </c>
      <c r="B65" s="9" t="s">
        <v>1752</v>
      </c>
      <c r="C65" s="5">
        <v>30</v>
      </c>
    </row>
    <row r="66" spans="1:25" ht="12.75">
      <c r="A66" s="5" t="s">
        <v>1751</v>
      </c>
      <c r="B66" s="9" t="s">
        <v>1753</v>
      </c>
      <c r="C66" s="5">
        <v>50</v>
      </c>
    </row>
    <row r="67" spans="1:25" ht="12.75">
      <c r="A67" s="5" t="s">
        <v>1754</v>
      </c>
      <c r="B67" s="9" t="s">
        <v>1756</v>
      </c>
      <c r="C67" s="223">
        <v>2.8</v>
      </c>
    </row>
    <row r="68" spans="1:25" ht="12.75">
      <c r="A68" s="5" t="s">
        <v>1755</v>
      </c>
      <c r="B68" s="9" t="s">
        <v>1757</v>
      </c>
      <c r="C68" s="223">
        <v>4.7</v>
      </c>
    </row>
    <row r="69" spans="1:25" ht="12.75">
      <c r="B69" s="9"/>
    </row>
    <row r="70" spans="1:25" ht="12.75">
      <c r="A70" s="3"/>
      <c r="B70" s="9"/>
      <c r="C70" s="3" t="s">
        <v>1716</v>
      </c>
      <c r="D70" s="3"/>
      <c r="E70" s="3" t="s">
        <v>1718</v>
      </c>
      <c r="F70" s="3"/>
      <c r="G70" s="3" t="s">
        <v>1719</v>
      </c>
      <c r="H70" s="3"/>
      <c r="I70" s="3" t="s">
        <v>1720</v>
      </c>
      <c r="J70" s="3"/>
      <c r="K70" s="3" t="s">
        <v>1721</v>
      </c>
      <c r="L70" s="3"/>
      <c r="M70" s="3" t="s">
        <v>1722</v>
      </c>
    </row>
    <row r="71" spans="1:25" ht="12.75">
      <c r="A71" s="4" t="s">
        <v>1715</v>
      </c>
      <c r="B71" s="117"/>
      <c r="C71" s="4" t="s">
        <v>157</v>
      </c>
      <c r="D71" s="4" t="s">
        <v>158</v>
      </c>
      <c r="E71" s="4" t="s">
        <v>157</v>
      </c>
      <c r="F71" s="4" t="s">
        <v>158</v>
      </c>
      <c r="G71" s="4" t="s">
        <v>157</v>
      </c>
      <c r="H71" s="4" t="s">
        <v>158</v>
      </c>
      <c r="I71" s="4" t="s">
        <v>157</v>
      </c>
      <c r="J71" s="4" t="s">
        <v>158</v>
      </c>
      <c r="K71" s="4" t="s">
        <v>157</v>
      </c>
      <c r="L71" s="4" t="s">
        <v>158</v>
      </c>
      <c r="M71" s="104" t="s">
        <v>370</v>
      </c>
      <c r="N71" s="4" t="s">
        <v>369</v>
      </c>
      <c r="O71" s="4" t="s">
        <v>261</v>
      </c>
      <c r="P71" s="4" t="s">
        <v>371</v>
      </c>
      <c r="Q71" s="4" t="s">
        <v>372</v>
      </c>
      <c r="R71" s="4" t="s">
        <v>373</v>
      </c>
    </row>
    <row r="72" spans="1:25" ht="13.5" customHeight="1">
      <c r="A72" s="5" t="s">
        <v>1724</v>
      </c>
      <c r="B72" s="9" t="str">
        <f>Texte!B113</f>
        <v>Abitazione plurifamiliare</v>
      </c>
      <c r="C72" s="5">
        <v>10</v>
      </c>
      <c r="D72" s="5">
        <v>20</v>
      </c>
      <c r="E72" s="5">
        <v>15</v>
      </c>
      <c r="F72" s="5">
        <v>25</v>
      </c>
      <c r="G72" s="5">
        <v>15</v>
      </c>
      <c r="H72" s="5">
        <v>25</v>
      </c>
      <c r="I72" s="5">
        <v>45</v>
      </c>
      <c r="J72" s="5">
        <v>65</v>
      </c>
      <c r="K72" s="5">
        <v>5</v>
      </c>
      <c r="L72" s="5">
        <v>10</v>
      </c>
      <c r="M72" s="9">
        <v>6.5</v>
      </c>
      <c r="N72" s="5">
        <v>5.8</v>
      </c>
      <c r="O72" s="5">
        <f t="shared" ref="O72:O82" si="0">IF(EnStandard=MEP,FaktorMEP_WE*0.8,0.8)</f>
        <v>0.8</v>
      </c>
      <c r="P72" s="5">
        <v>4.0999999999999996</v>
      </c>
      <c r="Q72" s="5">
        <v>2.9</v>
      </c>
      <c r="R72" s="5">
        <v>6.7</v>
      </c>
      <c r="S72" s="118"/>
      <c r="T72" s="118"/>
      <c r="U72" s="118"/>
      <c r="V72" s="118"/>
      <c r="W72" s="118"/>
      <c r="X72" s="118"/>
      <c r="Y72" s="118"/>
    </row>
    <row r="73" spans="1:25" ht="13.5">
      <c r="B73" s="9" t="str">
        <f>Texte!B114</f>
        <v>Piccoli edifici</v>
      </c>
      <c r="C73" s="5">
        <v>10</v>
      </c>
      <c r="D73" s="5">
        <v>20</v>
      </c>
      <c r="E73" s="5">
        <v>15</v>
      </c>
      <c r="F73" s="5">
        <v>25</v>
      </c>
      <c r="G73" s="5">
        <v>15</v>
      </c>
      <c r="H73" s="5">
        <v>25</v>
      </c>
      <c r="I73" s="5">
        <v>45</v>
      </c>
      <c r="J73" s="5">
        <v>65</v>
      </c>
      <c r="K73" s="5">
        <v>5</v>
      </c>
      <c r="L73" s="5">
        <v>10</v>
      </c>
      <c r="M73" s="9">
        <v>6.5</v>
      </c>
      <c r="N73" s="5">
        <v>5.8</v>
      </c>
      <c r="O73" s="5">
        <f t="shared" si="0"/>
        <v>0.8</v>
      </c>
      <c r="P73" s="5">
        <v>4.0999999999999996</v>
      </c>
      <c r="Q73" s="5">
        <v>2.9</v>
      </c>
      <c r="R73" s="5">
        <v>6.7</v>
      </c>
      <c r="S73" s="118"/>
      <c r="T73" s="118"/>
      <c r="U73" s="118"/>
      <c r="V73" s="118"/>
      <c r="W73" s="118"/>
      <c r="X73" s="118"/>
      <c r="Y73" s="118"/>
    </row>
    <row r="74" spans="1:25" ht="12.75">
      <c r="B74" s="9" t="str">
        <f>Texte!B115</f>
        <v>Amministrazione</v>
      </c>
      <c r="C74" s="5">
        <v>15</v>
      </c>
      <c r="D74" s="5">
        <v>25</v>
      </c>
      <c r="E74" s="5">
        <v>20</v>
      </c>
      <c r="F74" s="5">
        <v>30</v>
      </c>
      <c r="G74" s="5">
        <v>15</v>
      </c>
      <c r="H74" s="5">
        <v>25</v>
      </c>
      <c r="I74" s="5">
        <v>45</v>
      </c>
      <c r="J74" s="5">
        <v>65</v>
      </c>
      <c r="K74" s="5">
        <v>5</v>
      </c>
      <c r="L74" s="5">
        <v>10</v>
      </c>
      <c r="M74" s="9">
        <v>13.9</v>
      </c>
      <c r="N74" s="5">
        <v>2.4</v>
      </c>
      <c r="O74" s="5">
        <f t="shared" si="0"/>
        <v>0.8</v>
      </c>
      <c r="P74" s="5">
        <v>4.0999999999999996</v>
      </c>
      <c r="Q74" s="5">
        <v>2.9</v>
      </c>
      <c r="R74" s="5">
        <v>13.9</v>
      </c>
      <c r="S74" s="119"/>
      <c r="T74" s="119"/>
      <c r="U74" s="119"/>
      <c r="V74" s="119"/>
      <c r="W74" s="119"/>
      <c r="X74" s="119"/>
      <c r="Y74" s="119"/>
    </row>
    <row r="75" spans="1:25" ht="13.5">
      <c r="B75" s="9" t="str">
        <f>Texte!B116</f>
        <v>Scuola</v>
      </c>
      <c r="C75" s="5">
        <v>10</v>
      </c>
      <c r="D75" s="5">
        <v>20</v>
      </c>
      <c r="E75" s="5">
        <v>15</v>
      </c>
      <c r="F75" s="5">
        <v>25</v>
      </c>
      <c r="G75" s="5">
        <v>15</v>
      </c>
      <c r="H75" s="5">
        <v>25</v>
      </c>
      <c r="I75" s="5">
        <v>45</v>
      </c>
      <c r="J75" s="5">
        <v>65</v>
      </c>
      <c r="K75" s="5">
        <v>5</v>
      </c>
      <c r="L75" s="5">
        <v>10</v>
      </c>
      <c r="M75" s="9">
        <v>13.9</v>
      </c>
      <c r="N75" s="5">
        <v>5.6</v>
      </c>
      <c r="O75" s="5">
        <f t="shared" si="0"/>
        <v>0.8</v>
      </c>
      <c r="P75" s="5">
        <v>4.0999999999999996</v>
      </c>
      <c r="Q75" s="5">
        <v>2.9</v>
      </c>
      <c r="R75" s="5">
        <v>6.7</v>
      </c>
      <c r="S75" s="121"/>
      <c r="T75" s="120"/>
      <c r="U75" s="121"/>
      <c r="V75" s="121"/>
      <c r="W75" s="121"/>
      <c r="X75" s="120"/>
      <c r="Y75" s="120"/>
    </row>
    <row r="76" spans="1:25" ht="13.5">
      <c r="B76" s="9" t="str">
        <f>Texte!B117</f>
        <v>Negozi</v>
      </c>
      <c r="C76" s="5">
        <v>15</v>
      </c>
      <c r="D76" s="5">
        <v>25</v>
      </c>
      <c r="E76" s="5">
        <v>20</v>
      </c>
      <c r="F76" s="5">
        <v>30</v>
      </c>
      <c r="G76" s="5">
        <v>15</v>
      </c>
      <c r="H76" s="5">
        <v>25</v>
      </c>
      <c r="I76" s="5">
        <v>45</v>
      </c>
      <c r="J76" s="5">
        <v>65</v>
      </c>
      <c r="K76" s="5">
        <v>5</v>
      </c>
      <c r="L76" s="5">
        <v>10</v>
      </c>
      <c r="M76" s="9">
        <v>23.4</v>
      </c>
      <c r="N76" s="5">
        <v>5.6</v>
      </c>
      <c r="O76" s="5">
        <f t="shared" si="0"/>
        <v>0.8</v>
      </c>
      <c r="P76" s="5">
        <v>4.0999999999999996</v>
      </c>
      <c r="Q76" s="5">
        <v>2.9</v>
      </c>
      <c r="R76" s="5">
        <v>10.3</v>
      </c>
      <c r="S76" s="121"/>
      <c r="T76" s="120"/>
      <c r="U76" s="121"/>
      <c r="V76" s="121"/>
      <c r="W76" s="121"/>
      <c r="X76" s="120"/>
      <c r="Y76" s="120"/>
    </row>
    <row r="77" spans="1:25" ht="13.5">
      <c r="B77" s="9" t="str">
        <f>Texte!B118</f>
        <v>Ristorante</v>
      </c>
      <c r="C77" s="5">
        <v>15</v>
      </c>
      <c r="D77" s="5">
        <v>25</v>
      </c>
      <c r="E77" s="5">
        <v>20</v>
      </c>
      <c r="F77" s="5">
        <v>30</v>
      </c>
      <c r="G77" s="5">
        <v>15</v>
      </c>
      <c r="H77" s="5">
        <v>25</v>
      </c>
      <c r="I77" s="5">
        <v>45</v>
      </c>
      <c r="J77" s="5">
        <v>65</v>
      </c>
      <c r="K77" s="5">
        <v>15</v>
      </c>
      <c r="L77" s="5">
        <v>25</v>
      </c>
      <c r="M77" s="9">
        <v>31</v>
      </c>
      <c r="N77" s="5">
        <v>2.4</v>
      </c>
      <c r="O77" s="5">
        <f t="shared" si="0"/>
        <v>0.8</v>
      </c>
      <c r="P77" s="5">
        <v>4.0999999999999996</v>
      </c>
      <c r="Q77" s="5">
        <v>2.9</v>
      </c>
      <c r="R77" s="5">
        <v>13.9</v>
      </c>
      <c r="S77" s="121"/>
      <c r="T77" s="120"/>
      <c r="U77" s="121"/>
      <c r="V77" s="121"/>
      <c r="W77" s="121"/>
      <c r="X77" s="120"/>
      <c r="Y77" s="120"/>
    </row>
    <row r="78" spans="1:25" ht="15">
      <c r="B78" s="9" t="str">
        <f>Texte!B119</f>
        <v>Museo</v>
      </c>
      <c r="C78" s="5">
        <v>15</v>
      </c>
      <c r="D78" s="5">
        <v>25</v>
      </c>
      <c r="E78" s="5">
        <v>20</v>
      </c>
      <c r="F78" s="5">
        <v>30</v>
      </c>
      <c r="G78" s="5">
        <v>15</v>
      </c>
      <c r="H78" s="5">
        <v>25</v>
      </c>
      <c r="I78" s="5">
        <v>45</v>
      </c>
      <c r="J78" s="5">
        <v>65</v>
      </c>
      <c r="K78" s="5">
        <v>15</v>
      </c>
      <c r="L78" s="5">
        <v>25</v>
      </c>
      <c r="M78" s="9">
        <v>13.9</v>
      </c>
      <c r="N78" s="5">
        <v>2.4</v>
      </c>
      <c r="O78" s="5">
        <f t="shared" si="0"/>
        <v>0.8</v>
      </c>
      <c r="P78" s="5">
        <v>4.0999999999999996</v>
      </c>
      <c r="Q78" s="5">
        <v>2.9</v>
      </c>
      <c r="R78" s="5">
        <v>13.9</v>
      </c>
      <c r="S78" s="122"/>
      <c r="T78" s="120"/>
      <c r="U78" s="122"/>
      <c r="V78" s="122"/>
      <c r="W78" s="122"/>
      <c r="X78" s="120"/>
      <c r="Y78" s="120"/>
    </row>
    <row r="79" spans="1:25" ht="12.75">
      <c r="B79" s="9" t="str">
        <f>Texte!B120</f>
        <v>Ospedale</v>
      </c>
      <c r="C79" s="5">
        <v>15</v>
      </c>
      <c r="D79" s="5">
        <v>25</v>
      </c>
      <c r="E79" s="5">
        <v>20</v>
      </c>
      <c r="F79" s="5">
        <v>30</v>
      </c>
      <c r="G79" s="5">
        <v>15</v>
      </c>
      <c r="H79" s="5">
        <v>25</v>
      </c>
      <c r="I79" s="5">
        <v>45</v>
      </c>
      <c r="J79" s="5">
        <v>65</v>
      </c>
      <c r="K79" s="5">
        <v>15</v>
      </c>
      <c r="L79" s="5">
        <v>25</v>
      </c>
      <c r="M79" s="9">
        <v>18.7</v>
      </c>
      <c r="N79" s="5">
        <v>5.6</v>
      </c>
      <c r="O79" s="5">
        <f t="shared" si="0"/>
        <v>0.8</v>
      </c>
      <c r="P79" s="5">
        <v>4.0999999999999996</v>
      </c>
      <c r="Q79" s="5">
        <v>2.9</v>
      </c>
      <c r="R79" s="5">
        <v>13.9</v>
      </c>
      <c r="S79" s="124"/>
      <c r="T79" s="124"/>
      <c r="U79" s="124"/>
      <c r="V79" s="124"/>
      <c r="W79" s="124"/>
      <c r="X79" s="124"/>
      <c r="Y79" s="124"/>
    </row>
    <row r="80" spans="1:25" ht="13.5">
      <c r="B80" s="9" t="str">
        <f>Texte!B121</f>
        <v>Industria</v>
      </c>
      <c r="C80" s="5">
        <v>15</v>
      </c>
      <c r="D80" s="5">
        <v>25</v>
      </c>
      <c r="E80" s="5">
        <v>20</v>
      </c>
      <c r="F80" s="5">
        <v>30</v>
      </c>
      <c r="G80" s="5">
        <v>15</v>
      </c>
      <c r="H80" s="5">
        <v>25</v>
      </c>
      <c r="I80" s="5">
        <v>45</v>
      </c>
      <c r="J80" s="5">
        <v>65</v>
      </c>
      <c r="K80" s="5">
        <v>15</v>
      </c>
      <c r="L80" s="5">
        <v>25</v>
      </c>
      <c r="M80" s="9">
        <v>23.4</v>
      </c>
      <c r="N80" s="5">
        <v>5.6</v>
      </c>
      <c r="O80" s="5">
        <f t="shared" si="0"/>
        <v>0.8</v>
      </c>
      <c r="P80" s="5">
        <v>4.0999999999999996</v>
      </c>
      <c r="Q80" s="5">
        <v>2.9</v>
      </c>
      <c r="R80" s="5">
        <v>13.9</v>
      </c>
      <c r="S80" s="121"/>
      <c r="T80" s="121"/>
      <c r="U80" s="121"/>
      <c r="V80" s="121"/>
      <c r="W80" s="121"/>
      <c r="X80" s="121"/>
      <c r="Y80" s="121"/>
    </row>
    <row r="81" spans="1:25" ht="12.75">
      <c r="B81" s="9" t="str">
        <f>Texte!B122</f>
        <v>Piccole scuole</v>
      </c>
      <c r="C81" s="5">
        <v>10</v>
      </c>
      <c r="D81" s="5">
        <v>20</v>
      </c>
      <c r="E81" s="5">
        <v>15</v>
      </c>
      <c r="F81" s="5">
        <v>25</v>
      </c>
      <c r="G81" s="5">
        <v>15</v>
      </c>
      <c r="H81" s="5">
        <v>25</v>
      </c>
      <c r="I81" s="5">
        <v>45</v>
      </c>
      <c r="J81" s="5">
        <v>65</v>
      </c>
      <c r="K81" s="5">
        <v>5</v>
      </c>
      <c r="L81" s="5">
        <v>10</v>
      </c>
      <c r="M81" s="9">
        <v>10.4</v>
      </c>
      <c r="N81" s="9">
        <v>5.6</v>
      </c>
      <c r="O81" s="5">
        <f t="shared" si="0"/>
        <v>0.8</v>
      </c>
      <c r="P81" s="5">
        <v>4.0999999999999996</v>
      </c>
      <c r="Q81" s="5">
        <v>2.9</v>
      </c>
      <c r="R81" s="5">
        <v>6.7</v>
      </c>
      <c r="S81" s="123"/>
      <c r="T81" s="123"/>
      <c r="U81" s="123"/>
      <c r="V81" s="123"/>
      <c r="W81" s="123"/>
      <c r="X81" s="124"/>
      <c r="Y81" s="124"/>
    </row>
    <row r="82" spans="1:25" ht="12.75">
      <c r="B82" s="9" t="str">
        <f>Texte!B123</f>
        <v>Edifici sportivi</v>
      </c>
      <c r="C82" s="5">
        <v>15</v>
      </c>
      <c r="D82" s="5">
        <v>25</v>
      </c>
      <c r="E82" s="5">
        <v>20</v>
      </c>
      <c r="F82" s="5">
        <v>30</v>
      </c>
      <c r="G82" s="5">
        <v>15</v>
      </c>
      <c r="H82" s="5">
        <v>25</v>
      </c>
      <c r="I82" s="5">
        <v>45</v>
      </c>
      <c r="J82" s="5">
        <v>65</v>
      </c>
      <c r="K82" s="5">
        <v>5</v>
      </c>
      <c r="L82" s="5">
        <v>10</v>
      </c>
      <c r="M82" s="9">
        <v>23.4</v>
      </c>
      <c r="N82" s="5">
        <v>5.6</v>
      </c>
      <c r="O82" s="5">
        <f t="shared" si="0"/>
        <v>0.8</v>
      </c>
      <c r="P82" s="5">
        <v>4.0999999999999996</v>
      </c>
      <c r="Q82" s="5">
        <v>2.9</v>
      </c>
      <c r="R82" s="5">
        <v>10.3</v>
      </c>
      <c r="S82" s="123"/>
      <c r="T82" s="123"/>
      <c r="U82" s="123"/>
      <c r="V82" s="123"/>
      <c r="W82" s="123"/>
      <c r="X82" s="124"/>
      <c r="Y82" s="124"/>
    </row>
    <row r="83" spans="1:25" ht="12.75">
      <c r="B83" s="9"/>
      <c r="O83" s="123"/>
      <c r="P83" s="123"/>
      <c r="Q83" s="123"/>
      <c r="R83" s="123"/>
      <c r="S83" s="123"/>
      <c r="T83" s="123"/>
      <c r="U83" s="123"/>
      <c r="V83" s="123"/>
      <c r="W83" s="123"/>
      <c r="X83" s="124"/>
      <c r="Y83" s="124"/>
    </row>
    <row r="84" spans="1:25" ht="12.75">
      <c r="A84" s="3"/>
      <c r="B84" s="9"/>
      <c r="C84" s="3" t="s">
        <v>1716</v>
      </c>
      <c r="D84" s="3"/>
      <c r="E84" s="3" t="s">
        <v>1718</v>
      </c>
      <c r="F84" s="3"/>
      <c r="G84" s="3" t="s">
        <v>1719</v>
      </c>
      <c r="H84" s="3"/>
      <c r="I84" s="3" t="s">
        <v>1720</v>
      </c>
      <c r="J84" s="3"/>
      <c r="K84" s="3" t="s">
        <v>1721</v>
      </c>
      <c r="L84" s="3"/>
      <c r="M84" s="3" t="s">
        <v>1722</v>
      </c>
      <c r="S84" s="123"/>
      <c r="T84" s="123"/>
      <c r="U84" s="123"/>
      <c r="V84" s="123"/>
      <c r="W84" s="123"/>
      <c r="X84" s="124"/>
      <c r="Y84" s="124"/>
    </row>
    <row r="85" spans="1:25" ht="12.75">
      <c r="A85" s="4" t="s">
        <v>1723</v>
      </c>
      <c r="B85" s="117"/>
      <c r="C85" s="4" t="s">
        <v>157</v>
      </c>
      <c r="D85" s="4" t="s">
        <v>158</v>
      </c>
      <c r="E85" s="4" t="s">
        <v>157</v>
      </c>
      <c r="F85" s="4" t="s">
        <v>158</v>
      </c>
      <c r="G85" s="4" t="s">
        <v>157</v>
      </c>
      <c r="H85" s="4" t="s">
        <v>158</v>
      </c>
      <c r="I85" s="4" t="s">
        <v>157</v>
      </c>
      <c r="J85" s="4" t="s">
        <v>158</v>
      </c>
      <c r="K85" s="4" t="s">
        <v>157</v>
      </c>
      <c r="L85" s="4" t="s">
        <v>158</v>
      </c>
      <c r="M85" s="104" t="s">
        <v>370</v>
      </c>
      <c r="N85" s="4" t="s">
        <v>369</v>
      </c>
      <c r="O85" s="4" t="s">
        <v>261</v>
      </c>
      <c r="P85" s="4" t="s">
        <v>371</v>
      </c>
      <c r="Q85" s="4" t="s">
        <v>372</v>
      </c>
      <c r="R85" s="4" t="s">
        <v>373</v>
      </c>
      <c r="S85" s="123"/>
      <c r="T85" s="123"/>
      <c r="U85" s="123"/>
      <c r="V85" s="123"/>
      <c r="W85" s="123"/>
      <c r="X85" s="124"/>
      <c r="Y85" s="124"/>
    </row>
    <row r="86" spans="1:25" ht="12.75">
      <c r="A86" s="5" t="s">
        <v>1726</v>
      </c>
      <c r="B86" s="9" t="str">
        <f>B72</f>
        <v>Abitazione plurifamiliare</v>
      </c>
      <c r="C86" s="5">
        <v>0.78</v>
      </c>
      <c r="D86" s="5">
        <v>1.57</v>
      </c>
      <c r="E86" s="5">
        <v>1.18</v>
      </c>
      <c r="F86" s="5">
        <v>1.93</v>
      </c>
      <c r="G86" s="5">
        <v>1.43</v>
      </c>
      <c r="H86" s="5">
        <v>2.35</v>
      </c>
      <c r="I86" s="5">
        <v>3</v>
      </c>
      <c r="J86" s="5">
        <v>4.34</v>
      </c>
      <c r="K86" s="5">
        <v>0.39</v>
      </c>
      <c r="L86" s="5">
        <v>0.78</v>
      </c>
      <c r="M86" s="5">
        <v>0.41</v>
      </c>
      <c r="N86" s="5">
        <v>0.38</v>
      </c>
      <c r="O86" s="5">
        <v>0.04</v>
      </c>
      <c r="P86" s="5">
        <v>0.25</v>
      </c>
      <c r="Q86" s="5">
        <v>0.18</v>
      </c>
      <c r="R86" s="5">
        <v>0.42</v>
      </c>
      <c r="S86" s="123"/>
      <c r="T86" s="123"/>
      <c r="U86" s="123"/>
      <c r="V86" s="123"/>
      <c r="W86" s="123"/>
      <c r="X86" s="124"/>
      <c r="Y86" s="124"/>
    </row>
    <row r="87" spans="1:25" ht="12.75">
      <c r="B87" s="9" t="str">
        <f t="shared" ref="B87:B96" si="1">B73</f>
        <v>Piccoli edifici</v>
      </c>
      <c r="C87" s="5">
        <v>0.78</v>
      </c>
      <c r="D87" s="5">
        <v>1.57</v>
      </c>
      <c r="E87" s="5">
        <v>1.18</v>
      </c>
      <c r="F87" s="5">
        <v>1.93</v>
      </c>
      <c r="G87" s="5">
        <v>1.43</v>
      </c>
      <c r="H87" s="5">
        <v>2.35</v>
      </c>
      <c r="I87" s="5">
        <v>3</v>
      </c>
      <c r="J87" s="5">
        <v>4.34</v>
      </c>
      <c r="K87" s="5">
        <v>0.39</v>
      </c>
      <c r="L87" s="5">
        <v>0.78</v>
      </c>
      <c r="M87" s="5">
        <v>0.41</v>
      </c>
      <c r="N87" s="5">
        <v>0.38</v>
      </c>
      <c r="O87" s="5">
        <v>0.04</v>
      </c>
      <c r="P87" s="5">
        <v>0.25</v>
      </c>
      <c r="Q87" s="5">
        <v>0.18</v>
      </c>
      <c r="R87" s="5">
        <v>0.42</v>
      </c>
      <c r="S87" s="123"/>
      <c r="T87" s="123"/>
      <c r="U87" s="123"/>
      <c r="V87" s="123"/>
      <c r="W87" s="123"/>
      <c r="X87" s="124"/>
      <c r="Y87" s="124"/>
    </row>
    <row r="88" spans="1:25" ht="12.75">
      <c r="B88" s="9" t="str">
        <f t="shared" si="1"/>
        <v>Amministrazione</v>
      </c>
      <c r="C88" s="5">
        <v>1.18</v>
      </c>
      <c r="D88" s="5">
        <v>1.93</v>
      </c>
      <c r="E88" s="5">
        <v>1.57</v>
      </c>
      <c r="F88" s="5">
        <v>2.3199999999999998</v>
      </c>
      <c r="G88" s="5">
        <v>1.43</v>
      </c>
      <c r="H88" s="5">
        <v>2.35</v>
      </c>
      <c r="I88" s="5">
        <v>3</v>
      </c>
      <c r="J88" s="5">
        <v>4.34</v>
      </c>
      <c r="K88" s="5">
        <v>0.39</v>
      </c>
      <c r="L88" s="5">
        <v>0.78</v>
      </c>
      <c r="M88" s="5">
        <v>0.9</v>
      </c>
      <c r="N88" s="5">
        <v>0.17</v>
      </c>
      <c r="O88" s="5">
        <v>0.04</v>
      </c>
      <c r="P88" s="5">
        <v>0.25</v>
      </c>
      <c r="Q88" s="5">
        <v>0.18</v>
      </c>
      <c r="R88" s="5">
        <v>0.86</v>
      </c>
      <c r="S88" s="123"/>
      <c r="T88" s="123"/>
      <c r="U88" s="123"/>
      <c r="V88" s="123"/>
      <c r="W88" s="123"/>
      <c r="X88" s="124"/>
      <c r="Y88" s="124"/>
    </row>
    <row r="89" spans="1:25" ht="12.75">
      <c r="B89" s="9" t="str">
        <f t="shared" si="1"/>
        <v>Scuola</v>
      </c>
      <c r="C89" s="5">
        <v>0.78</v>
      </c>
      <c r="D89" s="5">
        <v>1.57</v>
      </c>
      <c r="E89" s="5">
        <v>1.18</v>
      </c>
      <c r="F89" s="5">
        <v>1.93</v>
      </c>
      <c r="G89" s="5">
        <v>1.43</v>
      </c>
      <c r="H89" s="5">
        <v>2.35</v>
      </c>
      <c r="I89" s="5">
        <v>3</v>
      </c>
      <c r="J89" s="5">
        <v>4.34</v>
      </c>
      <c r="K89" s="5">
        <v>0.39</v>
      </c>
      <c r="L89" s="5">
        <v>0.78</v>
      </c>
      <c r="M89" s="5">
        <v>0.9</v>
      </c>
      <c r="N89" s="5">
        <v>0.38</v>
      </c>
      <c r="O89" s="5">
        <v>0.04</v>
      </c>
      <c r="P89" s="5">
        <v>0.25</v>
      </c>
      <c r="Q89" s="5">
        <v>0.18</v>
      </c>
      <c r="R89" s="5">
        <v>0.42</v>
      </c>
      <c r="S89" s="123"/>
      <c r="T89" s="123"/>
      <c r="U89" s="123"/>
      <c r="V89" s="123"/>
      <c r="W89" s="123"/>
      <c r="X89" s="124"/>
      <c r="Y89" s="124"/>
    </row>
    <row r="90" spans="1:25" ht="12.75">
      <c r="B90" s="9" t="str">
        <f t="shared" si="1"/>
        <v>Negozi</v>
      </c>
      <c r="C90" s="5">
        <v>1.18</v>
      </c>
      <c r="D90" s="5">
        <v>1.93</v>
      </c>
      <c r="E90" s="5">
        <v>1.57</v>
      </c>
      <c r="F90" s="5">
        <v>2.3199999999999998</v>
      </c>
      <c r="G90" s="5">
        <v>1.43</v>
      </c>
      <c r="H90" s="5">
        <v>2.35</v>
      </c>
      <c r="I90" s="5">
        <v>3</v>
      </c>
      <c r="J90" s="5">
        <v>4.34</v>
      </c>
      <c r="K90" s="5">
        <v>0.39</v>
      </c>
      <c r="L90" s="5">
        <v>0.78</v>
      </c>
      <c r="M90" s="5">
        <v>1.5</v>
      </c>
      <c r="N90" s="5">
        <v>0.38</v>
      </c>
      <c r="O90" s="5">
        <v>0.04</v>
      </c>
      <c r="P90" s="5">
        <v>0.25</v>
      </c>
      <c r="Q90" s="5">
        <v>0.18</v>
      </c>
      <c r="R90" s="5">
        <v>0.64</v>
      </c>
      <c r="S90" s="123"/>
      <c r="T90" s="123"/>
      <c r="U90" s="123"/>
      <c r="V90" s="123"/>
      <c r="W90" s="123"/>
      <c r="X90" s="124"/>
      <c r="Y90" s="124"/>
    </row>
    <row r="91" spans="1:25" ht="12.75">
      <c r="B91" s="9" t="str">
        <f t="shared" si="1"/>
        <v>Ristorante</v>
      </c>
      <c r="C91" s="5">
        <v>1.18</v>
      </c>
      <c r="D91" s="5">
        <v>1.93</v>
      </c>
      <c r="E91" s="5">
        <v>1.57</v>
      </c>
      <c r="F91" s="5">
        <v>2.3199999999999998</v>
      </c>
      <c r="G91" s="5">
        <v>1.43</v>
      </c>
      <c r="H91" s="5">
        <v>2.35</v>
      </c>
      <c r="I91" s="5">
        <v>3</v>
      </c>
      <c r="J91" s="5">
        <v>4.34</v>
      </c>
      <c r="K91" s="5">
        <v>1.18</v>
      </c>
      <c r="L91" s="5">
        <v>1.93</v>
      </c>
      <c r="M91" s="5">
        <v>1.98</v>
      </c>
      <c r="N91" s="5">
        <v>0.17</v>
      </c>
      <c r="O91" s="5">
        <v>0.04</v>
      </c>
      <c r="P91" s="5">
        <v>0.25</v>
      </c>
      <c r="Q91" s="5">
        <v>0.18</v>
      </c>
      <c r="R91" s="5">
        <v>0.86</v>
      </c>
      <c r="S91" s="123"/>
      <c r="T91" s="123"/>
      <c r="U91" s="123"/>
      <c r="V91" s="123"/>
      <c r="W91" s="123"/>
      <c r="X91" s="124"/>
      <c r="Y91" s="124"/>
    </row>
    <row r="92" spans="1:25" ht="12.75">
      <c r="B92" s="9" t="str">
        <f t="shared" si="1"/>
        <v>Museo</v>
      </c>
      <c r="C92" s="5">
        <v>1.18</v>
      </c>
      <c r="D92" s="5">
        <v>1.93</v>
      </c>
      <c r="E92" s="5">
        <v>1.57</v>
      </c>
      <c r="F92" s="5">
        <v>2.3199999999999998</v>
      </c>
      <c r="G92" s="5">
        <v>1.43</v>
      </c>
      <c r="H92" s="5">
        <v>2.35</v>
      </c>
      <c r="I92" s="5">
        <v>3</v>
      </c>
      <c r="J92" s="5">
        <v>4.34</v>
      </c>
      <c r="K92" s="5">
        <v>1.18</v>
      </c>
      <c r="L92" s="5">
        <v>1.93</v>
      </c>
      <c r="M92" s="5">
        <v>0.9</v>
      </c>
      <c r="N92" s="5">
        <v>0.17</v>
      </c>
      <c r="O92" s="5">
        <v>0.04</v>
      </c>
      <c r="P92" s="5">
        <v>0.25</v>
      </c>
      <c r="Q92" s="5">
        <v>0.18</v>
      </c>
      <c r="R92" s="5">
        <v>0.86</v>
      </c>
      <c r="S92" s="123"/>
      <c r="T92" s="123"/>
      <c r="U92" s="123"/>
      <c r="V92" s="123"/>
      <c r="W92" s="123"/>
      <c r="X92" s="124"/>
      <c r="Y92" s="124"/>
    </row>
    <row r="93" spans="1:25" ht="12.75">
      <c r="B93" s="9" t="str">
        <f t="shared" si="1"/>
        <v>Ospedale</v>
      </c>
      <c r="C93" s="5">
        <v>1.18</v>
      </c>
      <c r="D93" s="5">
        <v>1.93</v>
      </c>
      <c r="E93" s="5">
        <v>1.57</v>
      </c>
      <c r="F93" s="5">
        <v>2.3199999999999998</v>
      </c>
      <c r="G93" s="5">
        <v>1.43</v>
      </c>
      <c r="H93" s="5">
        <v>2.35</v>
      </c>
      <c r="I93" s="5">
        <v>3</v>
      </c>
      <c r="J93" s="5">
        <v>4.34</v>
      </c>
      <c r="K93" s="5">
        <v>1.18</v>
      </c>
      <c r="L93" s="5">
        <v>1.93</v>
      </c>
      <c r="M93" s="5">
        <v>1.2</v>
      </c>
      <c r="N93" s="5">
        <v>0.38</v>
      </c>
      <c r="O93" s="5">
        <v>0.04</v>
      </c>
      <c r="P93" s="5">
        <v>0.25</v>
      </c>
      <c r="Q93" s="5">
        <v>0.18</v>
      </c>
      <c r="R93" s="5">
        <v>0.86</v>
      </c>
      <c r="S93" s="123"/>
      <c r="T93" s="123"/>
      <c r="U93" s="123"/>
      <c r="V93" s="123"/>
      <c r="W93" s="123"/>
      <c r="X93" s="124"/>
      <c r="Y93" s="124"/>
    </row>
    <row r="94" spans="1:25" ht="12.75">
      <c r="B94" s="9" t="str">
        <f t="shared" si="1"/>
        <v>Industria</v>
      </c>
      <c r="C94" s="5">
        <v>1.18</v>
      </c>
      <c r="D94" s="5">
        <v>1.93</v>
      </c>
      <c r="E94" s="5">
        <v>1.57</v>
      </c>
      <c r="F94" s="5">
        <v>2.3199999999999998</v>
      </c>
      <c r="G94" s="5">
        <v>1.43</v>
      </c>
      <c r="H94" s="5">
        <v>2.35</v>
      </c>
      <c r="I94" s="5">
        <v>3</v>
      </c>
      <c r="J94" s="5">
        <v>4.34</v>
      </c>
      <c r="K94" s="5">
        <v>1.18</v>
      </c>
      <c r="L94" s="5">
        <v>1.93</v>
      </c>
      <c r="M94" s="5">
        <v>1.5</v>
      </c>
      <c r="N94" s="5">
        <v>0.38</v>
      </c>
      <c r="O94" s="5">
        <v>0.04</v>
      </c>
      <c r="P94" s="5">
        <v>0.25</v>
      </c>
      <c r="Q94" s="5">
        <v>0.18</v>
      </c>
      <c r="R94" s="5">
        <v>0.86</v>
      </c>
      <c r="S94" s="123"/>
      <c r="T94" s="123"/>
      <c r="U94" s="123"/>
      <c r="V94" s="123"/>
      <c r="W94" s="123"/>
      <c r="X94" s="124"/>
      <c r="Y94" s="124"/>
    </row>
    <row r="95" spans="1:25" ht="12.75">
      <c r="B95" s="9" t="str">
        <f t="shared" si="1"/>
        <v>Piccole scuole</v>
      </c>
      <c r="C95" s="5">
        <v>0.78</v>
      </c>
      <c r="D95" s="5">
        <v>1.57</v>
      </c>
      <c r="E95" s="5">
        <v>1.18</v>
      </c>
      <c r="F95" s="5">
        <v>1.93</v>
      </c>
      <c r="G95" s="5">
        <v>1.43</v>
      </c>
      <c r="H95" s="5">
        <v>2.35</v>
      </c>
      <c r="I95" s="5">
        <v>3</v>
      </c>
      <c r="J95" s="5">
        <v>4.34</v>
      </c>
      <c r="K95" s="5">
        <v>0.39</v>
      </c>
      <c r="L95" s="5">
        <v>0.78</v>
      </c>
      <c r="M95" s="5">
        <v>0.67</v>
      </c>
      <c r="N95" s="5">
        <v>0.38</v>
      </c>
      <c r="O95" s="5">
        <v>0.04</v>
      </c>
      <c r="P95" s="5">
        <v>0.25</v>
      </c>
      <c r="Q95" s="5">
        <v>0.18</v>
      </c>
      <c r="R95" s="5">
        <v>0.42</v>
      </c>
      <c r="S95" s="123"/>
      <c r="T95" s="123"/>
      <c r="U95" s="123"/>
      <c r="V95" s="123"/>
      <c r="W95" s="123"/>
      <c r="X95" s="124"/>
      <c r="Y95" s="124"/>
    </row>
    <row r="96" spans="1:25" ht="12.75">
      <c r="B96" s="9" t="str">
        <f t="shared" si="1"/>
        <v>Edifici sportivi</v>
      </c>
      <c r="C96" s="5">
        <v>1.18</v>
      </c>
      <c r="D96" s="5">
        <v>1.93</v>
      </c>
      <c r="E96" s="5">
        <v>1.57</v>
      </c>
      <c r="F96" s="5">
        <v>2.3199999999999998</v>
      </c>
      <c r="G96" s="5">
        <v>1.43</v>
      </c>
      <c r="H96" s="5">
        <v>2.35</v>
      </c>
      <c r="I96" s="5">
        <v>3</v>
      </c>
      <c r="J96" s="5">
        <v>4.34</v>
      </c>
      <c r="K96" s="5">
        <v>0.39</v>
      </c>
      <c r="L96" s="5">
        <v>0.78</v>
      </c>
      <c r="M96" s="5">
        <v>1.5</v>
      </c>
      <c r="N96" s="5">
        <v>0.38</v>
      </c>
      <c r="O96" s="5">
        <v>0.04</v>
      </c>
      <c r="P96" s="5">
        <v>0.25</v>
      </c>
      <c r="Q96" s="5">
        <v>0.18</v>
      </c>
      <c r="R96" s="5">
        <v>0.64</v>
      </c>
      <c r="S96" s="123"/>
      <c r="T96" s="123"/>
      <c r="U96" s="123"/>
      <c r="V96" s="123"/>
      <c r="W96" s="123"/>
      <c r="X96" s="124"/>
      <c r="Y96" s="124"/>
    </row>
    <row r="97" spans="1:25" ht="12.75">
      <c r="B97" s="9"/>
      <c r="O97" s="123"/>
      <c r="P97" s="123"/>
      <c r="Q97" s="123"/>
      <c r="R97" s="123"/>
      <c r="S97" s="123"/>
      <c r="T97" s="123"/>
      <c r="U97" s="123"/>
      <c r="V97" s="123"/>
      <c r="W97" s="123"/>
      <c r="X97" s="124"/>
      <c r="Y97" s="124"/>
    </row>
    <row r="98" spans="1:25" ht="12.75">
      <c r="A98" s="4" t="s">
        <v>1761</v>
      </c>
      <c r="B98" s="117"/>
      <c r="C98" s="211"/>
      <c r="O98" s="123"/>
      <c r="P98" s="123"/>
      <c r="Q98" s="123"/>
      <c r="R98" s="123"/>
      <c r="S98" s="123"/>
      <c r="T98" s="123"/>
      <c r="U98" s="123"/>
      <c r="V98" s="123"/>
      <c r="W98" s="123"/>
      <c r="X98" s="124"/>
      <c r="Y98" s="124"/>
    </row>
    <row r="99" spans="1:25">
      <c r="A99" s="5" t="s">
        <v>1762</v>
      </c>
      <c r="B99" s="5" t="s">
        <v>1763</v>
      </c>
      <c r="C99" s="180">
        <v>1.2</v>
      </c>
    </row>
    <row r="100" spans="1:25">
      <c r="A100" s="5" t="s">
        <v>1765</v>
      </c>
      <c r="B100" s="5" t="s">
        <v>1764</v>
      </c>
      <c r="C100" s="230">
        <f>ROUND(1/1.4,2)</f>
        <v>0.71</v>
      </c>
    </row>
    <row r="101" spans="1:25">
      <c r="A101" s="5" t="s">
        <v>1766</v>
      </c>
      <c r="B101" s="5" t="s">
        <v>1769</v>
      </c>
      <c r="C101" s="179">
        <f>IF(Typ=NewConstruction,3.6*0.0815,3.6*0.0682)</f>
        <v>0.29339999999999999</v>
      </c>
    </row>
    <row r="102" spans="1:25">
      <c r="A102" s="5" t="s">
        <v>1767</v>
      </c>
      <c r="B102" s="5" t="s">
        <v>1770</v>
      </c>
      <c r="C102" s="179">
        <v>0.1</v>
      </c>
    </row>
    <row r="103" spans="1:25">
      <c r="A103" s="5" t="s">
        <v>1768</v>
      </c>
      <c r="B103" s="5" t="s">
        <v>1771</v>
      </c>
      <c r="C103" s="179">
        <v>7.0000000000000007E-2</v>
      </c>
    </row>
    <row r="104" spans="1:25">
      <c r="A104" s="5" t="s">
        <v>1792</v>
      </c>
      <c r="B104" s="5" t="s">
        <v>1793</v>
      </c>
      <c r="C104" s="5">
        <f>ROUND(IF(EnStandard=MEP,30/35*FaktorMEP_WE,30/35),2)</f>
        <v>0.86</v>
      </c>
    </row>
    <row r="105" spans="1:25" ht="12.75">
      <c r="B105" s="9"/>
    </row>
    <row r="106" spans="1:25" ht="12.75">
      <c r="B106" s="9"/>
    </row>
    <row r="107" spans="1:25" ht="12.75">
      <c r="B107" s="2"/>
    </row>
    <row r="108" spans="1:25">
      <c r="A108" s="4" t="s">
        <v>328</v>
      </c>
      <c r="B108" s="224" t="s">
        <v>145</v>
      </c>
      <c r="C108" s="4" t="str">
        <f>SNBS_Note&amp;" 1"</f>
        <v>Grado 1</v>
      </c>
      <c r="D108" s="4" t="str">
        <f>SNBS_Note&amp;" 2"</f>
        <v>Grado 2</v>
      </c>
      <c r="E108" s="4" t="str">
        <f>SNBS_Note&amp;" 3"</f>
        <v>Grado 3</v>
      </c>
      <c r="F108" s="4" t="str">
        <f>SNBS_Note&amp;" 4"</f>
        <v>Grado 4</v>
      </c>
      <c r="G108" s="4" t="str">
        <f>SNBS_Note&amp;" 5"</f>
        <v>Grado 5</v>
      </c>
      <c r="H108" s="4" t="str">
        <f>SNBS_Note&amp;" 6"</f>
        <v>Grado 6</v>
      </c>
      <c r="J108" s="5" t="e" cm="1">
        <f t="array" ref="J108">INDEX(SNBSnoten,1,MATCH(SumPE,C109:H109,-1)+1)</f>
        <v>#REF!</v>
      </c>
    </row>
    <row r="109" spans="1:25" ht="12.75">
      <c r="B109" s="9" t="str">
        <f>Texte!B125</f>
        <v>Amministrazione</v>
      </c>
      <c r="C109" s="5">
        <f>ROUND(1.4*IF(Typ=NewConstruction,EcoGW2_N,EcoGW2_M),1)</f>
        <v>60.3</v>
      </c>
      <c r="D109" s="5">
        <f>ROUND(1.2*IF(Typ=NewConstruction,EcoGW2_N,EcoGW2_M),1)</f>
        <v>51.7</v>
      </c>
      <c r="E109" s="5">
        <f>IF(Typ=NewConstruction,EcoGW2_N,EcoGW2_M)</f>
        <v>43.1</v>
      </c>
      <c r="F109" s="5">
        <f>ROUND(IF(Typ=NewConstruction,EcoGW2_N,EcoGW2_M)-0.5*(IF(Typ=NewConstruction,EcoGW2_N,EcoGW2_M)-IF(Typ=NewConstruction,EcoGW1_N,EcoGW1_M)),1)</f>
        <v>36.200000000000003</v>
      </c>
      <c r="G109" s="5">
        <f>IF(Typ=NewConstruction,EcoGW1_N,EcoGW1_M)</f>
        <v>29.2</v>
      </c>
      <c r="H109" s="5">
        <v>0</v>
      </c>
    </row>
    <row r="110" spans="1:25" ht="12.75">
      <c r="B110" s="9" t="str">
        <f>Texte!B126</f>
        <v>Scuola</v>
      </c>
      <c r="C110" s="5">
        <f>ROUND(1.4*IF(Typ=NewConstruction,EcoGW2_N,EcoGW2_M),1)</f>
        <v>60.3</v>
      </c>
      <c r="D110" s="5">
        <f>ROUND(1.2*IF(Typ=NewConstruction,EcoGW2_N,EcoGW2_M),1)</f>
        <v>51.7</v>
      </c>
      <c r="E110" s="5">
        <f>IF(Typ=NewConstruction,EcoGW2_N,EcoGW2_M)</f>
        <v>43.1</v>
      </c>
      <c r="F110" s="5">
        <f>ROUND(IF(Typ=NewConstruction,EcoGW2_N,EcoGW2_M)-0.5*(IF(Typ=NewConstruction,EcoGW2_N,EcoGW2_M)-IF(Typ=NewConstruction,EcoGW1_N,EcoGW1_M)),1)</f>
        <v>36.200000000000003</v>
      </c>
      <c r="G110" s="5">
        <f>IF(Typ=NewConstruction,EcoGW1_N,EcoGW1_M)</f>
        <v>29.2</v>
      </c>
      <c r="H110" s="5">
        <v>0</v>
      </c>
    </row>
    <row r="111" spans="1:25" ht="12.75">
      <c r="B111" s="9" t="str">
        <f>Texte!B127</f>
        <v>Abitazione monofamiliare</v>
      </c>
      <c r="C111" s="5">
        <f>ROUND(1.4*IF(Typ=NewConstruction,EcoGW2_N,EcoGW2_M),1)</f>
        <v>60.3</v>
      </c>
      <c r="D111" s="5">
        <f>ROUND(1.2*IF(Typ=NewConstruction,EcoGW2_N,EcoGW2_M),1)</f>
        <v>51.7</v>
      </c>
      <c r="E111" s="5">
        <f>IF(Typ=NewConstruction,EcoGW2_N,EcoGW2_M)</f>
        <v>43.1</v>
      </c>
      <c r="F111" s="5">
        <f>ROUND(IF(Typ=NewConstruction,EcoGW2_N,EcoGW2_M)-0.5*(IF(Typ=NewConstruction,EcoGW2_N,EcoGW2_M)-IF(Typ=NewConstruction,EcoGW1_N,EcoGW1_M)),1)</f>
        <v>36.200000000000003</v>
      </c>
      <c r="G111" s="5">
        <f>IF(Typ=NewConstruction,EcoGW1_N,EcoGW1_M)</f>
        <v>29.2</v>
      </c>
      <c r="H111" s="5">
        <v>0</v>
      </c>
    </row>
    <row r="112" spans="1:25" ht="12.75">
      <c r="B112" s="2"/>
    </row>
    <row r="113" spans="1:10">
      <c r="A113" s="4" t="s">
        <v>329</v>
      </c>
      <c r="B113" s="224" t="s">
        <v>145</v>
      </c>
      <c r="C113" s="4" t="str">
        <f>SNBS_Note&amp;" 1"</f>
        <v>Grado 1</v>
      </c>
      <c r="D113" s="4" t="str">
        <f>SNBS_Note&amp;" 2"</f>
        <v>Grado 2</v>
      </c>
      <c r="E113" s="4" t="str">
        <f>SNBS_Note&amp;" 3"</f>
        <v>Grado 3</v>
      </c>
      <c r="F113" s="4" t="str">
        <f>SNBS_Note&amp;" 4"</f>
        <v>Grado 4</v>
      </c>
      <c r="G113" s="4" t="str">
        <f>SNBS_Note&amp;" 5"</f>
        <v>Grado 5</v>
      </c>
      <c r="H113" s="4" t="str">
        <f>SNBS_Note&amp;" 6"</f>
        <v>Grado 6</v>
      </c>
      <c r="J113" s="5" t="e" cm="1">
        <f t="array" ref="J113">INDEX(SNBSnoten,1,MATCH(SumTHGE,C114:H114,-1)+1)</f>
        <v>#REF!</v>
      </c>
    </row>
    <row r="114" spans="1:10" ht="12.75">
      <c r="B114" s="9" t="str">
        <f>Texte!B125</f>
        <v>Amministrazione</v>
      </c>
      <c r="C114" s="5">
        <f>ROUND(1.4*IF(Typ=NewConstruction,EcoGWTH2_N,EcoGWTH2_M),1)</f>
        <v>17.3</v>
      </c>
      <c r="D114" s="5">
        <f>ROUND(1.2*IF(Typ=NewConstruction,EcoGWTH2_N,EcoGWTH2_M),1)</f>
        <v>14.8</v>
      </c>
      <c r="E114" s="5">
        <f>IF(Typ=NewConstruction,EcoGWTH2_N,EcoGWTH2_M)</f>
        <v>12.35</v>
      </c>
      <c r="F114" s="5">
        <f>ROUND(IF(Typ=NewConstruction,EcoGWTH2_N,EcoGWTH2_M)-0.5*(IF(Typ=NewConstruction,EcoGWTH2_N,EcoGWTH2_M)-IF(Typ=NewConstruction,EcoGWTH1_N,EcoGWTH1_M)),1)</f>
        <v>10.9</v>
      </c>
      <c r="G114" s="5">
        <f>IF(Typ=NewConstruction,EcoGWTH1_N,EcoGWTH1_M)</f>
        <v>9.4</v>
      </c>
      <c r="H114" s="5">
        <v>0</v>
      </c>
    </row>
    <row r="115" spans="1:10" ht="12.75">
      <c r="B115" s="9" t="str">
        <f>Texte!B126</f>
        <v>Scuola</v>
      </c>
      <c r="C115" s="5">
        <f>ROUND(1.4*IF(Typ=NewConstruction,EcoGWTH2_N,EcoGWTH2_M),1)</f>
        <v>17.3</v>
      </c>
      <c r="D115" s="5">
        <f>ROUND(1.2*IF(Typ=NewConstruction,EcoGWTH2_N,EcoGWTH2_M),1)</f>
        <v>14.8</v>
      </c>
      <c r="E115" s="5">
        <f>IF(Typ=NewConstruction,EcoGWTH2_N,EcoGWTH2_M)</f>
        <v>12.35</v>
      </c>
      <c r="F115" s="5">
        <f>ROUND(IF(Typ=NewConstruction,EcoGWTH2_N,EcoGWTH2_M)-0.5*(IF(Typ=NewConstruction,EcoGWTH2_N,EcoGWTH2_M)-IF(Typ=NewConstruction,EcoGWTH1_N,EcoGWTH1_M)),1)</f>
        <v>10.9</v>
      </c>
      <c r="G115" s="5">
        <f>IF(Typ=NewConstruction,EcoGWTH1_N,EcoGWTH1_M)</f>
        <v>9.4</v>
      </c>
      <c r="H115" s="5">
        <v>0</v>
      </c>
    </row>
    <row r="116" spans="1:10" ht="12.75">
      <c r="B116" s="9" t="str">
        <f>Texte!B127</f>
        <v>Abitazione monofamiliare</v>
      </c>
      <c r="C116" s="5">
        <f>ROUND(1.4*IF(Typ=NewConstruction,EcoGWTH2_N,EcoGWTH2_M),1)</f>
        <v>17.3</v>
      </c>
      <c r="D116" s="5">
        <f>ROUND(1.2*IF(Typ=NewConstruction,EcoGWTH2_N,EcoGWTH2_M),1)</f>
        <v>14.8</v>
      </c>
      <c r="E116" s="5">
        <f>IF(Typ=NewConstruction,EcoGWTH2_N,EcoGWTH2_M)</f>
        <v>12.35</v>
      </c>
      <c r="F116" s="5">
        <f>ROUND(IF(Typ=NewConstruction,EcoGWTH2_N,EcoGWTH2_M)-0.5*(IF(Typ=NewConstruction,EcoGWTH2_N,EcoGWTH2_M)-IF(Typ=NewConstruction,EcoGWTH1_N,EcoGWTH1_M)),1)</f>
        <v>10.9</v>
      </c>
      <c r="G116" s="5">
        <f>IF(Typ=NewConstruction,EcoGWTH1_N,EcoGWTH1_M)</f>
        <v>9.4</v>
      </c>
      <c r="H116" s="5">
        <v>0</v>
      </c>
    </row>
    <row r="118" spans="1:10">
      <c r="A118" s="4" t="s">
        <v>330</v>
      </c>
      <c r="B118" s="224" t="s">
        <v>145</v>
      </c>
      <c r="C118" s="4" t="s">
        <v>378</v>
      </c>
      <c r="D118" s="4" t="s">
        <v>379</v>
      </c>
    </row>
    <row r="119" spans="1:10">
      <c r="B119" s="5" t="str">
        <f>Texte!B129</f>
        <v>Abitazione</v>
      </c>
      <c r="C119" s="5">
        <v>30</v>
      </c>
      <c r="D119" s="5">
        <v>20</v>
      </c>
    </row>
    <row r="120" spans="1:10">
      <c r="B120" s="5" t="str">
        <f>Texte!B130</f>
        <v>Amministrazione</v>
      </c>
      <c r="C120" s="5">
        <v>40</v>
      </c>
      <c r="D120" s="5">
        <v>20</v>
      </c>
    </row>
    <row r="121" spans="1:10">
      <c r="B121" s="5" t="str">
        <f>Texte!B131</f>
        <v>Scuola</v>
      </c>
      <c r="C121" s="5">
        <v>30</v>
      </c>
      <c r="D121" s="5">
        <v>20</v>
      </c>
    </row>
    <row r="122" spans="1:10">
      <c r="B122" s="5" t="str">
        <f>Texte!B132</f>
        <v>Negozio specializzato</v>
      </c>
      <c r="C122" s="5">
        <v>40</v>
      </c>
      <c r="D122" s="5">
        <v>20</v>
      </c>
    </row>
    <row r="123" spans="1:10">
      <c r="B123" s="5" t="str">
        <f>Texte!B133</f>
        <v>Negozio alimentari</v>
      </c>
      <c r="C123" s="5">
        <v>40</v>
      </c>
      <c r="D123" s="5">
        <v>20</v>
      </c>
    </row>
    <row r="124" spans="1:10">
      <c r="B124" s="5" t="str">
        <f>Texte!B134</f>
        <v>Ristorante</v>
      </c>
      <c r="C124" s="5">
        <v>40</v>
      </c>
      <c r="D124" s="5">
        <v>20</v>
      </c>
    </row>
    <row r="126" spans="1:10">
      <c r="A126" s="4" t="s">
        <v>333</v>
      </c>
      <c r="B126" s="224" t="s">
        <v>145</v>
      </c>
      <c r="C126" s="4" t="s">
        <v>378</v>
      </c>
      <c r="D126" s="4" t="s">
        <v>379</v>
      </c>
    </row>
    <row r="127" spans="1:10">
      <c r="B127" s="5" t="str">
        <f>Texte!B129</f>
        <v>Abitazione</v>
      </c>
      <c r="C127" s="5">
        <v>9</v>
      </c>
      <c r="D127" s="5">
        <v>5</v>
      </c>
    </row>
    <row r="128" spans="1:10">
      <c r="B128" s="5" t="str">
        <f>Texte!B130</f>
        <v>Amministrazione</v>
      </c>
      <c r="C128" s="5">
        <v>9</v>
      </c>
      <c r="D128" s="5">
        <v>6</v>
      </c>
    </row>
    <row r="129" spans="1:14">
      <c r="B129" s="5" t="str">
        <f>Texte!B131</f>
        <v>Scuola</v>
      </c>
      <c r="C129" s="5">
        <v>9</v>
      </c>
      <c r="D129" s="5">
        <v>6</v>
      </c>
    </row>
    <row r="130" spans="1:14">
      <c r="B130" s="5" t="str">
        <f>Texte!B132</f>
        <v>Negozio specializzato</v>
      </c>
      <c r="C130" s="5">
        <v>9</v>
      </c>
      <c r="D130" s="5">
        <v>6</v>
      </c>
    </row>
    <row r="131" spans="1:14">
      <c r="B131" s="5" t="str">
        <f>Texte!B133</f>
        <v>Negozio alimentari</v>
      </c>
      <c r="C131" s="5">
        <v>9</v>
      </c>
      <c r="D131" s="5">
        <v>5</v>
      </c>
    </row>
    <row r="132" spans="1:14">
      <c r="B132" s="5" t="str">
        <f>Texte!B134</f>
        <v>Ristorante</v>
      </c>
      <c r="C132" s="5">
        <v>9</v>
      </c>
      <c r="D132" s="5">
        <v>5</v>
      </c>
    </row>
    <row r="135" spans="1:14">
      <c r="A135" s="4" t="s">
        <v>213</v>
      </c>
      <c r="B135" s="4" t="s">
        <v>23</v>
      </c>
      <c r="C135" s="4" t="s">
        <v>213</v>
      </c>
      <c r="D135" s="4" t="s">
        <v>275</v>
      </c>
      <c r="E135" s="4" t="s">
        <v>276</v>
      </c>
      <c r="F135" s="4" t="s">
        <v>242</v>
      </c>
      <c r="G135" s="4" t="s">
        <v>280</v>
      </c>
      <c r="H135" s="4" t="s">
        <v>286</v>
      </c>
      <c r="I135" s="4" t="s">
        <v>479</v>
      </c>
      <c r="J135" s="4" t="s">
        <v>2401</v>
      </c>
      <c r="K135" s="4" t="s">
        <v>2402</v>
      </c>
      <c r="M135" s="4" t="s">
        <v>2417</v>
      </c>
      <c r="N135" s="4" t="s">
        <v>2418</v>
      </c>
    </row>
    <row r="136" spans="1:14">
      <c r="B136" s="5" t="str">
        <f>Texte!B148</f>
        <v>B Preparazione</v>
      </c>
      <c r="C136" s="5" t="s">
        <v>216</v>
      </c>
      <c r="D136" s="5" t="str">
        <f>"N_"&amp;C136</f>
        <v>N_BKP_B</v>
      </c>
      <c r="E136" s="5" t="str">
        <f>"R_"&amp;C136</f>
        <v>R_BKP_B</v>
      </c>
      <c r="F136" s="5" t="s">
        <v>20</v>
      </c>
      <c r="G136" s="5" t="s">
        <v>281</v>
      </c>
      <c r="I136" s="5">
        <v>1</v>
      </c>
      <c r="J136" s="5" t="str">
        <f>Nein</f>
        <v>No</v>
      </c>
      <c r="K136" s="5" t="str">
        <f>Nein</f>
        <v>No</v>
      </c>
      <c r="M136" s="5" t="str">
        <f>IF(OR(IF(Typ=NewConstruction,J136,K136)=Nein,COUNTIF(Calcolo!$B$18:$B$42,Constants!B136)&gt;0),Ja,Nein)</f>
        <v>Si</v>
      </c>
      <c r="N136" s="5" t="str">
        <f t="shared" ref="N136:N146" si="2">IF(M136=Nein,LEFT(B136,SEARCH(" ",B136)-1)&amp;", ","")</f>
        <v/>
      </c>
    </row>
    <row r="137" spans="1:14">
      <c r="B137" s="5" t="str">
        <f>Texte!B149</f>
        <v>C 1 Platea, fondazione</v>
      </c>
      <c r="C137" s="5" t="s">
        <v>217</v>
      </c>
      <c r="D137" s="5" t="str">
        <f t="shared" ref="D137:D146" si="3">"N_"&amp;C137</f>
        <v>N_BKP_C1</v>
      </c>
      <c r="E137" s="5" t="str">
        <f t="shared" ref="E137:E146" si="4">"R_"&amp;C137</f>
        <v>R_BKP_C1</v>
      </c>
      <c r="F137" s="5" t="s">
        <v>19</v>
      </c>
      <c r="H137" s="5" t="s">
        <v>287</v>
      </c>
      <c r="I137" s="5">
        <v>1.2</v>
      </c>
      <c r="J137" s="5" t="str">
        <f>Ja</f>
        <v>Si</v>
      </c>
      <c r="K137" s="5" t="str">
        <f t="shared" ref="K137:K146" si="5">Nein</f>
        <v>No</v>
      </c>
      <c r="M137" s="5" t="str">
        <f>IF(OR(IF(Typ=NewConstruction,J137,K137)=Nein,COUNTIF(Calcolo!$B$18:$B$42,Constants!B137)&gt;0),Ja,Nein)</f>
        <v>No</v>
      </c>
      <c r="N137" s="5" t="str">
        <f t="shared" si="2"/>
        <v xml:space="preserve">C, </v>
      </c>
    </row>
    <row r="138" spans="1:14">
      <c r="B138" s="5" t="str">
        <f>Texte!B150</f>
        <v>C 2.1 Parete grezza est. c. terra</v>
      </c>
      <c r="C138" s="5" t="s">
        <v>218</v>
      </c>
      <c r="D138" s="5" t="str">
        <f t="shared" si="3"/>
        <v>N_BKP_C211</v>
      </c>
      <c r="E138" s="5" t="str">
        <f t="shared" si="4"/>
        <v>R_BKP_C211</v>
      </c>
      <c r="F138" s="5" t="s">
        <v>19</v>
      </c>
      <c r="H138" s="5" t="s">
        <v>287</v>
      </c>
      <c r="I138" s="5">
        <v>1.2</v>
      </c>
      <c r="J138" s="5" t="str">
        <f>IF(StockwerkeUT&gt;0,Ja,Nein)</f>
        <v>No</v>
      </c>
      <c r="K138" s="5" t="str">
        <f t="shared" si="5"/>
        <v>No</v>
      </c>
      <c r="M138" s="5" t="str">
        <f>IF(OR(IF(Typ=NewConstruction,J138,K138)=Nein,COUNTIF(Calcolo!$B$18:$B$42,Constants!B138)&gt;0),Ja,Nein)</f>
        <v>Si</v>
      </c>
      <c r="N138" s="5" t="str">
        <f t="shared" si="2"/>
        <v/>
      </c>
    </row>
    <row r="139" spans="1:14">
      <c r="B139" s="5" t="str">
        <f>Texte!B151</f>
        <v>C 2.1 Parete grezza est. fuori terra</v>
      </c>
      <c r="C139" s="5" t="s">
        <v>219</v>
      </c>
      <c r="D139" s="5" t="str">
        <f t="shared" si="3"/>
        <v>N_BKP_C212</v>
      </c>
      <c r="E139" s="5" t="str">
        <f t="shared" si="4"/>
        <v>R_BKP_C212</v>
      </c>
      <c r="F139" s="5" t="s">
        <v>19</v>
      </c>
      <c r="H139" s="5" t="s">
        <v>287</v>
      </c>
      <c r="I139" s="5">
        <v>1.2</v>
      </c>
      <c r="J139" s="5" t="str">
        <f>Ja</f>
        <v>Si</v>
      </c>
      <c r="K139" s="5" t="str">
        <f t="shared" si="5"/>
        <v>No</v>
      </c>
      <c r="M139" s="5" t="str">
        <f>IF(OR(IF(Typ=NewConstruction,J139,K139)=Nein,COUNTIF(Calcolo!$B$18:$B$42,Constants!B139)&gt;0),Ja,Nein)</f>
        <v>No</v>
      </c>
      <c r="N139" s="5" t="str">
        <f t="shared" si="2"/>
        <v xml:space="preserve">C, </v>
      </c>
    </row>
    <row r="140" spans="1:14">
      <c r="B140" s="5" t="str">
        <f>Texte!B152</f>
        <v>C 2.2 Pareti interne</v>
      </c>
      <c r="C140" s="5" t="s">
        <v>220</v>
      </c>
      <c r="D140" s="5" t="str">
        <f t="shared" si="3"/>
        <v>N_BKP_C22</v>
      </c>
      <c r="E140" s="5" t="str">
        <f t="shared" si="4"/>
        <v>R_BKP_C22</v>
      </c>
      <c r="F140" s="5" t="s">
        <v>20</v>
      </c>
      <c r="G140" s="5" t="s">
        <v>282</v>
      </c>
      <c r="H140" s="5" t="s">
        <v>288</v>
      </c>
      <c r="I140" s="5">
        <v>1</v>
      </c>
      <c r="J140" s="5" t="str">
        <f>Ja</f>
        <v>Si</v>
      </c>
      <c r="K140" s="5" t="str">
        <f t="shared" si="5"/>
        <v>No</v>
      </c>
      <c r="M140" s="5" t="str">
        <f>IF(OR(IF(Typ=NewConstruction,J140,K140)=Nein,COUNTIF(Calcolo!$B$18:$B$42,Constants!B140)&gt;0),Ja,Nein)</f>
        <v>No</v>
      </c>
      <c r="N140" s="5" t="str">
        <f t="shared" si="2"/>
        <v xml:space="preserve">C, </v>
      </c>
    </row>
    <row r="141" spans="1:14">
      <c r="B141" s="5" t="str">
        <f>Texte!B153</f>
        <v>C 4.1 Soletta</v>
      </c>
      <c r="C141" s="5" t="s">
        <v>221</v>
      </c>
      <c r="D141" s="5" t="str">
        <f t="shared" si="3"/>
        <v>N_BKP_C41</v>
      </c>
      <c r="E141" s="5" t="str">
        <f t="shared" si="4"/>
        <v>R_BKP_C41</v>
      </c>
      <c r="F141" s="5" t="s">
        <v>20</v>
      </c>
      <c r="G141" s="5" t="s">
        <v>283</v>
      </c>
      <c r="H141" s="5" t="s">
        <v>288</v>
      </c>
      <c r="I141" s="5">
        <v>1</v>
      </c>
      <c r="J141" s="5" t="str">
        <f>IF(StockwerkeUH&gt;0,Ja,Nein)</f>
        <v>No</v>
      </c>
      <c r="K141" s="5" t="str">
        <f t="shared" si="5"/>
        <v>No</v>
      </c>
      <c r="M141" s="5" t="str">
        <f>IF(OR(IF(Typ=NewConstruction,J141,K141)=Nein,COUNTIF(Calcolo!$B$18:$B$42,Constants!B141)&gt;0),Ja,Nein)</f>
        <v>Si</v>
      </c>
      <c r="N141" s="5" t="str">
        <f t="shared" si="2"/>
        <v/>
      </c>
    </row>
    <row r="142" spans="1:14">
      <c r="B142" s="5" t="str">
        <f>Texte!B154</f>
        <v>C 4.3 Balcone</v>
      </c>
      <c r="C142" s="5" t="s">
        <v>222</v>
      </c>
      <c r="D142" s="5" t="str">
        <f t="shared" si="3"/>
        <v>N_BKP_C43</v>
      </c>
      <c r="E142" s="5" t="str">
        <f t="shared" si="4"/>
        <v>R_BKP_C43</v>
      </c>
      <c r="F142" s="5" t="s">
        <v>19</v>
      </c>
      <c r="I142" s="5">
        <v>1</v>
      </c>
      <c r="J142" s="5" t="str">
        <f>Nein</f>
        <v>No</v>
      </c>
      <c r="K142" s="5" t="str">
        <f t="shared" si="5"/>
        <v>No</v>
      </c>
      <c r="M142" s="5" t="str">
        <f>IF(OR(IF(Typ=NewConstruction,J142,K142)=Nein,COUNTIF(Calcolo!$B$18:$B$42,Constants!B142)&gt;0),Ja,Nein)</f>
        <v>Si</v>
      </c>
      <c r="N142" s="5" t="str">
        <f t="shared" si="2"/>
        <v/>
      </c>
    </row>
    <row r="143" spans="1:14">
      <c r="B143" s="5" t="str">
        <f>Texte!B155</f>
        <v>C 4.4 Struttura portante del tetto</v>
      </c>
      <c r="C143" s="5" t="s">
        <v>223</v>
      </c>
      <c r="D143" s="5" t="str">
        <f t="shared" si="3"/>
        <v>N_BKP_C44</v>
      </c>
      <c r="E143" s="5" t="str">
        <f t="shared" si="4"/>
        <v>R_BKP_C44</v>
      </c>
      <c r="F143" s="5" t="s">
        <v>19</v>
      </c>
      <c r="H143" s="5" t="s">
        <v>287</v>
      </c>
      <c r="I143" s="5">
        <v>1.2</v>
      </c>
      <c r="J143" s="5" t="str">
        <f>Ja</f>
        <v>Si</v>
      </c>
      <c r="K143" s="5" t="str">
        <f t="shared" si="5"/>
        <v>No</v>
      </c>
      <c r="M143" s="5" t="str">
        <f>IF(OR(IF(Typ=NewConstruction,J143,K143)=Nein,COUNTIF(Calcolo!$B$18:$B$42,Constants!B143)&gt;0),Ja,Nein)</f>
        <v>No</v>
      </c>
      <c r="N143" s="5" t="str">
        <f t="shared" si="2"/>
        <v xml:space="preserve">C, </v>
      </c>
    </row>
    <row r="144" spans="1:14">
      <c r="B144" s="5" t="str">
        <f>Texte!B156</f>
        <v>D Impianti tecnici edifico</v>
      </c>
      <c r="C144" s="5" t="s">
        <v>224</v>
      </c>
      <c r="D144" s="5" t="str">
        <f t="shared" si="3"/>
        <v>N_BKP_D</v>
      </c>
      <c r="E144" s="5" t="str">
        <f t="shared" si="4"/>
        <v>R_BKP_D</v>
      </c>
      <c r="F144" s="5" t="s">
        <v>20</v>
      </c>
      <c r="G144" s="5" t="s">
        <v>284</v>
      </c>
      <c r="I144" s="5">
        <v>1</v>
      </c>
      <c r="J144" s="5" t="str">
        <f>Nein</f>
        <v>No</v>
      </c>
      <c r="K144" s="5" t="str">
        <f t="shared" si="5"/>
        <v>No</v>
      </c>
      <c r="M144" s="5" t="str">
        <f>IF(OR(IF(Typ=NewConstruction,J144,K144)=Nein,COUNTIF(Calcolo!$B$18:$B$42,Constants!B144)&gt;0),Ja,Nein)</f>
        <v>Si</v>
      </c>
      <c r="N144" s="5" t="str">
        <f t="shared" si="2"/>
        <v/>
      </c>
    </row>
    <row r="145" spans="1:14">
      <c r="B145" s="5" t="str">
        <f>Texte!B159</f>
        <v>E 3 Infisso in facciata</v>
      </c>
      <c r="C145" s="5" t="s">
        <v>225</v>
      </c>
      <c r="D145" s="5" t="str">
        <f t="shared" si="3"/>
        <v>N_BKP_E3</v>
      </c>
      <c r="E145" s="5" t="str">
        <f t="shared" si="4"/>
        <v>R_BKP_E3</v>
      </c>
      <c r="F145" s="5" t="s">
        <v>19</v>
      </c>
      <c r="H145" s="5" t="s">
        <v>287</v>
      </c>
      <c r="I145" s="5">
        <v>1.2</v>
      </c>
      <c r="J145" s="5" t="str">
        <f>Ja</f>
        <v>Si</v>
      </c>
      <c r="K145" s="5" t="str">
        <f t="shared" si="5"/>
        <v>No</v>
      </c>
      <c r="M145" s="5" t="str">
        <f>IF(OR(IF(Typ=NewConstruction,J145,K145)=Nein,COUNTIF(Calcolo!$B$18:$B$42,Constants!B145)&gt;0),Ja,Nein)</f>
        <v>No</v>
      </c>
      <c r="N145" s="5" t="str">
        <f t="shared" si="2"/>
        <v xml:space="preserve">E, </v>
      </c>
    </row>
    <row r="146" spans="1:14">
      <c r="B146" s="5" t="str">
        <f>Texte!B161</f>
        <v>G Finiture interne edificio</v>
      </c>
      <c r="C146" s="5" t="s">
        <v>226</v>
      </c>
      <c r="D146" s="5" t="str">
        <f t="shared" si="3"/>
        <v>N_BKP_G</v>
      </c>
      <c r="E146" s="5" t="str">
        <f t="shared" si="4"/>
        <v>R_BKP_G</v>
      </c>
      <c r="F146" s="5" t="s">
        <v>19</v>
      </c>
      <c r="I146" s="5">
        <v>1</v>
      </c>
      <c r="J146" s="5" t="str">
        <f>Nein</f>
        <v>No</v>
      </c>
      <c r="K146" s="5" t="str">
        <f t="shared" si="5"/>
        <v>No</v>
      </c>
      <c r="M146" s="5" t="str">
        <f>IF(OR(IF(Typ=NewConstruction,J146,K146)=Nein,COUNTIF(Calcolo!$B$18:$B$42,Constants!B146)&gt;0),Ja,Nein)</f>
        <v>Si</v>
      </c>
      <c r="N146" s="5" t="str">
        <f t="shared" si="2"/>
        <v/>
      </c>
    </row>
    <row r="147" spans="1:14">
      <c r="M147" s="258" t="str">
        <f>IF(COUNTIF(M136:M146,Ja)=ROWS(M136:M146),Ja,Nein)</f>
        <v>No</v>
      </c>
      <c r="N147" s="258" t="str">
        <f>IF(M147=Ja,Texte!B173,Texte!B174&amp;LEFT(N136&amp;N137&amp;N138&amp;N139&amp;N140&amp;N141&amp;N142&amp;N143&amp;N144&amp;N145&amp;N146,LEN(N136&amp;N137&amp;N138&amp;N139&amp;N140&amp;N141&amp;N142&amp;N143&amp;N144&amp;N145&amp;N146)-2)&amp;".")</f>
        <v>Mancano i gruppi di elementi C, C, C, C, E.</v>
      </c>
    </row>
    <row r="148" spans="1:14" ht="15.75">
      <c r="A148" s="4" t="s">
        <v>338</v>
      </c>
      <c r="B148" s="4" t="s">
        <v>23</v>
      </c>
      <c r="C148" s="108" t="s">
        <v>339</v>
      </c>
    </row>
    <row r="149" spans="1:14">
      <c r="A149" s="5" t="s">
        <v>340</v>
      </c>
      <c r="B149" s="5" t="str">
        <f>Texte!B137</f>
        <v>Poche (per es. loft)</v>
      </c>
      <c r="C149" s="5">
        <v>0.25</v>
      </c>
    </row>
    <row r="150" spans="1:14">
      <c r="B150" s="5" t="str">
        <f>Texte!B138</f>
        <v>Numero normale</v>
      </c>
      <c r="C150" s="5">
        <v>0.4</v>
      </c>
    </row>
    <row r="151" spans="1:14">
      <c r="B151" s="5" t="str">
        <f>Texte!B139</f>
        <v>Molte (per es. hotel)</v>
      </c>
      <c r="C151" s="5">
        <v>0.5</v>
      </c>
    </row>
    <row r="155" spans="1:14">
      <c r="A155" s="4" t="s">
        <v>24</v>
      </c>
      <c r="B155" s="4" t="s">
        <v>23</v>
      </c>
      <c r="C155" s="211"/>
      <c r="D155" s="211"/>
      <c r="E155" s="211"/>
    </row>
    <row r="156" spans="1:14">
      <c r="B156" s="5" t="s">
        <v>25</v>
      </c>
      <c r="C156" s="5">
        <v>0.7</v>
      </c>
      <c r="D156" s="5">
        <v>100</v>
      </c>
      <c r="E156" s="5" t="str">
        <f>Texte!$B$363</f>
        <v>ampiamente soddisfatte</v>
      </c>
    </row>
    <row r="157" spans="1:14">
      <c r="A157" s="3"/>
      <c r="B157" s="5" t="s">
        <v>26</v>
      </c>
      <c r="C157" s="5">
        <v>0.5</v>
      </c>
      <c r="D157" s="5">
        <f>Gut</f>
        <v>0.7</v>
      </c>
      <c r="E157" s="5" t="str">
        <f>Texte!$B$364</f>
        <v>soddisfatte</v>
      </c>
    </row>
    <row r="158" spans="1:14">
      <c r="A158" s="3"/>
      <c r="B158" s="5" t="s">
        <v>27</v>
      </c>
      <c r="C158" s="5">
        <v>0</v>
      </c>
      <c r="D158" s="5">
        <f>Befriedigend</f>
        <v>0.5</v>
      </c>
      <c r="E158" s="5" t="str">
        <f>Texte!$B$365</f>
        <v>non soddisfatte</v>
      </c>
    </row>
    <row r="159" spans="1:14" ht="15.75" customHeight="1">
      <c r="A159" s="3"/>
    </row>
    <row r="160" spans="1:14">
      <c r="A160" s="3" t="s">
        <v>28</v>
      </c>
      <c r="B160" s="5" t="s">
        <v>2400</v>
      </c>
    </row>
    <row r="163" spans="1:11">
      <c r="A163" s="4" t="s">
        <v>2416</v>
      </c>
      <c r="B163" s="4" t="s">
        <v>23</v>
      </c>
      <c r="C163" s="4" t="s">
        <v>2419</v>
      </c>
      <c r="E163" s="4" t="s">
        <v>2417</v>
      </c>
      <c r="F163" s="211"/>
      <c r="G163" s="211"/>
      <c r="H163" s="211"/>
      <c r="I163" s="211"/>
      <c r="J163" s="211"/>
      <c r="K163" s="211"/>
    </row>
    <row r="164" spans="1:11">
      <c r="B164" s="256" t="s">
        <v>2406</v>
      </c>
    </row>
    <row r="165" spans="1:11">
      <c r="B165" s="256" t="s">
        <v>368</v>
      </c>
      <c r="E165" s="256"/>
    </row>
    <row r="166" spans="1:11">
      <c r="B166" s="257" t="s">
        <v>2407</v>
      </c>
      <c r="C166" s="5" t="str">
        <f>Texte!B163</f>
        <v>Imp. ventilazione</v>
      </c>
      <c r="E166" s="257" t="str">
        <f>IF(Typ=NewConstruction,IF(COUNTIF(Calcolo!$W$18:$W$42,B166)&gt;0,Ja,Nein),IF(OR(AND(VentNeu=Ja,COUNTIF(Calcolo!$W$18:$W$42,B166)&gt;0),VentNeu=Nein),Ja,Nein))</f>
        <v>No</v>
      </c>
      <c r="F166" s="5" t="str">
        <f>IF(E166=Nein,Constants!C166&amp;", ","")</f>
        <v xml:space="preserve">Imp. ventilazione, </v>
      </c>
    </row>
    <row r="167" spans="1:11">
      <c r="B167" s="257" t="s">
        <v>2408</v>
      </c>
      <c r="C167" s="5" t="str">
        <f>Texte!B164</f>
        <v>Imp. elettrico</v>
      </c>
      <c r="E167" s="257" t="str">
        <f>IF(Typ=NewConstruction,IF(COUNTIF(Calcolo!$W$18:$W$42,B167)&gt;0,Ja,Nein),IF(OR(AND(ElNeu=Ja,COUNTIF(Calcolo!$W$18:$W$42,B167)&gt;0),ElNeu=Nein),Ja,Nein))</f>
        <v>No</v>
      </c>
      <c r="F167" s="5" t="str">
        <f>IF(E167=Nein,Constants!C167&amp;", ","")</f>
        <v xml:space="preserve">Imp. elettrico, </v>
      </c>
    </row>
    <row r="168" spans="1:11">
      <c r="B168" s="257" t="s">
        <v>2410</v>
      </c>
      <c r="C168" s="5" t="str">
        <f>Texte!B165</f>
        <v>Sonde geot.</v>
      </c>
      <c r="E168" s="257" t="str">
        <f>IF(Typ=NewConstruction,IF(OR(ErdSonde=Nein,COUNTIF(Calcolo!$W$18:$W$42,B168)&gt;0),Ja,Nein),IF(OR(AND(ErdSonde=Ja,COUNTIF(Calcolo!$W$18:$W$42,B168)&gt;0),ErdSonde=Nein),Ja,Nein))</f>
        <v>Si</v>
      </c>
      <c r="F168" s="5" t="str">
        <f>IF(E168=Nein,Constants!C168&amp;", ","")</f>
        <v/>
      </c>
    </row>
    <row r="169" spans="1:11">
      <c r="B169" s="257" t="s">
        <v>2411</v>
      </c>
      <c r="C169" s="5" t="str">
        <f>Texte!B166</f>
        <v>Coll. Solare</v>
      </c>
      <c r="E169" s="257" t="str">
        <f>IF(Typ=NewConstruction,IF(OR(ThermieFlaeche=0,COUNTIF(Calcolo!$W$18:$W$42,B169)&gt;0),Ja,Nein),IF(OR(AND(ThermieFlaeche&gt;0,COUNTIF(Calcolo!$W$18:$W$42,B169)&gt;0),ThermieFlaeche=0),Ja,Nein))</f>
        <v>Si</v>
      </c>
      <c r="F169" s="5" t="str">
        <f>IF(E169=Nein,Constants!C169&amp;", ","")</f>
        <v/>
      </c>
    </row>
    <row r="170" spans="1:11">
      <c r="B170" s="257" t="s">
        <v>2409</v>
      </c>
      <c r="C170" s="5" t="str">
        <f>Texte!B167</f>
        <v>Imp. Sanitari</v>
      </c>
      <c r="E170" s="257" t="str">
        <f>IF(Typ=NewConstruction,IF(COUNTIF(Calcolo!$W$18:$W$42,B170)&gt;0,Ja,Nein),IF(OR(AND(SanNeu=Ja,COUNTIF(Calcolo!$W$18:$W$42,B170)&gt;0),SanNeu=Nein),Ja,Nein))</f>
        <v>No</v>
      </c>
      <c r="F170" s="5" t="str">
        <f>IF(E170=Nein,Constants!C170&amp;", ","")</f>
        <v xml:space="preserve">Imp. Sanitari, </v>
      </c>
    </row>
    <row r="171" spans="1:11">
      <c r="B171" s="257" t="s">
        <v>2412</v>
      </c>
      <c r="C171" s="5" t="str">
        <f>Texte!B168</f>
        <v>Imp. Fotovoltaico</v>
      </c>
      <c r="E171" s="257" t="str">
        <f>IF(Typ=NewConstruction,IF(OR(PVflaeche=0,COUNTIF(Calcolo!$W$18:$W$42,B171)&gt;0),Ja,Nein),IF(OR(AND(PVflaeche&gt;0,COUNTIF(Calcolo!$W$18:$W$42,B171)&gt;0),PVflaeche=0),Ja,Nein))</f>
        <v>Si</v>
      </c>
      <c r="F171" s="5" t="str">
        <f>IF(E171=Nein,Constants!C171&amp;", ","")</f>
        <v/>
      </c>
    </row>
    <row r="172" spans="1:11">
      <c r="B172" s="257" t="s">
        <v>2414</v>
      </c>
      <c r="C172" s="5" t="str">
        <f>Texte!B169</f>
        <v>Emiss. Calore</v>
      </c>
      <c r="E172" s="257" t="str">
        <f>IF(Typ=NewConstruction,IF(COUNTIF(Calcolo!$W$18:$W$42,B172)&gt;0,Ja,Nein),IF(OR(AND(WAneu=Ja,COUNTIF(Calcolo!$W$18:$W$42,B172)&gt;0),WAneu=Nein),Ja,Nein))</f>
        <v>No</v>
      </c>
      <c r="F172" s="5" t="str">
        <f>IF(E172=Nein,Constants!C172&amp;", ","")</f>
        <v xml:space="preserve">Emiss. Calore, </v>
      </c>
    </row>
    <row r="173" spans="1:11">
      <c r="B173" s="257" t="s">
        <v>2415</v>
      </c>
      <c r="C173" s="5" t="str">
        <f>Texte!B170</f>
        <v>Gen. Termico</v>
      </c>
      <c r="E173" s="257" t="str">
        <f>IF(Typ=NewConstruction,IF(COUNTIF(Calcolo!$W$18:$W$42,B173)&gt;0,Ja,Nein),IF(OR(AND(WEneu=Ja,COUNTIF(Calcolo!$W$18:$W$42,B173)&gt;0),WEneu=Nein),Ja,Nein))</f>
        <v>No</v>
      </c>
      <c r="F173" s="5" t="str">
        <f>IF(E173=Nein,Constants!C173&amp;", ","")</f>
        <v xml:space="preserve">Gen. Termico, </v>
      </c>
    </row>
    <row r="174" spans="1:11">
      <c r="B174" s="257" t="s">
        <v>2413</v>
      </c>
      <c r="C174" s="5" t="str">
        <f>Texte!B171</f>
        <v>Distr. Calore</v>
      </c>
      <c r="E174" s="257" t="str">
        <f>IF(Typ=NewConstruction,IF(COUNTIF(Calcolo!$W$18:$W$42,B174)&gt;0,Ja,Nein),IF(OR(AND(WVneu=Ja,COUNTIF(Calcolo!$W$18:$W$42,B174)&gt;0),WVneu=Nein),Ja,Nein))</f>
        <v>No</v>
      </c>
      <c r="F174" s="5" t="str">
        <f>IF(E174=Nein,Constants!C174&amp;", ","")</f>
        <v xml:space="preserve">Distr. Calore, </v>
      </c>
    </row>
    <row r="175" spans="1:11">
      <c r="E175" s="258" t="str">
        <f>IF(COUNTIF(E166:E174,Ja)=ROWS(E166:E174),Ja,Nein)</f>
        <v>No</v>
      </c>
      <c r="F175" s="258" t="str">
        <f>IF(E175=Ja,Texte!B175,Texte!B176&amp;LEFT(F166&amp;F167&amp;F168&amp;F169&amp;F170&amp;F171&amp;F172&amp;F173&amp;F174,LEN(F166&amp;F167&amp;F168&amp;F169&amp;F170&amp;F171&amp;F172&amp;F173&amp;F174)-2)&amp;".")</f>
        <v>Mancano gli elementi tecniciImp. ventilazione, Imp. elettrico, Imp. Sanitari, Emiss. Calore, Gen. Termico, Distr. Calore.</v>
      </c>
      <c r="G175" s="258"/>
      <c r="H175" s="258"/>
      <c r="I175" s="258"/>
      <c r="J175" s="258"/>
      <c r="K175" s="258"/>
    </row>
  </sheetData>
  <sheetProtection selectLockedCells="1" selectUnlockedCells="1"/>
  <sortState xmlns:xlrd2="http://schemas.microsoft.com/office/spreadsheetml/2017/richdata2" ref="B44:H46">
    <sortCondition ref="B44"/>
  </sortState>
  <phoneticPr fontId="15" type="noConversion"/>
  <conditionalFormatting sqref="B166:B171">
    <cfRule type="expression" dxfId="170" priority="3">
      <formula>$N165=Fehler</formula>
    </cfRule>
  </conditionalFormatting>
  <conditionalFormatting sqref="B172:B174">
    <cfRule type="expression" dxfId="169" priority="4">
      <formula>#REF!=Fehler</formula>
    </cfRule>
  </conditionalFormatting>
  <conditionalFormatting sqref="E166:E171">
    <cfRule type="expression" dxfId="168" priority="1">
      <formula>$N166=Fehler</formula>
    </cfRule>
  </conditionalFormatting>
  <conditionalFormatting sqref="E172:E174">
    <cfRule type="expression" dxfId="167" priority="2">
      <formula>#REF!=Fehler</formula>
    </cfRule>
  </conditionalFormatting>
  <dataValidations count="1">
    <dataValidation type="list" allowBlank="1" showInputMessage="1" showErrorMessage="1" sqref="B5" xr:uid="{00000000-0002-0000-0300-000000000000}">
      <formula1>ListSprache</formula1>
    </dataValidation>
  </dataValidations>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8" r:id="rId4" name="Button 18">
              <controlPr defaultSize="0" print="0" autoFill="0" autoPict="0" macro="[0]!LangChange_sheets_validation" altText="Tabellen umbenennen">
                <anchor moveWithCells="1" sizeWithCells="1">
                  <from>
                    <xdr:col>3</xdr:col>
                    <xdr:colOff>0</xdr:colOff>
                    <xdr:row>3</xdr:row>
                    <xdr:rowOff>133350</xdr:rowOff>
                  </from>
                  <to>
                    <xdr:col>5</xdr:col>
                    <xdr:colOff>0</xdr:colOff>
                    <xdr:row>5</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6"/>
  <dimension ref="A1:K518"/>
  <sheetViews>
    <sheetView topLeftCell="A347" workbookViewId="0">
      <selection activeCell="B5" sqref="B5"/>
    </sheetView>
  </sheetViews>
  <sheetFormatPr baseColWidth="10" defaultRowHeight="12.75"/>
  <cols>
    <col min="1" max="1" width="11.44140625" style="8" customWidth="1"/>
    <col min="2" max="2" width="21.77734375" style="8" customWidth="1"/>
    <col min="3" max="3" width="21.77734375" style="21" customWidth="1"/>
    <col min="4" max="6" width="21.77734375" style="8" customWidth="1"/>
    <col min="7" max="7" width="20.6640625" style="8" customWidth="1"/>
    <col min="8" max="11" width="7.6640625" style="8" customWidth="1"/>
    <col min="12" max="16384" width="11.5546875" style="8"/>
  </cols>
  <sheetData>
    <row r="1" spans="1:6" ht="23.25">
      <c r="A1" s="12" t="s">
        <v>38</v>
      </c>
      <c r="B1" s="13"/>
      <c r="C1" s="181"/>
      <c r="D1" s="13"/>
      <c r="E1" s="13"/>
      <c r="F1" s="13"/>
    </row>
    <row r="2" spans="1:6" ht="9" customHeight="1"/>
    <row r="3" spans="1:6">
      <c r="A3" s="11" t="str">
        <f>"Tabelle "&amp;SheetOverview</f>
        <v>Tabelle Riassunto</v>
      </c>
      <c r="B3" s="11"/>
      <c r="C3" s="182"/>
      <c r="D3" s="11"/>
      <c r="E3" s="11"/>
      <c r="F3" s="11"/>
    </row>
    <row r="4" spans="1:6">
      <c r="A4" s="11" t="s">
        <v>39</v>
      </c>
      <c r="B4" s="11" t="s">
        <v>40</v>
      </c>
      <c r="C4" s="182" t="s">
        <v>13</v>
      </c>
      <c r="D4" s="11" t="s">
        <v>55</v>
      </c>
      <c r="E4" s="11" t="s">
        <v>14</v>
      </c>
      <c r="F4" s="11" t="s">
        <v>15</v>
      </c>
    </row>
    <row r="5" spans="1:6">
      <c r="A5" s="219" t="s">
        <v>42</v>
      </c>
      <c r="B5" s="219" t="str">
        <f t="shared" ref="B5:B40" si="0">INDEX($C5:$F5,1,MATCH(Sprachwahl,ListSprache,0))</f>
        <v>Strumento energia grigia Minergie-Eco®</v>
      </c>
      <c r="C5" s="21" t="s">
        <v>151</v>
      </c>
      <c r="D5" s="21" t="s">
        <v>788</v>
      </c>
      <c r="E5" s="71" t="s">
        <v>879</v>
      </c>
      <c r="F5" s="21" t="s">
        <v>795</v>
      </c>
    </row>
    <row r="6" spans="1:6">
      <c r="A6" s="219" t="s">
        <v>41</v>
      </c>
      <c r="B6" s="219" t="str">
        <f t="shared" si="0"/>
        <v>Dati oggetto</v>
      </c>
      <c r="C6" s="21" t="s">
        <v>8</v>
      </c>
      <c r="D6" s="21" t="s">
        <v>1107</v>
      </c>
      <c r="E6" s="71" t="s">
        <v>880</v>
      </c>
      <c r="F6" s="21" t="s">
        <v>85</v>
      </c>
    </row>
    <row r="7" spans="1:6">
      <c r="A7" s="219" t="s">
        <v>43</v>
      </c>
      <c r="B7" s="219" t="str">
        <f t="shared" si="0"/>
        <v>Progetto</v>
      </c>
      <c r="C7" s="21" t="s">
        <v>16</v>
      </c>
      <c r="D7" s="21" t="s">
        <v>68</v>
      </c>
      <c r="E7" s="71" t="s">
        <v>79</v>
      </c>
      <c r="F7" s="21" t="s">
        <v>86</v>
      </c>
    </row>
    <row r="8" spans="1:6">
      <c r="A8" s="219" t="s">
        <v>44</v>
      </c>
      <c r="B8" s="219" t="str">
        <f t="shared" si="0"/>
        <v>Tipo d'intervento</v>
      </c>
      <c r="C8" s="21" t="s">
        <v>6</v>
      </c>
      <c r="D8" s="21" t="s">
        <v>69</v>
      </c>
      <c r="E8" s="71" t="s">
        <v>80</v>
      </c>
      <c r="F8" s="21" t="s">
        <v>87</v>
      </c>
    </row>
    <row r="9" spans="1:6" ht="15">
      <c r="A9" s="219" t="s">
        <v>45</v>
      </c>
      <c r="B9" s="219" t="str">
        <f t="shared" si="0"/>
        <v>Certificato desiderato</v>
      </c>
      <c r="C9" s="21" t="s">
        <v>306</v>
      </c>
      <c r="D9" s="205" t="s">
        <v>1108</v>
      </c>
      <c r="E9" s="205" t="s">
        <v>881</v>
      </c>
      <c r="F9" s="205" t="s">
        <v>756</v>
      </c>
    </row>
    <row r="10" spans="1:6" ht="15">
      <c r="A10" s="219" t="s">
        <v>62</v>
      </c>
      <c r="B10" s="219" t="str">
        <f t="shared" si="0"/>
        <v>Categoria edificio</v>
      </c>
      <c r="C10" s="21" t="s">
        <v>145</v>
      </c>
      <c r="D10" s="21" t="s">
        <v>1109</v>
      </c>
      <c r="E10" s="205" t="s">
        <v>882</v>
      </c>
      <c r="F10" s="205" t="s">
        <v>757</v>
      </c>
    </row>
    <row r="11" spans="1:6">
      <c r="A11" s="219" t="s">
        <v>357</v>
      </c>
      <c r="B11" s="219" t="str">
        <f t="shared" si="0"/>
        <v>Categoria edifico sbagliata - per favore riseleziona</v>
      </c>
      <c r="C11" s="21" t="s">
        <v>358</v>
      </c>
      <c r="D11" s="21" t="s">
        <v>1110</v>
      </c>
      <c r="E11" s="71" t="s">
        <v>883</v>
      </c>
      <c r="F11" s="21" t="s">
        <v>758</v>
      </c>
    </row>
    <row r="12" spans="1:6">
      <c r="A12" s="219" t="s">
        <v>159</v>
      </c>
      <c r="B12" s="219" t="str">
        <f t="shared" si="0"/>
        <v>Costruttore</v>
      </c>
      <c r="C12" s="21" t="s">
        <v>5</v>
      </c>
      <c r="D12" s="21" t="s">
        <v>70</v>
      </c>
      <c r="E12" s="71" t="s">
        <v>88</v>
      </c>
      <c r="F12" s="21" t="s">
        <v>759</v>
      </c>
    </row>
    <row r="13" spans="1:6">
      <c r="A13" s="219" t="s">
        <v>302</v>
      </c>
      <c r="B13" s="219" t="str">
        <f t="shared" si="0"/>
        <v>Architetto</v>
      </c>
      <c r="C13" s="21" t="s">
        <v>0</v>
      </c>
      <c r="D13" s="21" t="s">
        <v>71</v>
      </c>
      <c r="E13" s="71" t="s">
        <v>81</v>
      </c>
      <c r="F13" s="21" t="s">
        <v>89</v>
      </c>
    </row>
    <row r="14" spans="1:6">
      <c r="A14" s="219" t="s">
        <v>64</v>
      </c>
      <c r="B14" s="219" t="str">
        <f t="shared" si="0"/>
        <v>Fisico della costruzione</v>
      </c>
      <c r="C14" s="21" t="s">
        <v>300</v>
      </c>
      <c r="D14" s="21" t="s">
        <v>760</v>
      </c>
      <c r="E14" s="71" t="s">
        <v>884</v>
      </c>
      <c r="F14" s="21" t="s">
        <v>301</v>
      </c>
    </row>
    <row r="15" spans="1:6">
      <c r="A15" s="219" t="s">
        <v>303</v>
      </c>
      <c r="B15" s="219" t="str">
        <f t="shared" si="0"/>
        <v>Autore verifica</v>
      </c>
      <c r="C15" s="21" t="s">
        <v>1</v>
      </c>
      <c r="D15" s="21" t="s">
        <v>1111</v>
      </c>
      <c r="E15" s="71" t="s">
        <v>82</v>
      </c>
      <c r="F15" s="21" t="s">
        <v>107</v>
      </c>
    </row>
    <row r="16" spans="1:6">
      <c r="A16" s="219" t="s">
        <v>147</v>
      </c>
      <c r="B16" s="219" t="str">
        <f t="shared" si="0"/>
        <v>Data, firma</v>
      </c>
      <c r="C16" s="21" t="s">
        <v>295</v>
      </c>
      <c r="D16" s="21" t="s">
        <v>1112</v>
      </c>
      <c r="E16" s="71" t="s">
        <v>296</v>
      </c>
      <c r="F16" s="21" t="s">
        <v>297</v>
      </c>
    </row>
    <row r="17" spans="1:6">
      <c r="A17" s="219" t="s">
        <v>148</v>
      </c>
      <c r="B17" s="219" t="str">
        <f t="shared" si="0"/>
        <v>Riassunto risultati</v>
      </c>
      <c r="C17" s="21" t="s">
        <v>29</v>
      </c>
      <c r="D17" s="21" t="s">
        <v>1113</v>
      </c>
      <c r="E17" s="71" t="s">
        <v>885</v>
      </c>
      <c r="F17" s="21" t="s">
        <v>90</v>
      </c>
    </row>
    <row r="18" spans="1:6">
      <c r="A18" s="219" t="s">
        <v>47</v>
      </c>
      <c r="B18" s="219" t="str">
        <f t="shared" si="0"/>
        <v>Designazione</v>
      </c>
      <c r="C18" s="21" t="s">
        <v>23</v>
      </c>
      <c r="D18" s="21" t="s">
        <v>761</v>
      </c>
      <c r="E18" s="71" t="s">
        <v>762</v>
      </c>
      <c r="F18" s="21" t="s">
        <v>763</v>
      </c>
    </row>
    <row r="19" spans="1:6" ht="14.25">
      <c r="A19" s="219" t="s">
        <v>312</v>
      </c>
      <c r="B19" s="219" t="str">
        <f t="shared" si="0"/>
        <v>EPnr (en. grigia)
kWh/m2a</v>
      </c>
      <c r="C19" s="21" t="s">
        <v>318</v>
      </c>
      <c r="D19" s="21" t="s">
        <v>1859</v>
      </c>
      <c r="E19" s="21" t="s">
        <v>1860</v>
      </c>
      <c r="F19" s="21" t="s">
        <v>1861</v>
      </c>
    </row>
    <row r="20" spans="1:6" ht="14.25">
      <c r="A20" s="219" t="s">
        <v>314</v>
      </c>
      <c r="B20" s="219" t="str">
        <f t="shared" si="0"/>
        <v>EGS
kg/m2a</v>
      </c>
      <c r="C20" s="21" t="s">
        <v>317</v>
      </c>
      <c r="D20" s="21" t="s">
        <v>1343</v>
      </c>
      <c r="E20" s="21" t="s">
        <v>1345</v>
      </c>
      <c r="F20" s="21" t="s">
        <v>1344</v>
      </c>
    </row>
    <row r="21" spans="1:6">
      <c r="A21" s="219" t="s">
        <v>1868</v>
      </c>
      <c r="B21" s="219" t="str">
        <f t="shared" si="0"/>
        <v>Valori progetto</v>
      </c>
      <c r="C21" s="21" t="s">
        <v>311</v>
      </c>
      <c r="D21" s="21" t="s">
        <v>1114</v>
      </c>
      <c r="E21" s="71" t="s">
        <v>1866</v>
      </c>
      <c r="F21" s="21" t="s">
        <v>1867</v>
      </c>
    </row>
    <row r="22" spans="1:6">
      <c r="A22" s="219" t="s">
        <v>313</v>
      </c>
      <c r="B22" s="219" t="str">
        <f t="shared" si="0"/>
        <v>L'esigenza Minergie-Eco sull' energia grigia è</v>
      </c>
      <c r="C22" s="21" t="s">
        <v>319</v>
      </c>
      <c r="D22" s="21" t="s">
        <v>1346</v>
      </c>
      <c r="E22" s="71" t="s">
        <v>1785</v>
      </c>
      <c r="F22" s="21" t="s">
        <v>1788</v>
      </c>
    </row>
    <row r="23" spans="1:6" ht="15">
      <c r="A23" s="219" t="s">
        <v>313</v>
      </c>
      <c r="B23" s="219" t="str">
        <f t="shared" si="0"/>
        <v>La valutazione secondo SNBS indicatore 301.1 risultati</v>
      </c>
      <c r="C23" s="21" t="s">
        <v>567</v>
      </c>
      <c r="D23" s="21" t="s">
        <v>1115</v>
      </c>
      <c r="E23" s="205" t="s">
        <v>886</v>
      </c>
      <c r="F23" s="21" t="s">
        <v>1347</v>
      </c>
    </row>
    <row r="24" spans="1:6">
      <c r="A24" s="219" t="s">
        <v>313</v>
      </c>
      <c r="B24" s="219" t="str">
        <f t="shared" si="0"/>
        <v>Il valore mirato dell'energia grigia secondo SIA 2040 è</v>
      </c>
      <c r="C24" s="21" t="s">
        <v>315</v>
      </c>
      <c r="D24" s="71" t="s">
        <v>1116</v>
      </c>
      <c r="E24" s="71" t="s">
        <v>887</v>
      </c>
      <c r="F24" s="21" t="s">
        <v>1348</v>
      </c>
    </row>
    <row r="25" spans="1:6">
      <c r="A25" s="219" t="s">
        <v>313</v>
      </c>
      <c r="B25" s="219" t="str">
        <f t="shared" si="0"/>
        <v>Nessuna esigenza riguarda l'energia grigia</v>
      </c>
      <c r="C25" s="21" t="s">
        <v>355</v>
      </c>
      <c r="D25" s="71" t="s">
        <v>1117</v>
      </c>
      <c r="E25" s="71" t="s">
        <v>888</v>
      </c>
      <c r="F25" s="21" t="s">
        <v>1349</v>
      </c>
    </row>
    <row r="26" spans="1:6">
      <c r="A26" s="219" t="s">
        <v>149</v>
      </c>
      <c r="B26" s="219" t="str">
        <f t="shared" si="0"/>
        <v>L'esigenza Minergie-Eco sull' emissioni di gas serra è</v>
      </c>
      <c r="C26" s="21" t="s">
        <v>1783</v>
      </c>
      <c r="D26" s="71" t="s">
        <v>1784</v>
      </c>
      <c r="E26" s="71" t="s">
        <v>1786</v>
      </c>
      <c r="F26" s="21" t="s">
        <v>1787</v>
      </c>
    </row>
    <row r="27" spans="1:6" ht="15">
      <c r="A27" s="219" t="s">
        <v>149</v>
      </c>
      <c r="B27" s="219" t="str">
        <f t="shared" si="0"/>
        <v>La valutazione secondo SNBS indicatore 302.1 risultati</v>
      </c>
      <c r="C27" s="21" t="s">
        <v>568</v>
      </c>
      <c r="D27" s="71" t="s">
        <v>1118</v>
      </c>
      <c r="E27" s="205" t="s">
        <v>889</v>
      </c>
      <c r="F27" s="21" t="s">
        <v>1350</v>
      </c>
    </row>
    <row r="28" spans="1:6">
      <c r="A28" s="219" t="s">
        <v>149</v>
      </c>
      <c r="B28" s="219" t="str">
        <f t="shared" si="0"/>
        <v xml:space="preserve">Il valore mirato sulle emissioni di gas serra secondo SIA 2040 è </v>
      </c>
      <c r="C28" s="21" t="s">
        <v>316</v>
      </c>
      <c r="D28" s="71" t="s">
        <v>1119</v>
      </c>
      <c r="E28" s="71" t="s">
        <v>890</v>
      </c>
      <c r="F28" s="21" t="s">
        <v>1351</v>
      </c>
    </row>
    <row r="29" spans="1:6">
      <c r="A29" s="219" t="s">
        <v>149</v>
      </c>
      <c r="B29" s="219" t="str">
        <f t="shared" si="0"/>
        <v>Nessuna esigenza riguardo l'emissione di gas serra</v>
      </c>
      <c r="C29" s="21" t="s">
        <v>356</v>
      </c>
      <c r="D29" s="71" t="s">
        <v>1120</v>
      </c>
      <c r="E29" s="71" t="s">
        <v>891</v>
      </c>
      <c r="F29" s="21" t="s">
        <v>1352</v>
      </c>
    </row>
    <row r="30" spans="1:6">
      <c r="A30" s="219" t="s">
        <v>150</v>
      </c>
      <c r="B30" s="219" t="str">
        <f t="shared" si="0"/>
        <v>Guida abbreviata</v>
      </c>
      <c r="C30" s="21" t="s">
        <v>31</v>
      </c>
      <c r="D30" s="71" t="s">
        <v>1121</v>
      </c>
      <c r="E30" s="71" t="s">
        <v>892</v>
      </c>
      <c r="F30" s="21" t="s">
        <v>91</v>
      </c>
    </row>
    <row r="31" spans="1:6">
      <c r="A31" s="219" t="s">
        <v>423</v>
      </c>
      <c r="B31" s="219" t="str">
        <f t="shared" si="0"/>
        <v>Istruzioni dettagliate possono essere trovate sul sito web Minergie.</v>
      </c>
      <c r="C31" s="21" t="s">
        <v>76</v>
      </c>
      <c r="D31" s="71" t="s">
        <v>1122</v>
      </c>
      <c r="E31" s="71" t="s">
        <v>84</v>
      </c>
      <c r="F31" s="21" t="s">
        <v>92</v>
      </c>
    </row>
    <row r="32" spans="1:6">
      <c r="A32" s="219" t="s">
        <v>48</v>
      </c>
      <c r="B32" s="219" t="str">
        <f t="shared" si="0"/>
        <v>Registrare dapprima i dati dell’oggetto in questa scheda.</v>
      </c>
      <c r="C32" s="21" t="s">
        <v>123</v>
      </c>
      <c r="D32" s="71" t="s">
        <v>1123</v>
      </c>
      <c r="E32" s="21" t="s">
        <v>893</v>
      </c>
      <c r="F32" s="21" t="s">
        <v>128</v>
      </c>
    </row>
    <row r="33" spans="1:6">
      <c r="A33" s="219" t="s">
        <v>49</v>
      </c>
      <c r="B33" s="219" t="str">
        <f t="shared" si="0"/>
        <v>Se l’oggetto è un ammodernamento, andare al foglio  'Questionario_ammodernamento' .</v>
      </c>
      <c r="C33" s="21" t="str">
        <f>"Falls es sich beim Objekt um eine Modernisierung handelt, gehen Sie zum Blatt '"&amp;SheetQuestionaire&amp;"' und füllen dieses aus."</f>
        <v>Falls es sich beim Objekt um eine Modernisierung handelt, gehen Sie zum Blatt 'Questionario_ammodernamento' und füllen dieses aus.</v>
      </c>
      <c r="D33" s="71" t="str">
        <f>"Si le projet est une modernisation, remplir la feuille '"&amp;SheetQuestionaire&amp;"'."</f>
        <v>Si le projet est une modernisation, remplir la feuille 'Questionario_ammodernamento'.</v>
      </c>
      <c r="E33" s="21" t="str">
        <f>"Se l’oggetto è un ammodernamento, andare al foglio  '"&amp;SheetQuestionaire&amp;"' ."</f>
        <v>Se l’oggetto è un ammodernamento, andare al foglio  'Questionario_ammodernamento' .</v>
      </c>
      <c r="F33" s="21" t="str">
        <f>"If the project is undergoing a renovation, select the sheet '"&amp;SheetQuestionaire&amp;"' and answer the questions."</f>
        <v>If the project is undergoing a renovation, select the sheet 'Questionario_ammodernamento' and answer the questions.</v>
      </c>
    </row>
    <row r="34" spans="1:6">
      <c r="A34" s="219" t="s">
        <v>50</v>
      </c>
      <c r="B34" s="219" t="str">
        <f t="shared" si="0"/>
        <v>Se l’oggetto è un nuovo edificio, andare al foglio 'Calcolo'.</v>
      </c>
      <c r="C34" s="21" t="str">
        <f>"Falls es sich beim Objekt um einen Neubau handelt, gehen Sie direkt zum Blatt '"&amp;SheetBuildgData&amp;"'."</f>
        <v>Falls es sich beim Objekt um einen Neubau handelt, gehen Sie direkt zum Blatt 'Calcolo'.</v>
      </c>
      <c r="D34" s="71" t="str">
        <f>"Si le projet est une construction nouvelle, aller directement à la feuille '"&amp;SheetBuildgData&amp;"'."</f>
        <v>Si le projet est une construction nouvelle, aller directement à la feuille 'Calcolo'.</v>
      </c>
      <c r="E34" s="21" t="str">
        <f>"Se l’oggetto è un nuovo edificio, andare al foglio '"&amp;SheetBuildgData&amp;"'."</f>
        <v>Se l’oggetto è un nuovo edificio, andare al foglio 'Calcolo'.</v>
      </c>
      <c r="F34" s="21" t="str">
        <f>"If the project is a new building, select the sheet '"&amp;SheetBuildgData&amp;"'."</f>
        <v>If the project is a new building, select the sheet 'Calcolo'.</v>
      </c>
    </row>
    <row r="35" spans="1:6">
      <c r="A35" s="219" t="s">
        <v>51</v>
      </c>
      <c r="B35" s="219" t="str">
        <f t="shared" si="0"/>
        <v>Registrare quindi i dati delle finestre dell' edificio nella tabella 'Calcolo'.</v>
      </c>
      <c r="C35" s="21" t="str">
        <f>"Anschliessend geben Sie die Bauteile und Flächen des Gebäudes in der Tabelle '"&amp;SheetBuildgData&amp;"' ein."</f>
        <v>Anschliessend geben Sie die Bauteile und Flächen des Gebäudes in der Tabelle 'Calcolo' ein.</v>
      </c>
      <c r="D35" s="71" t="str">
        <f>"Saisir ensuite les éléments de construction et les surfaces du bâtiment dans la feuille '"&amp;SheetBuildgData&amp;"'."</f>
        <v>Saisir ensuite les éléments de construction et les surfaces du bâtiment dans la feuille 'Calcolo'.</v>
      </c>
      <c r="E35" s="21" t="str">
        <f>"Registrare quindi i dati delle finestre dell' edificio nella tabella '"&amp;SheetBuildgData&amp;"'."</f>
        <v>Registrare quindi i dati delle finestre dell' edificio nella tabella 'Calcolo'.</v>
      </c>
      <c r="F35" s="21" t="str">
        <f>"Now, enter the windows data in the sheet '"&amp;SheetBuildgData&amp;"'."</f>
        <v>Now, enter the windows data in the sheet 'Calcolo'.</v>
      </c>
    </row>
    <row r="36" spans="1:6">
      <c r="A36" s="219" t="s">
        <v>52</v>
      </c>
      <c r="B36" s="219" t="str">
        <f t="shared" si="0"/>
        <v>Utilizzare le superfici e gli elementi presenti nel calcolo energetico (se disponibile).</v>
      </c>
      <c r="C36" s="21" t="s">
        <v>211</v>
      </c>
      <c r="D36" s="71" t="s">
        <v>1124</v>
      </c>
      <c r="E36" s="21" t="s">
        <v>894</v>
      </c>
      <c r="F36" s="21" t="s">
        <v>764</v>
      </c>
    </row>
    <row r="37" spans="1:6">
      <c r="A37" s="219" t="s">
        <v>53</v>
      </c>
      <c r="B37" s="219" t="str">
        <f t="shared" si="0"/>
        <v>Si prega di leggere gli aiuti che appaiono quando si clicca su un campo dati di immissione.</v>
      </c>
      <c r="C37" s="21" t="s">
        <v>121</v>
      </c>
      <c r="D37" s="71" t="s">
        <v>1125</v>
      </c>
      <c r="E37" s="21" t="s">
        <v>895</v>
      </c>
      <c r="F37" s="21" t="s">
        <v>129</v>
      </c>
    </row>
    <row r="38" spans="1:6">
      <c r="A38" s="219" t="s">
        <v>54</v>
      </c>
      <c r="B38" s="219" t="str">
        <f t="shared" si="0"/>
        <v>I risultati vengono visualizzati in fondo alla pagina nei fogli 'Riassunto' e 'Calcolo'.</v>
      </c>
      <c r="C38" s="21" t="str">
        <f>"Die Ergebnisse werden unten auf der Seite im Blatt '"&amp;SheetBuildgData&amp;"' und im Blatt '"&amp;SheetOverview&amp;"' ausgegeben."</f>
        <v>Die Ergebnisse werden unten auf der Seite im Blatt 'Calcolo' und im Blatt 'Riassunto' ausgegeben.</v>
      </c>
      <c r="D38" s="71" t="str">
        <f>"Les résultats sont affichés au bas de la page '"&amp;SheetBuildgData&amp;"' et '"&amp;SheetOverview&amp;"'."</f>
        <v>Les résultats sont affichés au bas de la page 'Calcolo' et 'Riassunto'.</v>
      </c>
      <c r="E38" s="21" t="str">
        <f>"I risultati vengono visualizzati in fondo alla pagina nei fogli '"&amp;SheetOverview&amp;"' e '"&amp;SheetBuildgData&amp;"'."</f>
        <v>I risultati vengono visualizzati in fondo alla pagina nei fogli 'Riassunto' e 'Calcolo'.</v>
      </c>
      <c r="F38" s="21" t="str">
        <f>"The results are displayed on the bottom of the sheet '"&amp;SheetBuildgData&amp;"' and on the sheet '"&amp;SheetOverview&amp;"'."</f>
        <v>The results are displayed on the bottom of the sheet 'Calcolo' and on the sheet 'Riassunto'.</v>
      </c>
    </row>
    <row r="39" spans="1:6">
      <c r="A39" s="219" t="s">
        <v>304</v>
      </c>
      <c r="B39" s="219" t="str">
        <f t="shared" si="0"/>
        <v>Se una tabella non è sufficiente, è possibile inserire i risultati di altri fogli in fondo al foglio 'Calcolo'.</v>
      </c>
      <c r="C39" s="21" t="str">
        <f>"Falls eine Tabelle nicht ausreichen sollte, so können Sie die Ergebnisse von anderen Blättern unten im Blatt '"&amp;SheetBuildgData&amp;"' eintragen."</f>
        <v>Falls eine Tabelle nicht ausreichen sollte, so können Sie die Ergebnisse von anderen Blättern unten im Blatt 'Calcolo' eintragen.</v>
      </c>
      <c r="D39" s="71" t="str">
        <f>"Si un tableau ne suffit pas, il est possible de reporter les résultats provenant d'autres feuilles en bas de la feuille '"&amp;SheetBuildgData&amp;"'."</f>
        <v>Si un tableau ne suffit pas, il est possible de reporter les résultats provenant d'autres feuilles en bas de la feuille 'Calcolo'.</v>
      </c>
      <c r="E39" s="21" t="str">
        <f>"Se una tabella non è sufficiente, è possibile inserire i risultati di altri fogli in fondo al foglio '"&amp;SheetBuildgData&amp;"'."</f>
        <v>Se una tabella non è sufficiente, è possibile inserire i risultati di altri fogli in fondo al foglio 'Calcolo'.</v>
      </c>
      <c r="F39" s="21" t="str">
        <f>"If the number of rows is insufficient, you can report the results of other tools on the bottom of sheet '"&amp;SheetBuildgData&amp;"'."</f>
        <v>If the number of rows is insufficient, you can report the results of other tools on the bottom of sheet 'Calcolo'.</v>
      </c>
    </row>
    <row r="40" spans="1:6">
      <c r="A40" s="219" t="s">
        <v>305</v>
      </c>
      <c r="B40" s="219" t="str">
        <f t="shared" si="0"/>
        <v>Se avete domande sugli oggetti di certificazione, contattate il centro di certificazione competente.</v>
      </c>
      <c r="C40" s="21" t="s">
        <v>122</v>
      </c>
      <c r="D40" s="21" t="s">
        <v>1126</v>
      </c>
      <c r="E40" s="21" t="s">
        <v>127</v>
      </c>
      <c r="F40" s="21" t="s">
        <v>130</v>
      </c>
    </row>
    <row r="41" spans="1:6">
      <c r="D41" s="77"/>
    </row>
    <row r="42" spans="1:6">
      <c r="A42" s="11" t="str">
        <f>"Tabelle "&amp;SheetBuildgData</f>
        <v>Tabelle Calcolo</v>
      </c>
      <c r="B42" s="11"/>
      <c r="C42" s="182"/>
      <c r="D42" s="216"/>
      <c r="E42" s="11"/>
      <c r="F42" s="11"/>
    </row>
    <row r="43" spans="1:6">
      <c r="A43" s="11" t="s">
        <v>39</v>
      </c>
      <c r="B43" s="11" t="s">
        <v>40</v>
      </c>
      <c r="C43" s="182" t="str">
        <f>C$4</f>
        <v>Deutsch</v>
      </c>
      <c r="D43" s="216" t="str">
        <f>D$4</f>
        <v>Francais</v>
      </c>
      <c r="E43" s="11" t="str">
        <f>E$4</f>
        <v>Italiano</v>
      </c>
      <c r="F43" s="11" t="str">
        <f>F$4</f>
        <v>English</v>
      </c>
    </row>
    <row r="44" spans="1:6">
      <c r="A44" s="76" t="s">
        <v>42</v>
      </c>
      <c r="B44" s="76" t="str">
        <f t="shared" ref="B44:B84" si="1">INDEX($C44:$F44,1,MATCH(Sprachwahl,ListSprache,0))</f>
        <v>Calcolo dell'energia grigia (EPnr) e delle emissioni di gas serra (EGS)</v>
      </c>
      <c r="C44" s="21" t="s">
        <v>1826</v>
      </c>
      <c r="D44" s="71" t="s">
        <v>1827</v>
      </c>
      <c r="E44" s="71" t="s">
        <v>1828</v>
      </c>
      <c r="F44" s="21" t="s">
        <v>771</v>
      </c>
    </row>
    <row r="45" spans="1:6">
      <c r="A45" s="76" t="s">
        <v>41</v>
      </c>
      <c r="B45" s="76" t="str">
        <f t="shared" si="1"/>
        <v>Dati generali</v>
      </c>
      <c r="C45" s="21" t="s">
        <v>186</v>
      </c>
      <c r="D45" s="71" t="s">
        <v>1127</v>
      </c>
      <c r="E45" s="71" t="s">
        <v>896</v>
      </c>
      <c r="F45" s="21" t="s">
        <v>789</v>
      </c>
    </row>
    <row r="46" spans="1:6">
      <c r="A46" s="76" t="s">
        <v>43</v>
      </c>
      <c r="B46" s="76" t="str">
        <f t="shared" si="1"/>
        <v>Edificio</v>
      </c>
      <c r="C46" s="21" t="s">
        <v>391</v>
      </c>
      <c r="D46" s="71" t="s">
        <v>1128</v>
      </c>
      <c r="E46" s="71" t="s">
        <v>897</v>
      </c>
      <c r="F46" s="21" t="s">
        <v>772</v>
      </c>
    </row>
    <row r="47" spans="1:6">
      <c r="A47" s="76" t="s">
        <v>321</v>
      </c>
      <c r="B47" s="76" t="str">
        <f t="shared" si="1"/>
        <v>Superfici</v>
      </c>
      <c r="C47" s="21" t="s">
        <v>392</v>
      </c>
      <c r="D47" s="71" t="s">
        <v>1129</v>
      </c>
      <c r="E47" s="71" t="s">
        <v>898</v>
      </c>
      <c r="F47" s="21" t="s">
        <v>773</v>
      </c>
    </row>
    <row r="48" spans="1:6">
      <c r="A48" s="76" t="s">
        <v>44</v>
      </c>
      <c r="B48" s="76" t="str">
        <f t="shared" si="1"/>
        <v>Piani</v>
      </c>
      <c r="C48" s="21" t="s">
        <v>393</v>
      </c>
      <c r="D48" s="71" t="s">
        <v>1130</v>
      </c>
      <c r="E48" s="71" t="s">
        <v>899</v>
      </c>
      <c r="F48" s="21" t="s">
        <v>777</v>
      </c>
    </row>
    <row r="49" spans="1:6">
      <c r="A49" s="76" t="s">
        <v>322</v>
      </c>
      <c r="B49" s="76" t="str">
        <f t="shared" si="1"/>
        <v>Impiantistica</v>
      </c>
      <c r="C49" s="21" t="s">
        <v>257</v>
      </c>
      <c r="D49" s="71" t="s">
        <v>1131</v>
      </c>
      <c r="E49" s="71" t="s">
        <v>900</v>
      </c>
      <c r="F49" s="21" t="s">
        <v>774</v>
      </c>
    </row>
    <row r="50" spans="1:6">
      <c r="A50" s="76" t="s">
        <v>386</v>
      </c>
      <c r="B50" s="76" t="str">
        <f t="shared" si="1"/>
        <v>Superficie di riferimento</v>
      </c>
      <c r="C50" s="21" t="s">
        <v>187</v>
      </c>
      <c r="D50" s="71" t="s">
        <v>1132</v>
      </c>
      <c r="E50" s="71" t="s">
        <v>901</v>
      </c>
      <c r="F50" s="21" t="s">
        <v>775</v>
      </c>
    </row>
    <row r="51" spans="1:6">
      <c r="A51" s="76" t="s">
        <v>387</v>
      </c>
      <c r="B51" s="76" t="str">
        <f t="shared" si="1"/>
        <v>Pavimento contro non risc./terra</v>
      </c>
      <c r="C51" s="78" t="s">
        <v>415</v>
      </c>
      <c r="D51" s="71" t="s">
        <v>1819</v>
      </c>
      <c r="E51" s="71" t="s">
        <v>902</v>
      </c>
      <c r="F51" s="21" t="s">
        <v>776</v>
      </c>
    </row>
    <row r="52" spans="1:6">
      <c r="A52" s="76" t="s">
        <v>388</v>
      </c>
      <c r="B52" s="76" t="str">
        <f t="shared" si="1"/>
        <v>Numero di piani non riscaldati</v>
      </c>
      <c r="C52" s="78" t="s">
        <v>183</v>
      </c>
      <c r="D52" s="71" t="s">
        <v>1133</v>
      </c>
      <c r="E52" s="71" t="s">
        <v>903</v>
      </c>
      <c r="F52" s="21" t="s">
        <v>778</v>
      </c>
    </row>
    <row r="53" spans="1:6">
      <c r="A53" s="76" t="s">
        <v>389</v>
      </c>
      <c r="B53" s="76" t="str">
        <f t="shared" si="1"/>
        <v>Altezza media dei locali</v>
      </c>
      <c r="C53" s="78" t="s">
        <v>365</v>
      </c>
      <c r="D53" s="71" t="s">
        <v>1134</v>
      </c>
      <c r="E53" s="71" t="s">
        <v>904</v>
      </c>
      <c r="F53" s="21" t="s">
        <v>779</v>
      </c>
    </row>
    <row r="54" spans="1:6">
      <c r="A54" s="76" t="s">
        <v>380</v>
      </c>
      <c r="B54" s="76" t="str">
        <f t="shared" si="1"/>
        <v>Tipologia pianta (Quantità di pareti interne)</v>
      </c>
      <c r="C54" s="78" t="s">
        <v>1831</v>
      </c>
      <c r="D54" s="71" t="s">
        <v>1834</v>
      </c>
      <c r="E54" s="71" t="s">
        <v>1832</v>
      </c>
      <c r="F54" s="21" t="s">
        <v>1833</v>
      </c>
    </row>
    <row r="55" spans="1:6">
      <c r="A55" s="76" t="s">
        <v>390</v>
      </c>
      <c r="B55" s="76" t="str">
        <f t="shared" si="1"/>
        <v>Impianto FV (superficie captante)</v>
      </c>
      <c r="C55" s="78" t="s">
        <v>366</v>
      </c>
      <c r="D55" s="71" t="s">
        <v>1805</v>
      </c>
      <c r="E55" s="71" t="s">
        <v>1821</v>
      </c>
      <c r="F55" s="21" t="s">
        <v>780</v>
      </c>
    </row>
    <row r="56" spans="1:6">
      <c r="A56" s="76" t="s">
        <v>383</v>
      </c>
      <c r="B56" s="76" t="str">
        <f t="shared" si="1"/>
        <v>Impianto solare term. (superficie assorb.)</v>
      </c>
      <c r="C56" s="78" t="s">
        <v>414</v>
      </c>
      <c r="D56" s="71" t="s">
        <v>1806</v>
      </c>
      <c r="E56" s="71" t="s">
        <v>1807</v>
      </c>
      <c r="F56" s="21" t="s">
        <v>781</v>
      </c>
    </row>
    <row r="57" spans="1:6">
      <c r="A57" s="76" t="s">
        <v>381</v>
      </c>
      <c r="B57" s="76" t="str">
        <f t="shared" si="1"/>
        <v>Superficie del piano</v>
      </c>
      <c r="C57" s="183" t="s">
        <v>188</v>
      </c>
      <c r="D57" s="71" t="s">
        <v>1136</v>
      </c>
      <c r="E57" s="71" t="s">
        <v>905</v>
      </c>
      <c r="F57" s="21" t="s">
        <v>782</v>
      </c>
    </row>
    <row r="58" spans="1:6">
      <c r="A58" s="76" t="s">
        <v>382</v>
      </c>
      <c r="B58" s="76" t="str">
        <f>INDEX($C58:$F58,1,MATCH(Sprachwahl,ListSprache,0))</f>
        <v>Superficie dei piani nel sottosuolo</v>
      </c>
      <c r="C58" s="183" t="s">
        <v>191</v>
      </c>
      <c r="D58" s="71" t="s">
        <v>1137</v>
      </c>
      <c r="E58" s="71" t="s">
        <v>906</v>
      </c>
      <c r="F58" s="21" t="s">
        <v>783</v>
      </c>
    </row>
    <row r="59" spans="1:6">
      <c r="A59" s="76" t="s">
        <v>384</v>
      </c>
      <c r="B59" s="76" t="str">
        <f t="shared" si="1"/>
        <v>Numero dei piani nel sottosuolo</v>
      </c>
      <c r="C59" s="78" t="s">
        <v>184</v>
      </c>
      <c r="D59" s="71" t="s">
        <v>1138</v>
      </c>
      <c r="E59" s="71" t="s">
        <v>907</v>
      </c>
      <c r="F59" s="21" t="s">
        <v>784</v>
      </c>
    </row>
    <row r="60" spans="1:6">
      <c r="A60" s="76" t="s">
        <v>395</v>
      </c>
      <c r="B60" s="76" t="str">
        <f t="shared" si="1"/>
        <v>Sonde geotermiche</v>
      </c>
      <c r="C60" s="78" t="s">
        <v>182</v>
      </c>
      <c r="D60" s="71" t="s">
        <v>1139</v>
      </c>
      <c r="E60" s="71" t="s">
        <v>908</v>
      </c>
      <c r="F60" s="21" t="s">
        <v>785</v>
      </c>
    </row>
    <row r="61" spans="1:6">
      <c r="A61" s="76" t="s">
        <v>385</v>
      </c>
      <c r="B61" s="76" t="str">
        <f t="shared" si="1"/>
        <v>Standard energetici edifici</v>
      </c>
      <c r="C61" s="78" t="s">
        <v>349</v>
      </c>
      <c r="D61" s="71" t="s">
        <v>1140</v>
      </c>
      <c r="E61" s="71" t="s">
        <v>909</v>
      </c>
      <c r="F61" s="21" t="s">
        <v>786</v>
      </c>
    </row>
    <row r="62" spans="1:6">
      <c r="A62" s="76" t="s">
        <v>146</v>
      </c>
      <c r="B62" s="76" t="str">
        <f>INDEX($C62:$E62,1,MATCH(Sprachwahl,ListSprache,0))</f>
        <v>Elementi costruttivi e impiantistica</v>
      </c>
      <c r="C62" s="21" t="s">
        <v>192</v>
      </c>
      <c r="D62" s="71" t="s">
        <v>1141</v>
      </c>
      <c r="E62" s="71" t="s">
        <v>910</v>
      </c>
      <c r="F62" s="21" t="s">
        <v>790</v>
      </c>
    </row>
    <row r="63" spans="1:6">
      <c r="A63" s="76" t="s">
        <v>175</v>
      </c>
      <c r="B63" s="76" t="str">
        <f>INDEX($C63:$E63,1,MATCH(Sprachwahl,ListSprache,0))</f>
        <v>eCCC-E</v>
      </c>
      <c r="C63" s="21" t="s">
        <v>189</v>
      </c>
      <c r="D63" s="71" t="s">
        <v>1142</v>
      </c>
      <c r="E63" s="71" t="s">
        <v>911</v>
      </c>
      <c r="F63" s="21" t="s">
        <v>189</v>
      </c>
    </row>
    <row r="64" spans="1:6">
      <c r="A64" s="76" t="s">
        <v>407</v>
      </c>
      <c r="B64" s="76" t="str">
        <f>INDEX($C64:$E64,1,MATCH(Sprachwahl,ListSprache,0))</f>
        <v>Sigla elemento costruttivo</v>
      </c>
      <c r="C64" s="21" t="s">
        <v>193</v>
      </c>
      <c r="D64" s="71" t="s">
        <v>1143</v>
      </c>
      <c r="E64" s="71" t="s">
        <v>912</v>
      </c>
      <c r="F64" s="21" t="s">
        <v>791</v>
      </c>
    </row>
    <row r="65" spans="1:6">
      <c r="A65" s="76" t="s">
        <v>408</v>
      </c>
      <c r="B65" s="76" t="str">
        <f>INDEX($C65:$E65,1,MATCH(Sprachwahl,ListSprache,0))</f>
        <v>Standard energetico</v>
      </c>
      <c r="C65" s="21" t="s">
        <v>227</v>
      </c>
      <c r="D65" s="71" t="s">
        <v>1144</v>
      </c>
      <c r="E65" s="71" t="s">
        <v>913</v>
      </c>
      <c r="F65" s="21" t="s">
        <v>765</v>
      </c>
    </row>
    <row r="66" spans="1:6">
      <c r="A66" s="76" t="s">
        <v>409</v>
      </c>
      <c r="B66" s="76" t="str">
        <f t="shared" si="1"/>
        <v xml:space="preserve">Dimensioni
</v>
      </c>
      <c r="C66" s="21" t="s">
        <v>1795</v>
      </c>
      <c r="D66" s="71" t="s">
        <v>1796</v>
      </c>
      <c r="E66" s="71" t="s">
        <v>1797</v>
      </c>
      <c r="F66" s="21" t="s">
        <v>1798</v>
      </c>
    </row>
    <row r="67" spans="1:6">
      <c r="A67" s="76" t="s">
        <v>410</v>
      </c>
      <c r="B67" s="76" t="str">
        <f t="shared" si="1"/>
        <v>Unità</v>
      </c>
      <c r="C67" s="21" t="s">
        <v>1799</v>
      </c>
      <c r="D67" s="71" t="s">
        <v>1801</v>
      </c>
      <c r="E67" s="71" t="s">
        <v>1802</v>
      </c>
      <c r="F67" s="21" t="s">
        <v>1800</v>
      </c>
    </row>
    <row r="68" spans="1:6">
      <c r="A68" s="76" t="s">
        <v>411</v>
      </c>
      <c r="B68" s="76" t="str">
        <f t="shared" si="1"/>
        <v>Link</v>
      </c>
      <c r="C68" s="21" t="s">
        <v>195</v>
      </c>
      <c r="D68" s="71" t="s">
        <v>1145</v>
      </c>
      <c r="E68" s="71" t="s">
        <v>195</v>
      </c>
      <c r="F68" s="21" t="s">
        <v>195</v>
      </c>
    </row>
    <row r="69" spans="1:6">
      <c r="A69" s="76" t="s">
        <v>412</v>
      </c>
      <c r="B69" s="76" t="str">
        <f t="shared" si="1"/>
        <v>EPnr
kWh/m2</v>
      </c>
      <c r="C69" s="21" t="s">
        <v>243</v>
      </c>
      <c r="D69" s="71" t="s">
        <v>1804</v>
      </c>
      <c r="E69" s="71" t="s">
        <v>1804</v>
      </c>
      <c r="F69" s="21" t="s">
        <v>243</v>
      </c>
    </row>
    <row r="70" spans="1:6">
      <c r="A70" s="76" t="s">
        <v>1794</v>
      </c>
      <c r="B70" s="76" t="str">
        <f>INDEX($C70:$F70,1,MATCH(Sprachwahl,ListSprache,0))</f>
        <v>EGS
kg/m2</v>
      </c>
      <c r="C70" s="21" t="s">
        <v>196</v>
      </c>
      <c r="D70" s="71" t="s">
        <v>1830</v>
      </c>
      <c r="E70" s="21" t="s">
        <v>1829</v>
      </c>
      <c r="F70" s="21" t="s">
        <v>1803</v>
      </c>
    </row>
    <row r="71" spans="1:6">
      <c r="A71" s="76" t="s">
        <v>394</v>
      </c>
      <c r="B71" s="76" t="str">
        <f t="shared" si="1"/>
        <v>Riporto da altri fogli di calcolo</v>
      </c>
      <c r="C71" s="21" t="s">
        <v>320</v>
      </c>
      <c r="D71" s="71" t="s">
        <v>1146</v>
      </c>
      <c r="E71" s="71" t="s">
        <v>914</v>
      </c>
      <c r="F71" s="21" t="s">
        <v>792</v>
      </c>
    </row>
    <row r="72" spans="1:6">
      <c r="A72" s="76" t="s">
        <v>413</v>
      </c>
      <c r="B72" s="76" t="str">
        <f t="shared" si="1"/>
        <v>Valori progetto</v>
      </c>
      <c r="C72" s="21" t="s">
        <v>311</v>
      </c>
      <c r="D72" s="21" t="s">
        <v>1114</v>
      </c>
      <c r="E72" s="71" t="s">
        <v>1866</v>
      </c>
      <c r="F72" s="21" t="s">
        <v>1867</v>
      </c>
    </row>
    <row r="73" spans="1:6">
      <c r="A73" s="76" t="s">
        <v>364</v>
      </c>
      <c r="B73" s="76" t="str">
        <f t="shared" si="1"/>
        <v>Errore nel campo d'inserimento</v>
      </c>
      <c r="C73" s="184" t="s">
        <v>362</v>
      </c>
      <c r="D73" s="71" t="s">
        <v>1147</v>
      </c>
      <c r="E73" s="71" t="s">
        <v>915</v>
      </c>
      <c r="F73" s="21" t="s">
        <v>766</v>
      </c>
    </row>
    <row r="74" spans="1:6">
      <c r="A74" s="76" t="s">
        <v>194</v>
      </c>
      <c r="B74" s="76" t="str">
        <f t="shared" si="1"/>
        <v>Impianto di ventilazione</v>
      </c>
      <c r="C74" s="21" t="s">
        <v>398</v>
      </c>
      <c r="D74" s="71" t="s">
        <v>1808</v>
      </c>
      <c r="E74" s="71" t="s">
        <v>1078</v>
      </c>
      <c r="F74" s="21" t="s">
        <v>767</v>
      </c>
    </row>
    <row r="75" spans="1:6">
      <c r="A75" s="76" t="s">
        <v>406</v>
      </c>
      <c r="B75" s="76" t="str">
        <f t="shared" si="1"/>
        <v>Impianto sanitario</v>
      </c>
      <c r="C75" s="21" t="s">
        <v>399</v>
      </c>
      <c r="D75" s="71" t="s">
        <v>1809</v>
      </c>
      <c r="E75" s="71" t="s">
        <v>1814</v>
      </c>
      <c r="F75" s="21" t="s">
        <v>768</v>
      </c>
    </row>
    <row r="76" spans="1:6">
      <c r="A76" s="76" t="s">
        <v>405</v>
      </c>
      <c r="B76" s="76" t="str">
        <f t="shared" si="1"/>
        <v>Impianto elettrico</v>
      </c>
      <c r="C76" s="21" t="s">
        <v>400</v>
      </c>
      <c r="D76" s="71" t="s">
        <v>1810</v>
      </c>
      <c r="E76" s="71" t="s">
        <v>1815</v>
      </c>
      <c r="F76" s="21" t="s">
        <v>769</v>
      </c>
    </row>
    <row r="77" spans="1:6">
      <c r="A77" s="76" t="s">
        <v>396</v>
      </c>
      <c r="B77" s="76" t="str">
        <f t="shared" si="1"/>
        <v>Generazione di calore</v>
      </c>
      <c r="C77" s="21" t="s">
        <v>401</v>
      </c>
      <c r="D77" s="71" t="s">
        <v>1811</v>
      </c>
      <c r="E77" s="71" t="s">
        <v>1816</v>
      </c>
      <c r="F77" s="21" t="s">
        <v>793</v>
      </c>
    </row>
    <row r="78" spans="1:6">
      <c r="A78" s="76" t="s">
        <v>397</v>
      </c>
      <c r="B78" s="76" t="str">
        <f t="shared" si="1"/>
        <v>Distribuzione di calore</v>
      </c>
      <c r="C78" s="21" t="s">
        <v>402</v>
      </c>
      <c r="D78" s="71" t="s">
        <v>1812</v>
      </c>
      <c r="E78" s="71" t="s">
        <v>1817</v>
      </c>
      <c r="F78" s="21" t="s">
        <v>770</v>
      </c>
    </row>
    <row r="79" spans="1:6">
      <c r="A79" s="76" t="s">
        <v>404</v>
      </c>
      <c r="B79" s="76" t="str">
        <f t="shared" si="1"/>
        <v>Emissione di calore</v>
      </c>
      <c r="C79" s="21" t="s">
        <v>403</v>
      </c>
      <c r="D79" s="71" t="s">
        <v>1813</v>
      </c>
      <c r="E79" s="71" t="s">
        <v>1818</v>
      </c>
      <c r="F79" s="21" t="s">
        <v>794</v>
      </c>
    </row>
    <row r="80" spans="1:6">
      <c r="A80" s="76" t="s">
        <v>2425</v>
      </c>
      <c r="B80" s="76" t="str">
        <f t="shared" si="1"/>
        <v>Risultato</v>
      </c>
      <c r="C80" s="21" t="s">
        <v>474</v>
      </c>
      <c r="D80" s="71" t="s">
        <v>114</v>
      </c>
      <c r="E80" s="71" t="s">
        <v>115</v>
      </c>
      <c r="F80" s="21" t="s">
        <v>116</v>
      </c>
    </row>
    <row r="81" spans="1:6">
      <c r="A81" s="76"/>
      <c r="B81" s="76">
        <f t="shared" si="1"/>
        <v>0</v>
      </c>
      <c r="D81" s="21"/>
      <c r="E81" s="71"/>
      <c r="F81" s="21"/>
    </row>
    <row r="82" spans="1:6">
      <c r="A82" s="76"/>
      <c r="B82" s="76">
        <f t="shared" si="1"/>
        <v>0</v>
      </c>
      <c r="D82" s="21"/>
      <c r="E82" s="71"/>
      <c r="F82" s="21"/>
    </row>
    <row r="83" spans="1:6">
      <c r="A83" s="76"/>
      <c r="B83" s="76">
        <f t="shared" si="1"/>
        <v>0</v>
      </c>
      <c r="D83" s="21"/>
      <c r="E83" s="71"/>
      <c r="F83" s="21"/>
    </row>
    <row r="84" spans="1:6">
      <c r="A84" s="76"/>
      <c r="B84" s="76">
        <f t="shared" si="1"/>
        <v>0</v>
      </c>
      <c r="D84" s="21"/>
      <c r="E84" s="71"/>
      <c r="F84" s="21"/>
    </row>
    <row r="85" spans="1:6">
      <c r="D85" s="77"/>
    </row>
    <row r="86" spans="1:6">
      <c r="A86" s="11" t="str">
        <f>"Tabelle "&amp;SheetQuestionaire</f>
        <v>Tabelle Questionario_ammodernamento</v>
      </c>
      <c r="B86" s="11"/>
      <c r="C86" s="182"/>
      <c r="D86" s="216"/>
      <c r="E86" s="11"/>
      <c r="F86" s="11"/>
    </row>
    <row r="87" spans="1:6">
      <c r="A87" s="11" t="s">
        <v>39</v>
      </c>
      <c r="B87" s="11" t="s">
        <v>40</v>
      </c>
      <c r="C87" s="182" t="str">
        <f>C$4</f>
        <v>Deutsch</v>
      </c>
      <c r="D87" s="216" t="str">
        <f>D$4</f>
        <v>Francais</v>
      </c>
      <c r="E87" s="11" t="str">
        <f>E$4</f>
        <v>Italiano</v>
      </c>
      <c r="F87" s="11" t="str">
        <f>F$4</f>
        <v>English</v>
      </c>
    </row>
    <row r="88" spans="1:6">
      <c r="A88" s="76" t="s">
        <v>42</v>
      </c>
      <c r="B88" s="76" t="str">
        <f t="shared" ref="B88:B109" si="2">INDEX($C88:$F88,1,MATCH(Sprachwahl,ListSprache,0))</f>
        <v>Questionario ammodernamento</v>
      </c>
      <c r="C88" s="21" t="s">
        <v>58</v>
      </c>
      <c r="D88" s="71" t="s">
        <v>1148</v>
      </c>
      <c r="E88" s="71" t="s">
        <v>93</v>
      </c>
      <c r="F88" s="21" t="s">
        <v>97</v>
      </c>
    </row>
    <row r="89" spans="1:6">
      <c r="A89" s="76" t="s">
        <v>41</v>
      </c>
      <c r="B89" s="76" t="str">
        <f t="shared" si="2"/>
        <v>Domande</v>
      </c>
      <c r="C89" s="21" t="s">
        <v>17</v>
      </c>
      <c r="D89" s="71" t="s">
        <v>1149</v>
      </c>
      <c r="E89" s="71" t="s">
        <v>94</v>
      </c>
      <c r="F89" s="21" t="s">
        <v>98</v>
      </c>
    </row>
    <row r="90" spans="1:6">
      <c r="A90" s="76" t="s">
        <v>59</v>
      </c>
      <c r="B90" s="76" t="str">
        <f t="shared" si="2"/>
        <v>Risposte</v>
      </c>
      <c r="C90" s="21" t="s">
        <v>18</v>
      </c>
      <c r="D90" s="71" t="s">
        <v>75</v>
      </c>
      <c r="E90" s="71" t="s">
        <v>95</v>
      </c>
      <c r="F90" s="21" t="s">
        <v>99</v>
      </c>
    </row>
    <row r="91" spans="1:6">
      <c r="A91" s="76" t="s">
        <v>43</v>
      </c>
      <c r="B91" s="76" t="str">
        <f t="shared" si="2"/>
        <v>Grandezza oggetto</v>
      </c>
      <c r="C91" s="21" t="s">
        <v>176</v>
      </c>
      <c r="D91" s="71" t="s">
        <v>1150</v>
      </c>
      <c r="E91" s="71" t="s">
        <v>916</v>
      </c>
      <c r="F91" s="21" t="s">
        <v>1353</v>
      </c>
    </row>
    <row r="92" spans="1:6">
      <c r="A92" s="76" t="s">
        <v>169</v>
      </c>
      <c r="B92" s="76" t="str">
        <f t="shared" si="2"/>
        <v>L'oggetto è un edificio con una superficie di riferimento energetico inferiore a 5'000 m2 oppure è un altro tipo di edificio con una superficie inferiore a 2'000 m2.</v>
      </c>
      <c r="C92" s="21" t="s">
        <v>161</v>
      </c>
      <c r="D92" s="71" t="s">
        <v>1847</v>
      </c>
      <c r="E92" s="71" t="s">
        <v>917</v>
      </c>
      <c r="F92" s="21" t="s">
        <v>1354</v>
      </c>
    </row>
    <row r="93" spans="1:6">
      <c r="A93" s="76" t="s">
        <v>60</v>
      </c>
      <c r="B93" s="76" t="str">
        <f t="shared" si="2"/>
        <v>Compattezza</v>
      </c>
      <c r="C93" s="21" t="s">
        <v>177</v>
      </c>
      <c r="D93" s="71" t="s">
        <v>1151</v>
      </c>
      <c r="E93" s="71" t="s">
        <v>918</v>
      </c>
      <c r="F93" s="21" t="s">
        <v>1355</v>
      </c>
    </row>
    <row r="94" spans="1:6">
      <c r="A94" s="76" t="s">
        <v>170</v>
      </c>
      <c r="B94" s="76" t="str">
        <f t="shared" si="2"/>
        <v>La compattezza dell'edificio (rapporto tra involucro termico Ath e la superficie di riferimento energetico AE) è rimasto invaraito o è migliorato</v>
      </c>
      <c r="C94" s="21" t="s">
        <v>163</v>
      </c>
      <c r="D94" s="71" t="s">
        <v>1152</v>
      </c>
      <c r="E94" s="71" t="s">
        <v>919</v>
      </c>
      <c r="F94" s="21" t="s">
        <v>1356</v>
      </c>
    </row>
    <row r="95" spans="1:6">
      <c r="A95" s="76" t="s">
        <v>61</v>
      </c>
      <c r="B95" s="76" t="str">
        <f t="shared" si="2"/>
        <v>Approfondi-mento</v>
      </c>
      <c r="C95" s="21" t="s">
        <v>178</v>
      </c>
      <c r="D95" s="71" t="s">
        <v>1153</v>
      </c>
      <c r="E95" s="71" t="s">
        <v>1820</v>
      </c>
      <c r="F95" s="21" t="s">
        <v>1357</v>
      </c>
    </row>
    <row r="96" spans="1:6">
      <c r="A96" s="76" t="s">
        <v>171</v>
      </c>
      <c r="B96" s="76" t="str">
        <f t="shared" si="2"/>
        <v>La maggior parte dell'elemento costruttivo viene mantenuta (nessun carotaggio, demolizione fino al grezzo)</v>
      </c>
      <c r="C96" s="21" t="s">
        <v>162</v>
      </c>
      <c r="D96" s="71" t="s">
        <v>1154</v>
      </c>
      <c r="E96" s="71" t="s">
        <v>920</v>
      </c>
      <c r="F96" s="21" t="s">
        <v>1358</v>
      </c>
    </row>
    <row r="97" spans="1:6">
      <c r="A97" s="76" t="s">
        <v>45</v>
      </c>
      <c r="B97" s="76" t="str">
        <f t="shared" si="2"/>
        <v>Costruzione pareti esterne fuori terra e tetto</v>
      </c>
      <c r="C97" s="21" t="s">
        <v>179</v>
      </c>
      <c r="D97" s="71" t="s">
        <v>1155</v>
      </c>
      <c r="E97" s="71" t="s">
        <v>921</v>
      </c>
      <c r="F97" s="21" t="s">
        <v>1359</v>
      </c>
    </row>
    <row r="98" spans="1:6">
      <c r="A98" s="76" t="s">
        <v>172</v>
      </c>
      <c r="B98" s="219" t="str">
        <f t="shared" si="2"/>
        <v>Le pareti esterne fuori terra e il tetto non vengono ammodernate, rispettivamente rinnovate con lo stesso tipo di materializzazione (ad esclusione naturalmente degli strati isolanti aggiuntivi).
Oppure
Le pareti esterne sostituite o nuove sono costituite da una delle seguenti composizioni:
- costruzione massiccia monostrato con rivestimento leggero (legno, derivati dal legno, fibrocemento, elementi in calcestruzzo spess. &lt; 8 cm, pannelli FV ecc.).
- costruzione intelaiata in legno con isolamento a cappotto o rivestimento leggero
- costruzione massiccia monostrato con cappotto</v>
      </c>
      <c r="C98" s="21" t="s">
        <v>167</v>
      </c>
      <c r="D98" s="71" t="s">
        <v>1156</v>
      </c>
      <c r="E98" s="214" t="s">
        <v>922</v>
      </c>
      <c r="F98" s="21" t="s">
        <v>1360</v>
      </c>
    </row>
    <row r="99" spans="1:6">
      <c r="A99" s="76" t="s">
        <v>62</v>
      </c>
      <c r="B99" s="76" t="str">
        <f t="shared" si="2"/>
        <v>Ampliamenti</v>
      </c>
      <c r="C99" s="21" t="s">
        <v>180</v>
      </c>
      <c r="D99" s="71" t="s">
        <v>1848</v>
      </c>
      <c r="E99" s="71" t="s">
        <v>923</v>
      </c>
      <c r="F99" s="21" t="s">
        <v>1361</v>
      </c>
    </row>
    <row r="100" spans="1:6">
      <c r="A100" s="76" t="s">
        <v>173</v>
      </c>
      <c r="B100" s="76" t="str">
        <f t="shared" si="2"/>
        <v xml:space="preserve">Il volume dell'edificio non viene aumentato (eccetto gli aumenti dovuti agli strati aggiuntivi di isolamento termico)
oppure
La superficie del piano del volume aggiunto corrisponde al massimo al 20% della superficie del piano esistente. </v>
      </c>
      <c r="C100" s="21" t="s">
        <v>164</v>
      </c>
      <c r="D100" s="71" t="s">
        <v>1157</v>
      </c>
      <c r="E100" s="214" t="s">
        <v>924</v>
      </c>
      <c r="F100" s="21" t="s">
        <v>1362</v>
      </c>
    </row>
    <row r="101" spans="1:6">
      <c r="A101" s="76" t="s">
        <v>159</v>
      </c>
      <c r="B101" s="76" t="str">
        <f t="shared" si="2"/>
        <v>Finestre</v>
      </c>
      <c r="C101" s="21" t="s">
        <v>22</v>
      </c>
      <c r="D101" s="71" t="s">
        <v>1158</v>
      </c>
      <c r="E101" s="71" t="s">
        <v>925</v>
      </c>
      <c r="F101" s="21" t="s">
        <v>1363</v>
      </c>
    </row>
    <row r="102" spans="1:6">
      <c r="A102" s="76" t="s">
        <v>174</v>
      </c>
      <c r="B102" s="219" t="str">
        <f t="shared" si="2"/>
        <v>La superfice delle finestre della facciata e del tetto vengono aumentate del 20% al massimo
e
i telai delle finestre sostituite o nuove sono in legno o legno-metallo.</v>
      </c>
      <c r="C102" s="21" t="s">
        <v>165</v>
      </c>
      <c r="D102" s="71" t="s">
        <v>1159</v>
      </c>
      <c r="E102" s="71" t="s">
        <v>926</v>
      </c>
      <c r="F102" s="21" t="s">
        <v>1364</v>
      </c>
    </row>
    <row r="103" spans="1:6">
      <c r="A103" s="76" t="s">
        <v>46</v>
      </c>
      <c r="B103" s="76" t="str">
        <f t="shared" si="2"/>
        <v>Adattamento della struttura portante</v>
      </c>
      <c r="C103" s="21" t="s">
        <v>181</v>
      </c>
      <c r="D103" s="71" t="s">
        <v>1160</v>
      </c>
      <c r="E103" s="71" t="s">
        <v>927</v>
      </c>
      <c r="F103" s="21" t="s">
        <v>1365</v>
      </c>
    </row>
    <row r="104" spans="1:6">
      <c r="A104" s="76" t="s">
        <v>175</v>
      </c>
      <c r="B104" s="76" t="str">
        <f t="shared" si="2"/>
        <v>Gli elementi costruttivi portanti non vengono modificati (non vengono considerati singoli passaggi nelle pareti portanti con una superficie fino a 3 m2 come pure rinforzi antisismici).</v>
      </c>
      <c r="C104" s="21" t="s">
        <v>166</v>
      </c>
      <c r="D104" s="71" t="s">
        <v>1849</v>
      </c>
      <c r="E104" s="214" t="s">
        <v>928</v>
      </c>
      <c r="F104" s="21" t="s">
        <v>1366</v>
      </c>
    </row>
    <row r="105" spans="1:6">
      <c r="A105" s="76" t="s">
        <v>63</v>
      </c>
      <c r="B105" s="76" t="str">
        <f t="shared" si="2"/>
        <v>Risultato</v>
      </c>
      <c r="C105" s="21" t="s">
        <v>113</v>
      </c>
      <c r="D105" s="71" t="s">
        <v>114</v>
      </c>
      <c r="E105" s="71" t="s">
        <v>115</v>
      </c>
      <c r="F105" s="21" t="s">
        <v>116</v>
      </c>
    </row>
    <row r="106" spans="1:6">
      <c r="A106" s="76" t="s">
        <v>64</v>
      </c>
      <c r="B106" s="76" t="str">
        <f t="shared" si="2"/>
        <v>QUESTO FOGLIO DEVE ESSERE COMPLETATO UNICAMENTE IN CASO DI AMMODERNAMENTO</v>
      </c>
      <c r="C106" s="21" t="s">
        <v>160</v>
      </c>
      <c r="D106" s="71" t="s">
        <v>1161</v>
      </c>
      <c r="E106" s="71" t="s">
        <v>96</v>
      </c>
      <c r="F106" s="21" t="s">
        <v>100</v>
      </c>
    </row>
    <row r="107" spans="1:6">
      <c r="A107" s="76" t="s">
        <v>64</v>
      </c>
      <c r="B107" s="76" t="str">
        <f t="shared" si="2"/>
        <v>Il requisito MINERGIE-ECO per ammodernamenti é rispettato. Un calcolo dettagliato non è necessario.</v>
      </c>
      <c r="C107" s="21" t="s">
        <v>421</v>
      </c>
      <c r="D107" s="71" t="s">
        <v>1162</v>
      </c>
      <c r="E107" s="214" t="s">
        <v>929</v>
      </c>
      <c r="F107" s="21" t="s">
        <v>168</v>
      </c>
    </row>
    <row r="108" spans="1:6">
      <c r="A108" s="76" t="s">
        <v>64</v>
      </c>
      <c r="B108" s="76" t="str">
        <f t="shared" si="2"/>
        <v>P.F. eseguire un calcolo dettagliato (foglio 'Calcolo')</v>
      </c>
      <c r="C108" s="21" t="str">
        <f>"Bitte führen Sie eine detaillierte Berechnung durch (Blatt "&amp;SheetBuildgData&amp;")"</f>
        <v>Bitte führen Sie eine detaillierte Berechnung durch (Blatt Calcolo)</v>
      </c>
      <c r="D108" s="71" t="str">
        <f>"Merci d'effectuer un calcul détaillé (feuille '"&amp;SheetBuildgData&amp;"')"</f>
        <v>Merci d'effectuer un calcul détaillé (feuille 'Calcolo')</v>
      </c>
      <c r="E108" s="71" t="str">
        <f>"P.F. eseguire un calcolo dettagliato (foglio '"&amp;SheetBuildgData&amp;"')"</f>
        <v>P.F. eseguire un calcolo dettagliato (foglio 'Calcolo')</v>
      </c>
      <c r="F108" s="21" t="str">
        <f>"Please carry out a detailed calculation (sheet '"&amp;SheetBuildgData&amp;"')"</f>
        <v>Please carry out a detailed calculation (sheet 'Calcolo')</v>
      </c>
    </row>
    <row r="109" spans="1:6">
      <c r="A109" s="76" t="s">
        <v>64</v>
      </c>
      <c r="B109" s="76" t="str">
        <f t="shared" si="2"/>
        <v>P.F: compilare tutto il questionario</v>
      </c>
      <c r="C109" s="21" t="s">
        <v>420</v>
      </c>
      <c r="D109" s="71" t="s">
        <v>1163</v>
      </c>
      <c r="E109" s="71" t="s">
        <v>930</v>
      </c>
      <c r="F109" s="21" t="s">
        <v>1367</v>
      </c>
    </row>
    <row r="110" spans="1:6">
      <c r="D110" s="213"/>
    </row>
    <row r="111" spans="1:6">
      <c r="A111" s="11" t="s">
        <v>56</v>
      </c>
      <c r="B111" s="11"/>
      <c r="C111" s="182"/>
      <c r="D111" s="216"/>
      <c r="E111" s="11"/>
      <c r="F111" s="11"/>
    </row>
    <row r="112" spans="1:6">
      <c r="A112" s="11" t="s">
        <v>39</v>
      </c>
      <c r="B112" s="11" t="s">
        <v>40</v>
      </c>
      <c r="C112" s="182" t="str">
        <f>C$4</f>
        <v>Deutsch</v>
      </c>
      <c r="D112" s="216" t="str">
        <f>D$4</f>
        <v>Francais</v>
      </c>
      <c r="E112" s="11" t="str">
        <f>E$4</f>
        <v>Italiano</v>
      </c>
      <c r="F112" s="11" t="str">
        <f>F$4</f>
        <v>English</v>
      </c>
    </row>
    <row r="113" spans="1:6">
      <c r="A113" s="76" t="s">
        <v>359</v>
      </c>
      <c r="B113" s="76" t="str">
        <f t="shared" ref="B113:B147" si="3">INDEX($C113:$F113,1,MATCH(Sprachwahl,ListSprache,0))</f>
        <v>Abitazione plurifamiliare</v>
      </c>
      <c r="C113" s="184" t="s">
        <v>152</v>
      </c>
      <c r="D113" s="217" t="s">
        <v>1164</v>
      </c>
      <c r="E113" s="184" t="s">
        <v>931</v>
      </c>
      <c r="F113" s="8" t="s">
        <v>1377</v>
      </c>
    </row>
    <row r="114" spans="1:6">
      <c r="A114" s="76"/>
      <c r="B114" s="76" t="str">
        <f t="shared" si="3"/>
        <v>Piccoli edifici</v>
      </c>
      <c r="C114" s="184" t="s">
        <v>348</v>
      </c>
      <c r="D114" s="217" t="s">
        <v>1165</v>
      </c>
      <c r="E114" s="185" t="s">
        <v>932</v>
      </c>
      <c r="F114" s="8" t="s">
        <v>1368</v>
      </c>
    </row>
    <row r="115" spans="1:6">
      <c r="A115" s="76"/>
      <c r="B115" s="76" t="str">
        <f t="shared" si="3"/>
        <v>Amministrazione</v>
      </c>
      <c r="C115" s="184" t="s">
        <v>21</v>
      </c>
      <c r="D115" s="217" t="s">
        <v>1166</v>
      </c>
      <c r="E115" s="185" t="s">
        <v>933</v>
      </c>
      <c r="F115" s="8" t="s">
        <v>1369</v>
      </c>
    </row>
    <row r="116" spans="1:6">
      <c r="A116" s="76"/>
      <c r="B116" s="76" t="str">
        <f t="shared" si="3"/>
        <v>Scuola</v>
      </c>
      <c r="C116" s="184" t="s">
        <v>3</v>
      </c>
      <c r="D116" s="217" t="s">
        <v>1167</v>
      </c>
      <c r="E116" s="185" t="s">
        <v>934</v>
      </c>
      <c r="F116" s="8" t="s">
        <v>1370</v>
      </c>
    </row>
    <row r="117" spans="1:6">
      <c r="A117" s="76"/>
      <c r="B117" s="76" t="str">
        <f t="shared" si="3"/>
        <v>Negozi</v>
      </c>
      <c r="C117" s="184" t="s">
        <v>153</v>
      </c>
      <c r="D117" s="217" t="s">
        <v>1168</v>
      </c>
      <c r="E117" s="184" t="s">
        <v>935</v>
      </c>
      <c r="F117" s="8" t="s">
        <v>1371</v>
      </c>
    </row>
    <row r="118" spans="1:6">
      <c r="A118" s="76"/>
      <c r="B118" s="76" t="str">
        <f t="shared" si="3"/>
        <v>Ristorante</v>
      </c>
      <c r="C118" s="184" t="s">
        <v>2</v>
      </c>
      <c r="D118" s="218" t="s">
        <v>1169</v>
      </c>
      <c r="E118" s="215" t="s">
        <v>936</v>
      </c>
      <c r="F118" s="8" t="s">
        <v>2</v>
      </c>
    </row>
    <row r="119" spans="1:6">
      <c r="A119" s="76"/>
      <c r="B119" s="76" t="str">
        <f t="shared" si="3"/>
        <v>Museo</v>
      </c>
      <c r="C119" s="185" t="s">
        <v>346</v>
      </c>
      <c r="D119" s="77" t="s">
        <v>1170</v>
      </c>
      <c r="E119" s="215" t="s">
        <v>937</v>
      </c>
      <c r="F119" s="8" t="s">
        <v>1372</v>
      </c>
    </row>
    <row r="120" spans="1:6">
      <c r="A120" s="76"/>
      <c r="B120" s="76" t="str">
        <f t="shared" si="3"/>
        <v>Ospedale</v>
      </c>
      <c r="C120" s="184" t="s">
        <v>154</v>
      </c>
      <c r="D120" s="217" t="s">
        <v>1171</v>
      </c>
      <c r="E120" s="184" t="s">
        <v>938</v>
      </c>
      <c r="F120" s="8" t="s">
        <v>1373</v>
      </c>
    </row>
    <row r="121" spans="1:6">
      <c r="A121" s="76"/>
      <c r="B121" s="76" t="str">
        <f t="shared" si="3"/>
        <v>Industria</v>
      </c>
      <c r="C121" s="184" t="s">
        <v>155</v>
      </c>
      <c r="D121" s="217" t="s">
        <v>1172</v>
      </c>
      <c r="E121" s="184" t="s">
        <v>939</v>
      </c>
      <c r="F121" s="8" t="s">
        <v>1374</v>
      </c>
    </row>
    <row r="122" spans="1:6">
      <c r="A122" s="76"/>
      <c r="B122" s="76" t="str">
        <f t="shared" si="3"/>
        <v>Piccole scuole</v>
      </c>
      <c r="C122" s="186" t="s">
        <v>347</v>
      </c>
      <c r="D122" s="22" t="s">
        <v>1173</v>
      </c>
      <c r="E122" s="186" t="s">
        <v>940</v>
      </c>
      <c r="F122" s="8" t="s">
        <v>1375</v>
      </c>
    </row>
    <row r="123" spans="1:6">
      <c r="A123" s="76"/>
      <c r="B123" s="76" t="str">
        <f t="shared" si="3"/>
        <v>Edifici sportivi</v>
      </c>
      <c r="C123" s="186" t="s">
        <v>156</v>
      </c>
      <c r="D123" s="22" t="s">
        <v>1174</v>
      </c>
      <c r="E123" s="186" t="s">
        <v>941</v>
      </c>
      <c r="F123" s="8" t="s">
        <v>1376</v>
      </c>
    </row>
    <row r="124" spans="1:6">
      <c r="A124" s="76"/>
      <c r="B124" s="76">
        <f t="shared" si="3"/>
        <v>0</v>
      </c>
      <c r="C124" s="184"/>
      <c r="D124" s="217"/>
      <c r="E124" s="184"/>
    </row>
    <row r="125" spans="1:6">
      <c r="A125" s="76" t="s">
        <v>360</v>
      </c>
      <c r="B125" s="76" t="str">
        <f t="shared" si="3"/>
        <v>Amministrazione</v>
      </c>
      <c r="C125" s="184" t="s">
        <v>21</v>
      </c>
      <c r="D125" s="217" t="s">
        <v>1166</v>
      </c>
      <c r="E125" s="184" t="s">
        <v>933</v>
      </c>
      <c r="F125" s="8" t="s">
        <v>1369</v>
      </c>
    </row>
    <row r="126" spans="1:6">
      <c r="A126" s="76"/>
      <c r="B126" s="76" t="str">
        <f t="shared" si="3"/>
        <v>Scuola</v>
      </c>
      <c r="C126" s="187" t="s">
        <v>3</v>
      </c>
      <c r="D126" s="217" t="s">
        <v>1175</v>
      </c>
      <c r="E126" s="184" t="s">
        <v>934</v>
      </c>
      <c r="F126" s="8" t="s">
        <v>1370</v>
      </c>
    </row>
    <row r="127" spans="1:6">
      <c r="A127" s="76"/>
      <c r="B127" s="76" t="str">
        <f t="shared" si="3"/>
        <v>Abitazione monofamiliare</v>
      </c>
      <c r="C127" s="187" t="s">
        <v>152</v>
      </c>
      <c r="D127" s="217" t="s">
        <v>1176</v>
      </c>
      <c r="E127" s="184" t="s">
        <v>942</v>
      </c>
      <c r="F127" s="8" t="s">
        <v>1377</v>
      </c>
    </row>
    <row r="128" spans="1:6">
      <c r="A128" s="76"/>
      <c r="B128" s="76">
        <f t="shared" si="3"/>
        <v>0</v>
      </c>
      <c r="C128" s="184"/>
      <c r="D128" s="217"/>
      <c r="E128" s="184"/>
    </row>
    <row r="129" spans="1:6">
      <c r="A129" s="76" t="s">
        <v>361</v>
      </c>
      <c r="B129" s="76" t="str">
        <f t="shared" si="3"/>
        <v>Abitazione</v>
      </c>
      <c r="C129" s="184" t="s">
        <v>258</v>
      </c>
      <c r="D129" s="217" t="s">
        <v>1177</v>
      </c>
      <c r="E129" s="184" t="s">
        <v>943</v>
      </c>
      <c r="F129" s="8" t="s">
        <v>1377</v>
      </c>
    </row>
    <row r="130" spans="1:6">
      <c r="A130" s="76"/>
      <c r="B130" s="76" t="str">
        <f t="shared" si="3"/>
        <v>Amministrazione</v>
      </c>
      <c r="C130" s="188" t="s">
        <v>21</v>
      </c>
      <c r="D130" s="217" t="s">
        <v>1166</v>
      </c>
      <c r="E130" s="184" t="s">
        <v>933</v>
      </c>
      <c r="F130" s="8" t="s">
        <v>1369</v>
      </c>
    </row>
    <row r="131" spans="1:6">
      <c r="A131" s="76"/>
      <c r="B131" s="76" t="str">
        <f t="shared" si="3"/>
        <v>Scuola</v>
      </c>
      <c r="C131" s="188" t="s">
        <v>3</v>
      </c>
      <c r="D131" s="217" t="s">
        <v>1175</v>
      </c>
      <c r="E131" s="184" t="s">
        <v>934</v>
      </c>
      <c r="F131" s="8" t="s">
        <v>1370</v>
      </c>
    </row>
    <row r="132" spans="1:6">
      <c r="A132" s="76"/>
      <c r="B132" s="76" t="str">
        <f t="shared" si="3"/>
        <v>Negozio specializzato</v>
      </c>
      <c r="C132" s="188" t="s">
        <v>331</v>
      </c>
      <c r="D132" s="217" t="s">
        <v>1178</v>
      </c>
      <c r="E132" s="184" t="s">
        <v>944</v>
      </c>
      <c r="F132" s="8" t="s">
        <v>1378</v>
      </c>
    </row>
    <row r="133" spans="1:6">
      <c r="A133" s="76"/>
      <c r="B133" s="76" t="str">
        <f t="shared" si="3"/>
        <v>Negozio alimentari</v>
      </c>
      <c r="C133" s="188" t="s">
        <v>332</v>
      </c>
      <c r="D133" s="217" t="s">
        <v>1179</v>
      </c>
      <c r="E133" s="184" t="s">
        <v>945</v>
      </c>
      <c r="F133" s="8" t="s">
        <v>1379</v>
      </c>
    </row>
    <row r="134" spans="1:6">
      <c r="A134" s="76"/>
      <c r="B134" s="76" t="str">
        <f t="shared" si="3"/>
        <v>Ristorante</v>
      </c>
      <c r="C134" s="188" t="s">
        <v>2</v>
      </c>
      <c r="D134" s="217" t="s">
        <v>1180</v>
      </c>
      <c r="E134" s="184" t="s">
        <v>936</v>
      </c>
      <c r="F134" s="8" t="s">
        <v>2</v>
      </c>
    </row>
    <row r="135" spans="1:6">
      <c r="A135" s="76"/>
      <c r="B135" s="76">
        <f t="shared" si="3"/>
        <v>0</v>
      </c>
      <c r="C135" s="184"/>
      <c r="D135" s="217"/>
      <c r="E135" s="184"/>
    </row>
    <row r="136" spans="1:6">
      <c r="A136" s="76"/>
      <c r="B136" s="76">
        <f t="shared" si="3"/>
        <v>0</v>
      </c>
      <c r="C136" s="184"/>
      <c r="D136" s="217"/>
      <c r="E136" s="184"/>
    </row>
    <row r="137" spans="1:6">
      <c r="A137" s="76" t="s">
        <v>341</v>
      </c>
      <c r="B137" s="76" t="str">
        <f t="shared" si="3"/>
        <v>Poche (per es. loft)</v>
      </c>
      <c r="C137" s="188" t="s">
        <v>1841</v>
      </c>
      <c r="D137" s="217" t="s">
        <v>1844</v>
      </c>
      <c r="E137" s="184" t="s">
        <v>1836</v>
      </c>
      <c r="F137" s="8" t="s">
        <v>1838</v>
      </c>
    </row>
    <row r="138" spans="1:6">
      <c r="A138" s="76"/>
      <c r="B138" s="76" t="str">
        <f t="shared" si="3"/>
        <v>Numero normale</v>
      </c>
      <c r="C138" s="188" t="s">
        <v>1843</v>
      </c>
      <c r="D138" s="217" t="s">
        <v>1845</v>
      </c>
      <c r="E138" s="184" t="s">
        <v>1835</v>
      </c>
      <c r="F138" s="8" t="s">
        <v>1839</v>
      </c>
    </row>
    <row r="139" spans="1:6">
      <c r="A139" s="76"/>
      <c r="B139" s="76" t="str">
        <f t="shared" si="3"/>
        <v>Molte (per es. hotel)</v>
      </c>
      <c r="C139" s="188" t="s">
        <v>1842</v>
      </c>
      <c r="D139" s="217" t="s">
        <v>1846</v>
      </c>
      <c r="E139" s="184" t="s">
        <v>1837</v>
      </c>
      <c r="F139" s="8" t="s">
        <v>1840</v>
      </c>
    </row>
    <row r="140" spans="1:6">
      <c r="A140" s="76"/>
      <c r="B140" s="76">
        <f t="shared" si="3"/>
        <v>0</v>
      </c>
      <c r="C140" s="184"/>
      <c r="D140" s="217"/>
      <c r="E140" s="184"/>
    </row>
    <row r="141" spans="1:6">
      <c r="A141" s="76" t="s">
        <v>364</v>
      </c>
      <c r="B141" s="76" t="str">
        <f t="shared" si="3"/>
        <v>Errore nel campo d'immissione</v>
      </c>
      <c r="C141" s="184" t="s">
        <v>362</v>
      </c>
      <c r="D141" s="213" t="s">
        <v>1147</v>
      </c>
      <c r="E141" s="184" t="s">
        <v>946</v>
      </c>
      <c r="F141" s="8" t="s">
        <v>1380</v>
      </c>
    </row>
    <row r="142" spans="1:6">
      <c r="A142" s="76"/>
      <c r="B142" s="76">
        <f t="shared" si="3"/>
        <v>0</v>
      </c>
      <c r="C142" s="184"/>
      <c r="D142" s="217"/>
      <c r="E142" s="184"/>
    </row>
    <row r="143" spans="1:6">
      <c r="A143" s="76" t="s">
        <v>1865</v>
      </c>
      <c r="B143" s="76" t="str">
        <f t="shared" si="3"/>
        <v>Grado</v>
      </c>
      <c r="C143" s="184" t="s">
        <v>1862</v>
      </c>
      <c r="D143" s="217" t="s">
        <v>1862</v>
      </c>
      <c r="E143" s="184" t="s">
        <v>1864</v>
      </c>
      <c r="F143" s="8" t="s">
        <v>1863</v>
      </c>
    </row>
    <row r="144" spans="1:6">
      <c r="A144" s="76"/>
      <c r="B144" s="76">
        <f t="shared" si="3"/>
        <v>0</v>
      </c>
      <c r="C144" s="184"/>
      <c r="D144" s="217"/>
      <c r="E144" s="184"/>
    </row>
    <row r="145" spans="1:10">
      <c r="A145" s="76"/>
      <c r="B145" s="76">
        <f t="shared" si="3"/>
        <v>0</v>
      </c>
      <c r="C145" s="184"/>
      <c r="D145" s="217"/>
      <c r="E145" s="184"/>
    </row>
    <row r="146" spans="1:10">
      <c r="A146" s="76"/>
      <c r="B146" s="76">
        <f t="shared" si="3"/>
        <v>0</v>
      </c>
      <c r="C146" s="184"/>
      <c r="D146" s="217"/>
      <c r="E146" s="184"/>
    </row>
    <row r="147" spans="1:10">
      <c r="B147" s="76">
        <f t="shared" si="3"/>
        <v>0</v>
      </c>
      <c r="D147" s="77"/>
      <c r="E147" s="21"/>
    </row>
    <row r="148" spans="1:10">
      <c r="A148" s="76" t="s">
        <v>189</v>
      </c>
      <c r="B148" s="76" t="str">
        <f t="shared" ref="B148:B181" si="4">INDEX($C148:$F148,1,MATCH(Sprachwahl,ListSprache,0))</f>
        <v>B Preparazione</v>
      </c>
      <c r="C148" s="188" t="s">
        <v>197</v>
      </c>
      <c r="D148" s="213" t="s">
        <v>1181</v>
      </c>
      <c r="E148" s="21" t="s">
        <v>947</v>
      </c>
      <c r="F148" s="8" t="s">
        <v>1381</v>
      </c>
    </row>
    <row r="149" spans="1:10">
      <c r="A149" s="76"/>
      <c r="B149" s="76" t="str">
        <f t="shared" si="4"/>
        <v>C 1 Platea, fondazione</v>
      </c>
      <c r="C149" s="188" t="s">
        <v>198</v>
      </c>
      <c r="D149" s="213" t="s">
        <v>1182</v>
      </c>
      <c r="E149" s="21" t="s">
        <v>948</v>
      </c>
      <c r="F149" s="8" t="s">
        <v>1382</v>
      </c>
    </row>
    <row r="150" spans="1:10" ht="25.5">
      <c r="A150" s="76"/>
      <c r="B150" s="76" t="str">
        <f t="shared" si="4"/>
        <v>C 2.1 Parete grezza est. c. terra</v>
      </c>
      <c r="C150" s="188" t="s">
        <v>199</v>
      </c>
      <c r="D150" s="213" t="s">
        <v>1852</v>
      </c>
      <c r="E150" s="21" t="s">
        <v>1854</v>
      </c>
      <c r="F150" s="8" t="s">
        <v>1388</v>
      </c>
    </row>
    <row r="151" spans="1:10" ht="25.5">
      <c r="A151" s="76"/>
      <c r="B151" s="76" t="str">
        <f t="shared" si="4"/>
        <v>C 2.1 Parete grezza est. fuori terra</v>
      </c>
      <c r="C151" s="21" t="s">
        <v>200</v>
      </c>
      <c r="D151" s="213" t="s">
        <v>1853</v>
      </c>
      <c r="E151" s="21" t="s">
        <v>1855</v>
      </c>
      <c r="F151" s="8" t="s">
        <v>1389</v>
      </c>
    </row>
    <row r="152" spans="1:10" ht="25.5">
      <c r="A152" s="76"/>
      <c r="B152" s="76" t="str">
        <f t="shared" si="4"/>
        <v>C 2.2 Pareti interne</v>
      </c>
      <c r="C152" s="188" t="s">
        <v>201</v>
      </c>
      <c r="D152" s="213" t="s">
        <v>1183</v>
      </c>
      <c r="E152" s="71" t="s">
        <v>949</v>
      </c>
      <c r="F152" s="8" t="s">
        <v>1383</v>
      </c>
      <c r="J152" s="10"/>
    </row>
    <row r="153" spans="1:10">
      <c r="A153" s="76"/>
      <c r="B153" s="76" t="str">
        <f t="shared" si="4"/>
        <v>C 4.1 Soletta</v>
      </c>
      <c r="C153" s="188" t="s">
        <v>202</v>
      </c>
      <c r="D153" s="213" t="s">
        <v>1184</v>
      </c>
      <c r="E153" s="71" t="s">
        <v>950</v>
      </c>
      <c r="F153" s="8" t="s">
        <v>1384</v>
      </c>
      <c r="J153" s="10"/>
    </row>
    <row r="154" spans="1:10">
      <c r="A154" s="76"/>
      <c r="B154" s="76" t="str">
        <f t="shared" si="4"/>
        <v>C 4.3 Balcone</v>
      </c>
      <c r="C154" s="188" t="s">
        <v>203</v>
      </c>
      <c r="D154" s="213" t="s">
        <v>1185</v>
      </c>
      <c r="E154" s="71" t="s">
        <v>951</v>
      </c>
      <c r="F154" s="8" t="s">
        <v>1385</v>
      </c>
      <c r="J154" s="10"/>
    </row>
    <row r="155" spans="1:10">
      <c r="A155" s="76"/>
      <c r="B155" s="76" t="str">
        <f t="shared" si="4"/>
        <v>C 4.4 Struttura portante del tetto</v>
      </c>
      <c r="C155" s="188" t="s">
        <v>204</v>
      </c>
      <c r="D155" s="213" t="s">
        <v>1850</v>
      </c>
      <c r="E155" s="71" t="s">
        <v>952</v>
      </c>
      <c r="F155" s="8" t="s">
        <v>1386</v>
      </c>
      <c r="J155" s="10"/>
    </row>
    <row r="156" spans="1:10">
      <c r="A156" s="76"/>
      <c r="B156" s="76" t="str">
        <f t="shared" si="4"/>
        <v>D Impianti tecnici edifico</v>
      </c>
      <c r="C156" s="188" t="s">
        <v>205</v>
      </c>
      <c r="D156" s="213" t="s">
        <v>1186</v>
      </c>
      <c r="E156" s="71" t="s">
        <v>953</v>
      </c>
      <c r="F156" s="8" t="s">
        <v>1390</v>
      </c>
      <c r="J156" s="10"/>
    </row>
    <row r="157" spans="1:10" ht="25.5">
      <c r="A157" s="76"/>
      <c r="B157" s="76" t="str">
        <f t="shared" si="4"/>
        <v>E 1 Rivestimento della parete esterna c. terra</v>
      </c>
      <c r="C157" s="21" t="s">
        <v>206</v>
      </c>
      <c r="D157" s="213" t="s">
        <v>1856</v>
      </c>
      <c r="E157" s="71" t="s">
        <v>1857</v>
      </c>
      <c r="F157" s="8" t="s">
        <v>1391</v>
      </c>
      <c r="J157" s="10"/>
    </row>
    <row r="158" spans="1:10">
      <c r="A158" s="76"/>
      <c r="B158" s="76" t="str">
        <f t="shared" si="4"/>
        <v>E 2 Rivestimento della parete est. fuori terra</v>
      </c>
      <c r="C158" s="188" t="s">
        <v>207</v>
      </c>
      <c r="D158" s="213" t="s">
        <v>1187</v>
      </c>
      <c r="E158" s="71" t="s">
        <v>1858</v>
      </c>
      <c r="F158" s="8" t="s">
        <v>1392</v>
      </c>
      <c r="J158" s="10"/>
    </row>
    <row r="159" spans="1:10" ht="25.5">
      <c r="A159" s="76"/>
      <c r="B159" s="76" t="str">
        <f t="shared" si="4"/>
        <v>E 3 Infisso in facciata</v>
      </c>
      <c r="C159" s="188" t="s">
        <v>208</v>
      </c>
      <c r="D159" s="213" t="s">
        <v>1851</v>
      </c>
      <c r="E159" s="71" t="s">
        <v>954</v>
      </c>
      <c r="F159" s="8" t="s">
        <v>1387</v>
      </c>
      <c r="J159" s="10"/>
    </row>
    <row r="160" spans="1:10">
      <c r="A160" s="76"/>
      <c r="B160" s="76" t="str">
        <f t="shared" si="4"/>
        <v>F Tetto edificio</v>
      </c>
      <c r="C160" s="188" t="s">
        <v>209</v>
      </c>
      <c r="D160" s="213" t="s">
        <v>1188</v>
      </c>
      <c r="E160" s="71" t="s">
        <v>955</v>
      </c>
      <c r="F160" s="8" t="s">
        <v>1393</v>
      </c>
      <c r="J160" s="10"/>
    </row>
    <row r="161" spans="1:10">
      <c r="A161" s="76"/>
      <c r="B161" s="76" t="str">
        <f t="shared" si="4"/>
        <v>G Finiture interne edificio</v>
      </c>
      <c r="C161" s="188" t="s">
        <v>210</v>
      </c>
      <c r="D161" s="213" t="s">
        <v>1189</v>
      </c>
      <c r="E161" s="71" t="s">
        <v>956</v>
      </c>
      <c r="F161" s="8" t="s">
        <v>1394</v>
      </c>
      <c r="J161" s="10"/>
    </row>
    <row r="162" spans="1:10">
      <c r="A162" s="76"/>
      <c r="B162" s="76"/>
      <c r="C162" s="188"/>
      <c r="D162" s="213"/>
      <c r="E162" s="71"/>
      <c r="J162" s="10"/>
    </row>
    <row r="163" spans="1:10">
      <c r="A163" s="76" t="s">
        <v>2426</v>
      </c>
      <c r="B163" s="76" t="str">
        <f t="shared" si="4"/>
        <v>Imp. ventilazione</v>
      </c>
      <c r="C163" s="5" t="s">
        <v>370</v>
      </c>
      <c r="D163" s="213" t="s">
        <v>2452</v>
      </c>
      <c r="E163" s="71" t="s">
        <v>2453</v>
      </c>
      <c r="F163" s="8" t="s">
        <v>2427</v>
      </c>
      <c r="J163" s="10"/>
    </row>
    <row r="164" spans="1:10">
      <c r="A164" s="76"/>
      <c r="B164" s="76" t="str">
        <f t="shared" si="4"/>
        <v>Imp. elettrico</v>
      </c>
      <c r="C164" s="5" t="s">
        <v>2420</v>
      </c>
      <c r="D164" s="244" t="s">
        <v>2442</v>
      </c>
      <c r="E164" s="244" t="s">
        <v>2443</v>
      </c>
      <c r="F164" s="245" t="s">
        <v>1417</v>
      </c>
      <c r="J164" s="10"/>
    </row>
    <row r="165" spans="1:10">
      <c r="A165" s="76"/>
      <c r="B165" s="76" t="str">
        <f t="shared" si="4"/>
        <v>Sonde geot.</v>
      </c>
      <c r="C165" s="5" t="s">
        <v>2435</v>
      </c>
      <c r="D165" s="244" t="s">
        <v>2433</v>
      </c>
      <c r="E165" s="244" t="s">
        <v>2434</v>
      </c>
      <c r="F165" s="245" t="s">
        <v>2436</v>
      </c>
      <c r="J165" s="10"/>
    </row>
    <row r="166" spans="1:10">
      <c r="A166" s="76"/>
      <c r="B166" s="76" t="str">
        <f t="shared" si="4"/>
        <v>Coll. Solare</v>
      </c>
      <c r="C166" s="5" t="s">
        <v>2421</v>
      </c>
      <c r="D166" s="244" t="s">
        <v>2437</v>
      </c>
      <c r="E166" s="244" t="s">
        <v>2438</v>
      </c>
      <c r="F166" s="245" t="s">
        <v>2439</v>
      </c>
      <c r="J166" s="10"/>
    </row>
    <row r="167" spans="1:10">
      <c r="A167" s="76"/>
      <c r="B167" s="76" t="str">
        <f t="shared" si="4"/>
        <v>Imp. Sanitari</v>
      </c>
      <c r="C167" s="5" t="s">
        <v>2422</v>
      </c>
      <c r="D167" s="244" t="s">
        <v>2440</v>
      </c>
      <c r="E167" s="244" t="s">
        <v>2441</v>
      </c>
      <c r="F167" s="245" t="s">
        <v>1436</v>
      </c>
      <c r="J167" s="10"/>
    </row>
    <row r="168" spans="1:10">
      <c r="A168" s="76"/>
      <c r="B168" s="76" t="str">
        <f t="shared" si="4"/>
        <v>Imp. Fotovoltaico</v>
      </c>
      <c r="C168" s="5" t="s">
        <v>2423</v>
      </c>
      <c r="D168" s="244" t="s">
        <v>2449</v>
      </c>
      <c r="E168" s="244" t="s">
        <v>2450</v>
      </c>
      <c r="F168" s="245" t="s">
        <v>2451</v>
      </c>
      <c r="J168" s="10"/>
    </row>
    <row r="169" spans="1:10">
      <c r="A169" s="76"/>
      <c r="B169" s="76" t="str">
        <f t="shared" si="4"/>
        <v>Emiss. Calore</v>
      </c>
      <c r="C169" s="5" t="s">
        <v>372</v>
      </c>
      <c r="D169" s="244" t="s">
        <v>2456</v>
      </c>
      <c r="E169" s="244" t="s">
        <v>2444</v>
      </c>
      <c r="F169" s="245" t="s">
        <v>2445</v>
      </c>
      <c r="J169" s="10"/>
    </row>
    <row r="170" spans="1:10">
      <c r="A170" s="76"/>
      <c r="B170" s="76" t="str">
        <f t="shared" si="4"/>
        <v>Gen. Termico</v>
      </c>
      <c r="C170" s="5" t="s">
        <v>261</v>
      </c>
      <c r="D170" s="244" t="s">
        <v>2454</v>
      </c>
      <c r="E170" s="244" t="s">
        <v>2446</v>
      </c>
      <c r="F170" s="245" t="s">
        <v>1432</v>
      </c>
      <c r="J170" s="10"/>
    </row>
    <row r="171" spans="1:10">
      <c r="A171" s="76"/>
      <c r="B171" s="76" t="str">
        <f t="shared" si="4"/>
        <v>Distr. Calore</v>
      </c>
      <c r="C171" s="5" t="s">
        <v>371</v>
      </c>
      <c r="D171" s="244" t="s">
        <v>2455</v>
      </c>
      <c r="E171" s="244" t="s">
        <v>2447</v>
      </c>
      <c r="F171" s="245" t="s">
        <v>2448</v>
      </c>
      <c r="J171" s="10"/>
    </row>
    <row r="172" spans="1:10">
      <c r="A172" s="76"/>
      <c r="B172" s="76"/>
      <c r="C172" s="188"/>
      <c r="D172" s="213"/>
      <c r="E172" s="71"/>
      <c r="J172" s="10"/>
    </row>
    <row r="173" spans="1:10">
      <c r="A173" s="76" t="s">
        <v>2429</v>
      </c>
      <c r="B173" s="76" t="str">
        <f>INDEX($C173:$F173,1,MATCH(Sprachwahl,ListSprache,0))</f>
        <v>I componenti sono completamente registrati.</v>
      </c>
      <c r="C173" s="188" t="s">
        <v>2431</v>
      </c>
      <c r="D173" s="71" t="s">
        <v>2461</v>
      </c>
      <c r="E173" s="71" t="s">
        <v>2457</v>
      </c>
      <c r="F173" s="8" t="s">
        <v>2464</v>
      </c>
      <c r="J173" s="10"/>
    </row>
    <row r="174" spans="1:10">
      <c r="A174" s="76"/>
      <c r="B174" s="76" t="str">
        <f t="shared" si="4"/>
        <v xml:space="preserve">Mancano i gruppi di elementi </v>
      </c>
      <c r="C174" s="188" t="s">
        <v>2432</v>
      </c>
      <c r="D174" s="71" t="s">
        <v>2463</v>
      </c>
      <c r="E174" s="71" t="s">
        <v>2458</v>
      </c>
      <c r="F174" s="8" t="s">
        <v>2465</v>
      </c>
      <c r="J174" s="10"/>
    </row>
    <row r="175" spans="1:10">
      <c r="A175" s="76"/>
      <c r="B175" s="76" t="str">
        <f t="shared" si="4"/>
        <v>La tecnica è completamente registrata.</v>
      </c>
      <c r="C175" s="188" t="s">
        <v>2428</v>
      </c>
      <c r="D175" s="71" t="s">
        <v>2462</v>
      </c>
      <c r="E175" s="71" t="s">
        <v>2459</v>
      </c>
      <c r="F175" s="8" t="s">
        <v>2466</v>
      </c>
      <c r="J175" s="10"/>
    </row>
    <row r="176" spans="1:10">
      <c r="A176" s="76"/>
      <c r="B176" s="76" t="str">
        <f t="shared" si="4"/>
        <v>Mancano gli elementi tecnici</v>
      </c>
      <c r="C176" s="188" t="s">
        <v>2430</v>
      </c>
      <c r="D176" s="71" t="s">
        <v>2469</v>
      </c>
      <c r="E176" s="71" t="s">
        <v>2460</v>
      </c>
      <c r="F176" s="8" t="s">
        <v>2467</v>
      </c>
      <c r="J176" s="10"/>
    </row>
    <row r="177" spans="1:10">
      <c r="A177" s="76"/>
      <c r="B177" s="76"/>
      <c r="D177" s="213"/>
      <c r="E177" s="71"/>
      <c r="J177" s="10"/>
    </row>
    <row r="178" spans="1:10">
      <c r="A178" s="76"/>
      <c r="B178" s="76">
        <f t="shared" si="4"/>
        <v>0</v>
      </c>
      <c r="C178" s="188"/>
      <c r="D178" s="213"/>
      <c r="E178" s="71"/>
      <c r="J178" s="10"/>
    </row>
    <row r="179" spans="1:10">
      <c r="A179" s="76"/>
      <c r="B179" s="76">
        <f t="shared" si="4"/>
        <v>0</v>
      </c>
      <c r="C179" s="188"/>
      <c r="D179" s="213"/>
      <c r="E179" s="71"/>
      <c r="J179" s="10"/>
    </row>
    <row r="180" spans="1:10">
      <c r="A180" s="76"/>
      <c r="B180" s="76">
        <f t="shared" si="4"/>
        <v>0</v>
      </c>
      <c r="C180" s="188"/>
      <c r="D180" s="213"/>
      <c r="E180" s="71"/>
      <c r="J180" s="10"/>
    </row>
    <row r="181" spans="1:10">
      <c r="A181" s="76"/>
      <c r="B181" s="76">
        <f t="shared" si="4"/>
        <v>0</v>
      </c>
      <c r="C181" s="188"/>
      <c r="D181" s="213"/>
      <c r="E181" s="71"/>
      <c r="J181" s="10"/>
    </row>
    <row r="182" spans="1:10">
      <c r="A182" s="76"/>
      <c r="B182" s="76"/>
      <c r="D182" s="77"/>
      <c r="E182" s="71"/>
      <c r="J182" s="10"/>
    </row>
    <row r="183" spans="1:10">
      <c r="A183" s="11" t="s">
        <v>2386</v>
      </c>
      <c r="B183" s="11"/>
      <c r="C183" s="182"/>
      <c r="D183" s="235"/>
      <c r="E183" s="11"/>
      <c r="F183" s="11"/>
      <c r="G183" s="11"/>
      <c r="J183" s="10"/>
    </row>
    <row r="184" spans="1:10">
      <c r="A184" s="11" t="s">
        <v>39</v>
      </c>
      <c r="B184" s="11" t="s">
        <v>40</v>
      </c>
      <c r="C184" s="182" t="str">
        <f>C$4</f>
        <v>Deutsch</v>
      </c>
      <c r="D184" s="235" t="str">
        <f>D$4</f>
        <v>Francais</v>
      </c>
      <c r="E184" s="11" t="str">
        <f>E$4</f>
        <v>Italiano</v>
      </c>
      <c r="F184" s="11" t="str">
        <f>F$4</f>
        <v>English</v>
      </c>
      <c r="G184" s="11" t="s">
        <v>2387</v>
      </c>
      <c r="J184" s="10"/>
    </row>
    <row r="185" spans="1:10">
      <c r="A185" s="76" t="s">
        <v>233</v>
      </c>
      <c r="B185" s="76" t="str">
        <f t="shared" ref="B185:B216" si="5">INDEX($C185:$F185,1,MATCH(Sprachwahl,ListSprache,0))</f>
        <v>Deposito in discarica del materiale di scavo (BTK)</v>
      </c>
      <c r="C185" s="243" t="s">
        <v>685</v>
      </c>
      <c r="D185" s="244" t="s">
        <v>1190</v>
      </c>
      <c r="E185" s="244" t="s">
        <v>957</v>
      </c>
      <c r="F185" s="245" t="s">
        <v>1442</v>
      </c>
      <c r="G185" s="245" t="s">
        <v>2120</v>
      </c>
      <c r="J185" s="10"/>
    </row>
    <row r="186" spans="1:10">
      <c r="A186" s="76"/>
      <c r="B186" s="76" t="str">
        <f t="shared" si="5"/>
        <v>Deposito a lato del materiale di scavo (BTK)</v>
      </c>
      <c r="C186" s="243" t="s">
        <v>684</v>
      </c>
      <c r="D186" s="244" t="s">
        <v>1191</v>
      </c>
      <c r="E186" s="244" t="s">
        <v>958</v>
      </c>
      <c r="F186" s="245" t="s">
        <v>1443</v>
      </c>
      <c r="G186" s="245" t="s">
        <v>2121</v>
      </c>
      <c r="J186" s="10"/>
    </row>
    <row r="187" spans="1:10">
      <c r="A187" s="76"/>
      <c r="B187" s="76" t="str">
        <f t="shared" si="5"/>
        <v>Platea di fondazione 25 cm in CLS</v>
      </c>
      <c r="C187" s="243" t="s">
        <v>837</v>
      </c>
      <c r="D187" s="244" t="s">
        <v>1192</v>
      </c>
      <c r="E187" s="244" t="s">
        <v>959</v>
      </c>
      <c r="F187" s="245" t="s">
        <v>1444</v>
      </c>
      <c r="G187" s="245" t="s">
        <v>2127</v>
      </c>
      <c r="J187" s="10"/>
    </row>
    <row r="188" spans="1:10">
      <c r="A188" s="76"/>
      <c r="B188" s="76" t="str">
        <f t="shared" si="5"/>
        <v>Platea di fondazione 25 cm in CLS con isolamento termico interno XPS e massetto (BTK)</v>
      </c>
      <c r="C188" s="243" t="s">
        <v>648</v>
      </c>
      <c r="D188" s="244" t="s">
        <v>1193</v>
      </c>
      <c r="E188" s="244" t="s">
        <v>960</v>
      </c>
      <c r="F188" s="245" t="s">
        <v>1445</v>
      </c>
      <c r="G188" s="245" t="s">
        <v>2128</v>
      </c>
      <c r="J188" s="10"/>
    </row>
    <row r="189" spans="1:10">
      <c r="A189" s="76"/>
      <c r="B189" s="76" t="str">
        <f t="shared" si="5"/>
        <v>Isolamento termico, platea di fondazione 25 cm CLS, rivestimento in cemento (BTK)</v>
      </c>
      <c r="C189" s="243" t="s">
        <v>649</v>
      </c>
      <c r="D189" s="244" t="s">
        <v>1194</v>
      </c>
      <c r="E189" s="244" t="s">
        <v>961</v>
      </c>
      <c r="F189" s="245" t="s">
        <v>1446</v>
      </c>
      <c r="G189" s="245" t="s">
        <v>2129</v>
      </c>
      <c r="J189" s="10"/>
    </row>
    <row r="190" spans="1:10">
      <c r="A190" s="76"/>
      <c r="B190" s="76" t="str">
        <f t="shared" si="5"/>
        <v>Parete in CLS 25 cm, non isolata, elementi drenanti (BTK)</v>
      </c>
      <c r="C190" s="243" t="s">
        <v>689</v>
      </c>
      <c r="D190" s="244" t="s">
        <v>1195</v>
      </c>
      <c r="E190" s="244" t="s">
        <v>962</v>
      </c>
      <c r="F190" s="245" t="s">
        <v>1447</v>
      </c>
      <c r="G190" s="245" t="s">
        <v>2132</v>
      </c>
      <c r="J190" s="10"/>
    </row>
    <row r="191" spans="1:10">
      <c r="A191" s="76"/>
      <c r="B191" s="76" t="str">
        <f t="shared" si="5"/>
        <v>Parete in CLS 25 cm, isolamento esterno, elementi drenanti (BTK)</v>
      </c>
      <c r="C191" s="243" t="s">
        <v>664</v>
      </c>
      <c r="D191" s="244" t="s">
        <v>1196</v>
      </c>
      <c r="E191" s="244" t="s">
        <v>963</v>
      </c>
      <c r="F191" s="245" t="s">
        <v>1448</v>
      </c>
      <c r="G191" s="245" t="s">
        <v>2133</v>
      </c>
      <c r="J191" s="10"/>
    </row>
    <row r="192" spans="1:10">
      <c r="A192" s="76"/>
      <c r="B192" s="76" t="str">
        <f t="shared" si="5"/>
        <v>Parete in CLS 25 cm, isolamento interno rivestito, elementi drenanti (BTK)</v>
      </c>
      <c r="C192" s="243" t="s">
        <v>665</v>
      </c>
      <c r="D192" s="244" t="s">
        <v>1197</v>
      </c>
      <c r="E192" s="244" t="s">
        <v>964</v>
      </c>
      <c r="F192" s="245" t="s">
        <v>1449</v>
      </c>
      <c r="G192" s="245" t="s">
        <v>2134</v>
      </c>
      <c r="J192" s="10"/>
    </row>
    <row r="193" spans="1:10">
      <c r="A193" s="76"/>
      <c r="B193" s="76" t="str">
        <f t="shared" si="5"/>
        <v>Parete esterna massiccia in legno, rivestimento interno a uno strato (Lignum)</v>
      </c>
      <c r="C193" s="243" t="s">
        <v>527</v>
      </c>
      <c r="D193" s="244" t="s">
        <v>1198</v>
      </c>
      <c r="E193" s="244" t="s">
        <v>965</v>
      </c>
      <c r="F193" s="245" t="s">
        <v>1450</v>
      </c>
      <c r="G193" s="245" t="s">
        <v>2135</v>
      </c>
      <c r="J193" s="10"/>
    </row>
    <row r="194" spans="1:10">
      <c r="A194" s="76"/>
      <c r="B194" s="76" t="str">
        <f t="shared" si="5"/>
        <v>Parete esterna intelaiata in legno, rivestimento interno a uno strato (Lignum)</v>
      </c>
      <c r="C194" s="243" t="s">
        <v>526</v>
      </c>
      <c r="D194" s="244" t="s">
        <v>1199</v>
      </c>
      <c r="E194" s="244" t="s">
        <v>966</v>
      </c>
      <c r="F194" s="245" t="s">
        <v>1451</v>
      </c>
      <c r="G194" s="245" t="s">
        <v>2136</v>
      </c>
      <c r="J194" s="10"/>
    </row>
    <row r="195" spans="1:10">
      <c r="A195" s="76"/>
      <c r="B195" s="76" t="str">
        <f t="shared" si="5"/>
        <v>Muratura in cotto, isolamento termico esterno ventilato (BTK)</v>
      </c>
      <c r="C195" s="243" t="s">
        <v>670</v>
      </c>
      <c r="D195" s="244" t="s">
        <v>1200</v>
      </c>
      <c r="E195" s="244" t="s">
        <v>967</v>
      </c>
      <c r="F195" s="245" t="s">
        <v>1452</v>
      </c>
      <c r="G195" s="245" t="s">
        <v>2152</v>
      </c>
      <c r="J195" s="10"/>
    </row>
    <row r="196" spans="1:10">
      <c r="A196" s="76"/>
      <c r="B196" s="76" t="str">
        <f t="shared" si="5"/>
        <v>Parete 20 cm  CLS, isolamento esterno EPS intonacato (BTK)</v>
      </c>
      <c r="C196" s="243" t="s">
        <v>669</v>
      </c>
      <c r="D196" s="244" t="s">
        <v>1201</v>
      </c>
      <c r="E196" s="244" t="s">
        <v>968</v>
      </c>
      <c r="F196" s="245" t="s">
        <v>1453</v>
      </c>
      <c r="G196" s="245" t="s">
        <v>2153</v>
      </c>
      <c r="J196" s="10"/>
    </row>
    <row r="197" spans="1:10">
      <c r="A197" s="76"/>
      <c r="B197" s="76" t="str">
        <f t="shared" si="5"/>
        <v>Parete in cotto monostrato,  isolamento esterno EPS intonacato (BTK)</v>
      </c>
      <c r="C197" s="243" t="s">
        <v>668</v>
      </c>
      <c r="D197" s="244" t="s">
        <v>1202</v>
      </c>
      <c r="E197" s="244" t="s">
        <v>969</v>
      </c>
      <c r="F197" s="245" t="s">
        <v>1454</v>
      </c>
      <c r="G197" s="245" t="s">
        <v>2154</v>
      </c>
      <c r="J197" s="10"/>
    </row>
    <row r="198" spans="1:10">
      <c r="A198" s="76"/>
      <c r="B198" s="76" t="str">
        <f t="shared" si="5"/>
        <v>Parete in legno isolata (BTK)</v>
      </c>
      <c r="C198" s="243" t="s">
        <v>672</v>
      </c>
      <c r="D198" s="244" t="s">
        <v>1203</v>
      </c>
      <c r="E198" s="244" t="s">
        <v>970</v>
      </c>
      <c r="F198" s="245" t="s">
        <v>1455</v>
      </c>
      <c r="G198" s="245" t="s">
        <v>2155</v>
      </c>
      <c r="J198" s="10"/>
    </row>
    <row r="199" spans="1:10">
      <c r="A199" s="76"/>
      <c r="B199" s="76" t="str">
        <f t="shared" si="5"/>
        <v>Pannello sandwich in lamiera d'acciaio (BTK)</v>
      </c>
      <c r="C199" s="243" t="s">
        <v>667</v>
      </c>
      <c r="D199" s="244" t="s">
        <v>1204</v>
      </c>
      <c r="E199" s="244" t="s">
        <v>971</v>
      </c>
      <c r="F199" s="245" t="s">
        <v>1456</v>
      </c>
      <c r="G199" s="245" t="s">
        <v>2156</v>
      </c>
      <c r="J199" s="10"/>
    </row>
    <row r="200" spans="1:10">
      <c r="A200" s="76"/>
      <c r="B200" s="76" t="str">
        <f t="shared" si="5"/>
        <v>Cassette in lamiera con isol. aggiuntivo, rivest. in lamiera d'acciaio (BTK)</v>
      </c>
      <c r="C200" s="243" t="s">
        <v>666</v>
      </c>
      <c r="D200" s="244" t="s">
        <v>1205</v>
      </c>
      <c r="E200" s="244" t="s">
        <v>1972</v>
      </c>
      <c r="F200" s="245" t="s">
        <v>1457</v>
      </c>
      <c r="G200" s="245" t="s">
        <v>2157</v>
      </c>
      <c r="J200" s="10"/>
    </row>
    <row r="201" spans="1:10">
      <c r="A201" s="76"/>
      <c r="B201" s="76" t="str">
        <f t="shared" si="5"/>
        <v>Muratura doppia in cotto con isolamento termico interposto (BTK)</v>
      </c>
      <c r="C201" s="243" t="s">
        <v>671</v>
      </c>
      <c r="D201" s="244" t="s">
        <v>1206</v>
      </c>
      <c r="E201" s="244" t="s">
        <v>972</v>
      </c>
      <c r="F201" s="245" t="s">
        <v>1458</v>
      </c>
      <c r="G201" s="245" t="s">
        <v>2158</v>
      </c>
      <c r="J201" s="10"/>
    </row>
    <row r="202" spans="1:10">
      <c r="A202" s="76"/>
      <c r="B202" s="76" t="str">
        <f t="shared" si="5"/>
        <v>Parete interna in cotto intonacata (BKT)</v>
      </c>
      <c r="C202" s="243" t="s">
        <v>678</v>
      </c>
      <c r="D202" s="244" t="s">
        <v>1207</v>
      </c>
      <c r="E202" s="244" t="s">
        <v>973</v>
      </c>
      <c r="F202" s="245" t="s">
        <v>1459</v>
      </c>
      <c r="G202" s="245" t="s">
        <v>2159</v>
      </c>
      <c r="J202" s="10"/>
    </row>
    <row r="203" spans="1:10">
      <c r="A203" s="76"/>
      <c r="B203" s="76" t="str">
        <f t="shared" si="5"/>
        <v>Parete in CLS 20 cm (BTK)</v>
      </c>
      <c r="C203" s="243" t="s">
        <v>680</v>
      </c>
      <c r="D203" s="244" t="s">
        <v>1208</v>
      </c>
      <c r="E203" s="244" t="s">
        <v>974</v>
      </c>
      <c r="F203" s="245" t="s">
        <v>1460</v>
      </c>
      <c r="G203" s="245" t="s">
        <v>2160</v>
      </c>
      <c r="J203" s="10"/>
    </row>
    <row r="204" spans="1:10">
      <c r="A204" s="76"/>
      <c r="B204" s="76" t="str">
        <f t="shared" si="5"/>
        <v>Parete leggera in carongesso, rivestita sui due lati (BTK)</v>
      </c>
      <c r="C204" s="243" t="s">
        <v>681</v>
      </c>
      <c r="D204" s="244" t="s">
        <v>1209</v>
      </c>
      <c r="E204" s="244" t="s">
        <v>975</v>
      </c>
      <c r="F204" s="245" t="s">
        <v>1461</v>
      </c>
      <c r="G204" s="245" t="s">
        <v>2161</v>
      </c>
      <c r="J204" s="10"/>
    </row>
    <row r="205" spans="1:10">
      <c r="A205" s="76"/>
      <c r="B205" s="76" t="str">
        <f t="shared" si="5"/>
        <v>Parete divisoria monostrato, intelaiatura, cartongesso a uno strato (Lignum)</v>
      </c>
      <c r="C205" s="243" t="s">
        <v>524</v>
      </c>
      <c r="D205" s="244" t="s">
        <v>1210</v>
      </c>
      <c r="E205" s="244" t="s">
        <v>976</v>
      </c>
      <c r="F205" s="245" t="s">
        <v>1462</v>
      </c>
      <c r="G205" s="245" t="s">
        <v>2164</v>
      </c>
      <c r="J205" s="10"/>
    </row>
    <row r="206" spans="1:10">
      <c r="A206" s="76"/>
      <c r="B206" s="76" t="str">
        <f t="shared" si="5"/>
        <v>Parete divisoria bistrato, intelaiatura, cartongesso a uno strato (Lignum)</v>
      </c>
      <c r="C206" s="243" t="s">
        <v>523</v>
      </c>
      <c r="D206" s="244" t="s">
        <v>1211</v>
      </c>
      <c r="E206" s="244" t="s">
        <v>977</v>
      </c>
      <c r="F206" s="245" t="s">
        <v>1463</v>
      </c>
      <c r="G206" s="245" t="s">
        <v>2165</v>
      </c>
      <c r="J206" s="10"/>
    </row>
    <row r="207" spans="1:10">
      <c r="A207" s="76"/>
      <c r="B207" s="76" t="str">
        <f t="shared" si="5"/>
        <v>Parete divisoria in legno (BTK)</v>
      </c>
      <c r="C207" s="243" t="s">
        <v>683</v>
      </c>
      <c r="D207" s="244" t="s">
        <v>1212</v>
      </c>
      <c r="E207" s="244" t="s">
        <v>978</v>
      </c>
      <c r="F207" s="245" t="s">
        <v>1464</v>
      </c>
      <c r="G207" s="245" t="s">
        <v>2166</v>
      </c>
      <c r="J207" s="10"/>
    </row>
    <row r="208" spans="1:10">
      <c r="A208" s="76"/>
      <c r="B208" s="76" t="str">
        <f t="shared" si="5"/>
        <v>Parete divisoria massiccia in legno, con rivestimento in cartongesso doppio strato</v>
      </c>
      <c r="C208" s="243" t="s">
        <v>525</v>
      </c>
      <c r="D208" s="244" t="s">
        <v>1213</v>
      </c>
      <c r="E208" s="244" t="s">
        <v>979</v>
      </c>
      <c r="F208" s="245" t="s">
        <v>1465</v>
      </c>
      <c r="G208" s="245" t="s">
        <v>2167</v>
      </c>
      <c r="J208" s="10"/>
    </row>
    <row r="209" spans="1:10">
      <c r="A209" s="76"/>
      <c r="B209" s="76" t="str">
        <f t="shared" si="5"/>
        <v>Parete divisoria massiccia in gesso (BTK)</v>
      </c>
      <c r="C209" s="243" t="s">
        <v>682</v>
      </c>
      <c r="D209" s="244" t="s">
        <v>1214</v>
      </c>
      <c r="E209" s="244" t="s">
        <v>980</v>
      </c>
      <c r="F209" s="245" t="s">
        <v>1466</v>
      </c>
      <c r="G209" s="245" t="s">
        <v>2168</v>
      </c>
      <c r="J209" s="10"/>
    </row>
    <row r="210" spans="1:10">
      <c r="A210" s="76"/>
      <c r="B210" s="76" t="str">
        <f t="shared" si="5"/>
        <v>Doppia parete in mattoni di cotto, intonacata (BTK)</v>
      </c>
      <c r="C210" s="243" t="s">
        <v>679</v>
      </c>
      <c r="D210" s="244" t="s">
        <v>1215</v>
      </c>
      <c r="E210" s="244" t="s">
        <v>981</v>
      </c>
      <c r="F210" s="245" t="s">
        <v>1467</v>
      </c>
      <c r="G210" s="245" t="s">
        <v>2169</v>
      </c>
      <c r="J210" s="10"/>
    </row>
    <row r="211" spans="1:10">
      <c r="A211" s="76"/>
      <c r="B211" s="76" t="str">
        <f t="shared" si="5"/>
        <v>Solaio con travetti, massetto con controsoffitto sospeso (Lignum)</v>
      </c>
      <c r="C211" s="243" t="s">
        <v>514</v>
      </c>
      <c r="D211" s="244" t="s">
        <v>1216</v>
      </c>
      <c r="E211" s="244" t="s">
        <v>982</v>
      </c>
      <c r="F211" s="245" t="s">
        <v>1468</v>
      </c>
      <c r="G211" s="245" t="s">
        <v>2170</v>
      </c>
      <c r="J211" s="10"/>
    </row>
    <row r="212" spans="1:10">
      <c r="A212" s="76"/>
      <c r="B212" s="76" t="str">
        <f t="shared" si="5"/>
        <v>Solaio con travetti in vista, soffitto semplice, massetto normale (Lignum)</v>
      </c>
      <c r="C212" s="243" t="s">
        <v>513</v>
      </c>
      <c r="D212" s="244" t="s">
        <v>1217</v>
      </c>
      <c r="E212" s="244" t="s">
        <v>983</v>
      </c>
      <c r="F212" s="245" t="s">
        <v>1469</v>
      </c>
      <c r="G212" s="245" t="s">
        <v>2171</v>
      </c>
      <c r="J212" s="10"/>
    </row>
    <row r="213" spans="1:10">
      <c r="A213" s="76"/>
      <c r="B213" s="76" t="str">
        <f t="shared" si="5"/>
        <v>Solaio con travetti in vista, soffitto semplice, massetto a secco (Lignum)</v>
      </c>
      <c r="C213" s="243" t="s">
        <v>516</v>
      </c>
      <c r="D213" s="244" t="s">
        <v>1218</v>
      </c>
      <c r="E213" s="244" t="s">
        <v>984</v>
      </c>
      <c r="F213" s="245" t="s">
        <v>1470</v>
      </c>
      <c r="G213" s="245" t="s">
        <v>2172</v>
      </c>
      <c r="J213" s="10"/>
    </row>
    <row r="214" spans="1:10">
      <c r="A214" s="76"/>
      <c r="B214" s="76" t="str">
        <f t="shared" si="5"/>
        <v>Solaio con travetti, sottofondo a secco e con soffitto ribassato (Lignum)</v>
      </c>
      <c r="C214" s="243" t="s">
        <v>515</v>
      </c>
      <c r="D214" s="244" t="s">
        <v>1219</v>
      </c>
      <c r="E214" s="244" t="s">
        <v>985</v>
      </c>
      <c r="F214" s="245" t="s">
        <v>1471</v>
      </c>
      <c r="G214" s="245" t="s">
        <v>2173</v>
      </c>
      <c r="J214" s="10"/>
    </row>
    <row r="215" spans="1:10">
      <c r="A215" s="76"/>
      <c r="B215" s="76" t="str">
        <f t="shared" si="5"/>
        <v>Soletta in CLS 22 cm con isolamento termico interno EPS, strato anticalpestio, massetto (BTK)</v>
      </c>
      <c r="C215" s="243" t="s">
        <v>652</v>
      </c>
      <c r="D215" s="244" t="s">
        <v>1220</v>
      </c>
      <c r="E215" s="244" t="s">
        <v>986</v>
      </c>
      <c r="F215" s="245" t="s">
        <v>1472</v>
      </c>
      <c r="G215" s="245" t="s">
        <v>2174</v>
      </c>
      <c r="J215" s="10"/>
    </row>
    <row r="216" spans="1:10">
      <c r="A216" s="76"/>
      <c r="B216" s="76" t="str">
        <f t="shared" si="5"/>
        <v>Soletta in CLS 22 cm con isolamento termico interno PUR, massetto (BTK)</v>
      </c>
      <c r="C216" s="243" t="s">
        <v>651</v>
      </c>
      <c r="D216" s="244" t="s">
        <v>1221</v>
      </c>
      <c r="E216" s="244" t="s">
        <v>987</v>
      </c>
      <c r="F216" s="245" t="s">
        <v>1473</v>
      </c>
      <c r="G216" s="245" t="s">
        <v>2175</v>
      </c>
      <c r="J216" s="10"/>
    </row>
    <row r="217" spans="1:10">
      <c r="A217" s="76"/>
      <c r="B217" s="76" t="str">
        <f t="shared" ref="B217:B248" si="6">INDEX($C217:$F217,1,MATCH(Sprachwahl,ListSprache,0))</f>
        <v>Soletta in CLS 22 cm con strato anticalpestio e massetto</v>
      </c>
      <c r="C217" s="243" t="s">
        <v>653</v>
      </c>
      <c r="D217" s="244" t="s">
        <v>1222</v>
      </c>
      <c r="E217" s="244" t="s">
        <v>988</v>
      </c>
      <c r="F217" s="245" t="s">
        <v>1474</v>
      </c>
      <c r="G217" s="245" t="s">
        <v>2176</v>
      </c>
      <c r="J217" s="10"/>
    </row>
    <row r="218" spans="1:10">
      <c r="A218" s="76"/>
      <c r="B218" s="76" t="str">
        <f t="shared" si="6"/>
        <v>Soletta in CLS 22 cm con isolamento termico esterno intonacato (BTK)</v>
      </c>
      <c r="C218" s="243" t="s">
        <v>650</v>
      </c>
      <c r="D218" s="244" t="s">
        <v>1223</v>
      </c>
      <c r="E218" s="244" t="s">
        <v>989</v>
      </c>
      <c r="F218" s="245" t="s">
        <v>1475</v>
      </c>
      <c r="G218" s="245" t="s">
        <v>2177</v>
      </c>
      <c r="J218" s="10"/>
    </row>
    <row r="219" spans="1:10">
      <c r="A219" s="76"/>
      <c r="B219" s="76" t="str">
        <f t="shared" si="6"/>
        <v>Soletta massiccia con tavole in legno 16 cm, strato anticalpestio, massetto (BTK)</v>
      </c>
      <c r="C219" s="243" t="s">
        <v>655</v>
      </c>
      <c r="D219" s="244" t="s">
        <v>1224</v>
      </c>
      <c r="E219" s="244" t="s">
        <v>990</v>
      </c>
      <c r="F219" s="245" t="s">
        <v>1476</v>
      </c>
      <c r="G219" s="245" t="s">
        <v>2179</v>
      </c>
      <c r="J219" s="10"/>
    </row>
    <row r="220" spans="1:10">
      <c r="A220" s="76"/>
      <c r="B220" s="76" t="str">
        <f t="shared" si="6"/>
        <v>Solaio a cassettoni in legno, massetto, soffitto ribassato (Lignum)</v>
      </c>
      <c r="C220" s="243" t="s">
        <v>518</v>
      </c>
      <c r="D220" s="244" t="s">
        <v>1225</v>
      </c>
      <c r="E220" s="244" t="s">
        <v>991</v>
      </c>
      <c r="F220" s="245" t="s">
        <v>1477</v>
      </c>
      <c r="G220" s="245" t="s">
        <v>2180</v>
      </c>
      <c r="J220" s="10"/>
    </row>
    <row r="221" spans="1:10">
      <c r="A221" s="76"/>
      <c r="B221" s="76" t="str">
        <f t="shared" si="6"/>
        <v>Solaio a cassettoni in legno, massetto, senza soffitto ribassato (Lignum)</v>
      </c>
      <c r="C221" s="243" t="s">
        <v>517</v>
      </c>
      <c r="D221" s="244" t="s">
        <v>1226</v>
      </c>
      <c r="E221" s="244" t="s">
        <v>992</v>
      </c>
      <c r="F221" s="245" t="s">
        <v>1478</v>
      </c>
      <c r="G221" s="245" t="s">
        <v>2181</v>
      </c>
      <c r="J221" s="10"/>
    </row>
    <row r="222" spans="1:10">
      <c r="A222" s="76"/>
      <c r="B222" s="76" t="str">
        <f t="shared" si="6"/>
        <v>Solaio con travetti con isolamento supplementare 8 cm lana di roccia, rivestimento esterno, pannello truciolare interno (BTK)</v>
      </c>
      <c r="C222" s="243" t="s">
        <v>656</v>
      </c>
      <c r="D222" s="244" t="s">
        <v>1227</v>
      </c>
      <c r="E222" s="244" t="s">
        <v>993</v>
      </c>
      <c r="F222" s="245" t="s">
        <v>1479</v>
      </c>
      <c r="G222" s="245" t="s">
        <v>2182</v>
      </c>
      <c r="J222" s="10"/>
    </row>
    <row r="223" spans="1:10">
      <c r="A223" s="76"/>
      <c r="B223" s="76" t="str">
        <f t="shared" si="6"/>
        <v>Solaio misto legno-calcestruzzo, massetto, senza soffitto ribassato. Soffitto (Lignum)</v>
      </c>
      <c r="C223" s="243" t="s">
        <v>522</v>
      </c>
      <c r="D223" s="244" t="s">
        <v>1228</v>
      </c>
      <c r="E223" s="244" t="s">
        <v>994</v>
      </c>
      <c r="F223" s="245" t="s">
        <v>1480</v>
      </c>
      <c r="G223" s="245" t="s">
        <v>2184</v>
      </c>
      <c r="J223" s="10"/>
    </row>
    <row r="224" spans="1:10">
      <c r="A224" s="76"/>
      <c r="B224" s="76" t="str">
        <f t="shared" si="6"/>
        <v>Solaio a cassettoni isolato, strato anticalpestio, pannello truciolare (BTK)</v>
      </c>
      <c r="C224" s="243" t="s">
        <v>657</v>
      </c>
      <c r="D224" s="244" t="s">
        <v>1229</v>
      </c>
      <c r="E224" s="244" t="s">
        <v>995</v>
      </c>
      <c r="F224" s="245" t="s">
        <v>1481</v>
      </c>
      <c r="G224" s="245" t="s">
        <v>2186</v>
      </c>
      <c r="J224" s="10"/>
    </row>
    <row r="225" spans="1:10">
      <c r="A225" s="76"/>
      <c r="B225" s="76" t="str">
        <f t="shared" si="6"/>
        <v>Soletta massiccia in legno, massetto, con soffitto ribassato (Lignum)</v>
      </c>
      <c r="C225" s="243" t="s">
        <v>521</v>
      </c>
      <c r="D225" s="244" t="s">
        <v>1230</v>
      </c>
      <c r="E225" s="244" t="s">
        <v>996</v>
      </c>
      <c r="F225" s="245" t="s">
        <v>1482</v>
      </c>
      <c r="G225" s="245" t="s">
        <v>2187</v>
      </c>
      <c r="J225" s="10"/>
    </row>
    <row r="226" spans="1:10">
      <c r="A226" s="76"/>
      <c r="B226" s="76" t="str">
        <f t="shared" si="6"/>
        <v>Soletta massiccia in legno, massetto, senza soffitto ribassato (Lignum)</v>
      </c>
      <c r="C226" s="243" t="s">
        <v>519</v>
      </c>
      <c r="D226" s="244" t="s">
        <v>1231</v>
      </c>
      <c r="E226" s="244" t="s">
        <v>997</v>
      </c>
      <c r="F226" s="245" t="s">
        <v>1483</v>
      </c>
      <c r="G226" s="245" t="s">
        <v>2188</v>
      </c>
      <c r="J226" s="10"/>
    </row>
    <row r="227" spans="1:10">
      <c r="A227" s="76"/>
      <c r="B227" s="76" t="str">
        <f t="shared" si="6"/>
        <v>Soletta massiccia in legno, sottofondo a secco, con soffitto ribassato (Lignum)</v>
      </c>
      <c r="C227" s="243" t="s">
        <v>520</v>
      </c>
      <c r="D227" s="244" t="s">
        <v>1232</v>
      </c>
      <c r="E227" s="244" t="s">
        <v>998</v>
      </c>
      <c r="F227" s="245" t="s">
        <v>1484</v>
      </c>
      <c r="G227" s="245" t="s">
        <v>2189</v>
      </c>
      <c r="J227" s="10"/>
    </row>
    <row r="228" spans="1:10">
      <c r="A228" s="76"/>
      <c r="B228" s="76" t="str">
        <f t="shared" si="6"/>
        <v>Solaio il lamiera grecata con CLS 18 cm, strato anticalpestio, sottofondo (BTK)</v>
      </c>
      <c r="C228" s="243" t="s">
        <v>654</v>
      </c>
      <c r="D228" s="244" t="s">
        <v>1233</v>
      </c>
      <c r="E228" s="244" t="s">
        <v>999</v>
      </c>
      <c r="F228" s="245" t="s">
        <v>1485</v>
      </c>
      <c r="G228" s="245" t="s">
        <v>2190</v>
      </c>
      <c r="J228" s="10"/>
    </row>
    <row r="229" spans="1:10">
      <c r="A229" s="76"/>
      <c r="B229" s="76" t="str">
        <f t="shared" si="6"/>
        <v>Tetto in legno massiccio (Lignum)</v>
      </c>
      <c r="C229" s="243" t="s">
        <v>530</v>
      </c>
      <c r="D229" s="244" t="s">
        <v>1234</v>
      </c>
      <c r="E229" s="244" t="s">
        <v>1000</v>
      </c>
      <c r="F229" s="245" t="s">
        <v>1486</v>
      </c>
      <c r="G229" s="245" t="s">
        <v>2196</v>
      </c>
      <c r="J229" s="10"/>
    </row>
    <row r="230" spans="1:10">
      <c r="A230" s="76"/>
      <c r="B230" s="76" t="str">
        <f t="shared" si="6"/>
        <v>Tetto in legno, assito/travetti rivestimento con lastre derivate dal legno (Lignum)</v>
      </c>
      <c r="C230" s="243" t="s">
        <v>529</v>
      </c>
      <c r="D230" s="244" t="s">
        <v>1235</v>
      </c>
      <c r="E230" s="244" t="s">
        <v>1001</v>
      </c>
      <c r="F230" s="245" t="s">
        <v>1487</v>
      </c>
      <c r="G230" s="245" t="s">
        <v>2197</v>
      </c>
      <c r="J230" s="10"/>
    </row>
    <row r="231" spans="1:10">
      <c r="A231" s="76"/>
      <c r="B231" s="76" t="str">
        <f t="shared" si="6"/>
        <v>Tetto in legno, assito/travetti in vista (Lignum)</v>
      </c>
      <c r="C231" s="243" t="s">
        <v>528</v>
      </c>
      <c r="D231" s="244" t="s">
        <v>1236</v>
      </c>
      <c r="E231" s="244" t="s">
        <v>1002</v>
      </c>
      <c r="F231" s="245" t="s">
        <v>1488</v>
      </c>
      <c r="G231" s="245" t="s">
        <v>2198</v>
      </c>
      <c r="J231" s="10"/>
    </row>
    <row r="232" spans="1:10">
      <c r="A232" s="76"/>
      <c r="B232" s="76" t="str">
        <f t="shared" si="6"/>
        <v>Tetto piano, soletta in CLS 22 cm, isolamento EPS, guaina bituminosa, pavimentazione calpestabile (BTK)</v>
      </c>
      <c r="C232" s="243" t="s">
        <v>659</v>
      </c>
      <c r="D232" s="244" t="s">
        <v>1237</v>
      </c>
      <c r="E232" s="244" t="s">
        <v>1003</v>
      </c>
      <c r="F232" s="245" t="s">
        <v>1489</v>
      </c>
      <c r="G232" s="245" t="s">
        <v>2199</v>
      </c>
      <c r="J232" s="10"/>
    </row>
    <row r="233" spans="1:10">
      <c r="A233" s="76"/>
      <c r="B233" s="76" t="str">
        <f t="shared" si="6"/>
        <v>Tetto piano, soletta in CLS 22 cm, isolamento EPS, guaina bituminosa, ghiaia (BTK)</v>
      </c>
      <c r="C233" s="243" t="s">
        <v>658</v>
      </c>
      <c r="D233" s="244" t="s">
        <v>1238</v>
      </c>
      <c r="E233" s="244" t="s">
        <v>1004</v>
      </c>
      <c r="F233" s="245" t="s">
        <v>1490</v>
      </c>
      <c r="G233" s="245" t="s">
        <v>2200</v>
      </c>
      <c r="J233" s="10"/>
    </row>
    <row r="234" spans="1:10">
      <c r="A234" s="76"/>
      <c r="B234" s="76" t="str">
        <f t="shared" si="6"/>
        <v>Tetto piano, elementi in legno con isolamento, guaina bituminosa, ghiaia (BTK)</v>
      </c>
      <c r="C234" s="243" t="s">
        <v>662</v>
      </c>
      <c r="D234" s="244" t="s">
        <v>1239</v>
      </c>
      <c r="E234" s="244" t="s">
        <v>1005</v>
      </c>
      <c r="F234" s="245" t="s">
        <v>1491</v>
      </c>
      <c r="G234" s="245" t="s">
        <v>2201</v>
      </c>
      <c r="J234" s="10"/>
    </row>
    <row r="235" spans="1:10">
      <c r="A235" s="76"/>
      <c r="B235" s="76" t="str">
        <f t="shared" si="6"/>
        <v>Tetto piano, lamiera grecata, isolamento in EPS, calpestabile (BTK)</v>
      </c>
      <c r="C235" s="243" t="s">
        <v>660</v>
      </c>
      <c r="D235" s="244" t="s">
        <v>1240</v>
      </c>
      <c r="E235" s="244" t="s">
        <v>1006</v>
      </c>
      <c r="F235" s="245" t="s">
        <v>1492</v>
      </c>
      <c r="G235" s="245" t="s">
        <v>2202</v>
      </c>
      <c r="J235" s="10"/>
    </row>
    <row r="236" spans="1:10">
      <c r="A236" s="76"/>
      <c r="B236" s="76" t="str">
        <f t="shared" si="6"/>
        <v>Tetto a falde, elementi in legno, isolata (BTK)</v>
      </c>
      <c r="C236" s="243" t="s">
        <v>663</v>
      </c>
      <c r="D236" s="244" t="s">
        <v>1241</v>
      </c>
      <c r="E236" s="244" t="s">
        <v>1007</v>
      </c>
      <c r="F236" s="245" t="s">
        <v>1493</v>
      </c>
      <c r="G236" s="245" t="s">
        <v>2207</v>
      </c>
      <c r="J236" s="10"/>
    </row>
    <row r="237" spans="1:10">
      <c r="A237" s="76"/>
      <c r="B237" s="76" t="str">
        <f t="shared" si="6"/>
        <v>Tetto a falde, travetti in legno con isolamento interposto e isolamento aggiuntivo (BTK)</v>
      </c>
      <c r="C237" s="243" t="s">
        <v>661</v>
      </c>
      <c r="D237" s="244" t="s">
        <v>1242</v>
      </c>
      <c r="E237" s="244" t="s">
        <v>1008</v>
      </c>
      <c r="F237" s="245" t="s">
        <v>1494</v>
      </c>
      <c r="G237" s="245" t="s">
        <v>2208</v>
      </c>
      <c r="J237" s="10"/>
    </row>
    <row r="238" spans="1:10">
      <c r="A238" s="76"/>
      <c r="B238" s="76" t="str">
        <f t="shared" si="6"/>
        <v>Impianto di estrazione aria domestico, cucina e bagno</v>
      </c>
      <c r="C238" s="243" t="s">
        <v>838</v>
      </c>
      <c r="D238" s="244" t="s">
        <v>1243</v>
      </c>
      <c r="E238" s="244" t="s">
        <v>1009</v>
      </c>
      <c r="F238" s="245" t="s">
        <v>1495</v>
      </c>
      <c r="G238" s="245" t="s">
        <v>2210</v>
      </c>
      <c r="J238" s="10"/>
    </row>
    <row r="239" spans="1:10">
      <c r="A239" s="76"/>
      <c r="B239" s="76" t="str">
        <f t="shared" si="6"/>
        <v>Impianto elettrico ufficio</v>
      </c>
      <c r="C239" s="243" t="s">
        <v>839</v>
      </c>
      <c r="D239" s="244" t="s">
        <v>1244</v>
      </c>
      <c r="E239" s="244" t="s">
        <v>1010</v>
      </c>
      <c r="F239" s="245" t="s">
        <v>1496</v>
      </c>
      <c r="G239" s="245" t="s">
        <v>2213</v>
      </c>
      <c r="J239" s="10"/>
    </row>
    <row r="240" spans="1:10">
      <c r="A240" s="76"/>
      <c r="B240" s="76" t="str">
        <f t="shared" si="6"/>
        <v>Impianto elettrico abitazione</v>
      </c>
      <c r="C240" s="243" t="s">
        <v>840</v>
      </c>
      <c r="D240" s="244" t="s">
        <v>1245</v>
      </c>
      <c r="E240" s="244" t="s">
        <v>1011</v>
      </c>
      <c r="F240" s="245" t="s">
        <v>1497</v>
      </c>
      <c r="G240" s="245" t="s">
        <v>2214</v>
      </c>
      <c r="J240" s="10"/>
    </row>
    <row r="241" spans="1:10">
      <c r="A241" s="76"/>
      <c r="B241" s="76" t="str">
        <f t="shared" si="6"/>
        <v>Sonde geotermiche, per pompa di calore salamoia-acqua</v>
      </c>
      <c r="C241" s="243" t="s">
        <v>841</v>
      </c>
      <c r="D241" s="244" t="s">
        <v>1246</v>
      </c>
      <c r="E241" s="244" t="s">
        <v>1012</v>
      </c>
      <c r="F241" s="245" t="s">
        <v>1498</v>
      </c>
      <c r="G241" s="245" t="s">
        <v>2215</v>
      </c>
      <c r="J241" s="10"/>
    </row>
    <row r="242" spans="1:10">
      <c r="A242" s="76"/>
      <c r="B242" s="76" t="str">
        <f t="shared" si="6"/>
        <v>Collettore solare piano per il riscaldamento e l'acqua calda casa monofamiliare</v>
      </c>
      <c r="C242" s="243" t="s">
        <v>842</v>
      </c>
      <c r="D242" s="244" t="s">
        <v>1247</v>
      </c>
      <c r="E242" s="244" t="s">
        <v>1013</v>
      </c>
      <c r="F242" s="245" t="s">
        <v>1499</v>
      </c>
      <c r="G242" s="245" t="s">
        <v>2217</v>
      </c>
      <c r="J242" s="10"/>
    </row>
    <row r="243" spans="1:10">
      <c r="A243" s="76"/>
      <c r="B243" s="76" t="str">
        <f t="shared" si="6"/>
        <v>Collettore solare piano per l'acqua calda casa monofamiliare</v>
      </c>
      <c r="C243" s="243" t="s">
        <v>843</v>
      </c>
      <c r="D243" s="244" t="s">
        <v>1248</v>
      </c>
      <c r="E243" s="244" t="s">
        <v>1014</v>
      </c>
      <c r="F243" s="245" t="s">
        <v>1500</v>
      </c>
      <c r="G243" s="245" t="s">
        <v>2218</v>
      </c>
      <c r="J243" s="10"/>
    </row>
    <row r="244" spans="1:10">
      <c r="A244" s="76"/>
      <c r="B244" s="76" t="str">
        <f t="shared" si="6"/>
        <v>Collettore solare piano per l'acqua calda casa plurifamiliare</v>
      </c>
      <c r="C244" s="243" t="s">
        <v>844</v>
      </c>
      <c r="D244" s="244" t="s">
        <v>1249</v>
      </c>
      <c r="E244" s="244" t="s">
        <v>1015</v>
      </c>
      <c r="F244" s="245" t="s">
        <v>1501</v>
      </c>
      <c r="G244" s="245" t="s">
        <v>2219</v>
      </c>
      <c r="J244" s="10"/>
    </row>
    <row r="245" spans="1:10">
      <c r="A245" s="76"/>
      <c r="B245" s="76" t="str">
        <f t="shared" si="6"/>
        <v>Impianto di ventilazione ufficio (4 m3/h*m2)</v>
      </c>
      <c r="C245" s="243" t="s">
        <v>845</v>
      </c>
      <c r="D245" s="244" t="s">
        <v>1250</v>
      </c>
      <c r="E245" s="244" t="s">
        <v>1016</v>
      </c>
      <c r="F245" s="245" t="s">
        <v>1502</v>
      </c>
      <c r="G245" s="245" t="s">
        <v>2220</v>
      </c>
      <c r="J245" s="10"/>
    </row>
    <row r="246" spans="1:10">
      <c r="A246" s="76"/>
      <c r="B246" s="76" t="str">
        <f t="shared" si="6"/>
        <v>Impianto di ventilazione scuola, sala riunioni (8 m3/h*m2)</v>
      </c>
      <c r="C246" s="243" t="s">
        <v>846</v>
      </c>
      <c r="D246" s="244" t="s">
        <v>1251</v>
      </c>
      <c r="E246" s="244" t="s">
        <v>1017</v>
      </c>
      <c r="F246" s="245" t="s">
        <v>1503</v>
      </c>
      <c r="G246" s="245" t="s">
        <v>2222</v>
      </c>
      <c r="J246" s="10"/>
    </row>
    <row r="247" spans="1:10">
      <c r="A247" s="76"/>
      <c r="B247" s="76" t="str">
        <f t="shared" si="6"/>
        <v>Impianto di ventilazione abitazione, canali in lamiera, incluso cappa cucina</v>
      </c>
      <c r="C247" s="243" t="s">
        <v>847</v>
      </c>
      <c r="D247" s="244" t="s">
        <v>1252</v>
      </c>
      <c r="E247" s="244" t="s">
        <v>1018</v>
      </c>
      <c r="F247" s="245" t="s">
        <v>1504</v>
      </c>
      <c r="G247" s="245" t="s">
        <v>2224</v>
      </c>
      <c r="J247" s="10"/>
    </row>
    <row r="248" spans="1:10">
      <c r="A248" s="76"/>
      <c r="B248" s="76" t="str">
        <f t="shared" si="6"/>
        <v>Impianto di ventilazione abitazione, canali in PE, incluso cappa cucina</v>
      </c>
      <c r="C248" s="243" t="s">
        <v>848</v>
      </c>
      <c r="D248" s="244" t="s">
        <v>1253</v>
      </c>
      <c r="E248" s="244" t="s">
        <v>1019</v>
      </c>
      <c r="F248" s="245" t="s">
        <v>1505</v>
      </c>
      <c r="G248" s="245" t="s">
        <v>2225</v>
      </c>
      <c r="J248" s="10"/>
    </row>
    <row r="249" spans="1:10">
      <c r="A249" s="76"/>
      <c r="B249" s="76" t="str">
        <f t="shared" ref="B249:B280" si="7">INDEX($C249:$F249,1,MATCH(Sprachwahl,ListSprache,0))</f>
        <v>Impianto di ventilazione, flusso d'aria specifico 6 m3/hm2 SRE</v>
      </c>
      <c r="C249" s="243" t="s">
        <v>849</v>
      </c>
      <c r="D249" s="244" t="s">
        <v>1254</v>
      </c>
      <c r="E249" s="244" t="s">
        <v>1020</v>
      </c>
      <c r="F249" s="245" t="s">
        <v>1506</v>
      </c>
      <c r="G249" s="245" t="s">
        <v>2226</v>
      </c>
      <c r="J249" s="10"/>
    </row>
    <row r="250" spans="1:10">
      <c r="A250" s="76"/>
      <c r="B250" s="76" t="str">
        <f t="shared" si="7"/>
        <v>Impianti sanitari, ufficio, complesso, incluso apparecchi e tubazioni</v>
      </c>
      <c r="C250" s="243" t="s">
        <v>850</v>
      </c>
      <c r="D250" s="244" t="s">
        <v>1255</v>
      </c>
      <c r="E250" s="244" t="s">
        <v>1021</v>
      </c>
      <c r="F250" s="245" t="s">
        <v>1507</v>
      </c>
      <c r="G250" s="245" t="s">
        <v>2229</v>
      </c>
      <c r="J250" s="10"/>
    </row>
    <row r="251" spans="1:10">
      <c r="A251" s="76"/>
      <c r="B251" s="76" t="str">
        <f t="shared" si="7"/>
        <v>Impianti sanitari abitazione, semplice, incluso apparecchi e tubazioni</v>
      </c>
      <c r="C251" s="243" t="s">
        <v>851</v>
      </c>
      <c r="D251" s="244" t="s">
        <v>1256</v>
      </c>
      <c r="E251" s="244" t="s">
        <v>1022</v>
      </c>
      <c r="F251" s="245" t="s">
        <v>1508</v>
      </c>
      <c r="G251" s="245" t="s">
        <v>2230</v>
      </c>
      <c r="J251" s="10"/>
    </row>
    <row r="252" spans="1:10">
      <c r="A252" s="76"/>
      <c r="B252" s="76" t="str">
        <f t="shared" si="7"/>
        <v>Impianti sanitari, abitazione, incluso apparecchi e tubazioni</v>
      </c>
      <c r="C252" s="243" t="s">
        <v>852</v>
      </c>
      <c r="D252" s="244" t="s">
        <v>1257</v>
      </c>
      <c r="E252" s="244" t="s">
        <v>1023</v>
      </c>
      <c r="F252" s="245" t="s">
        <v>1509</v>
      </c>
      <c r="G252" s="245" t="s">
        <v>2231</v>
      </c>
      <c r="J252" s="10"/>
    </row>
    <row r="253" spans="1:10">
      <c r="A253" s="76"/>
      <c r="B253" s="76" t="str">
        <f t="shared" si="7"/>
        <v>Impianto fotovoltaico in facciata</v>
      </c>
      <c r="C253" s="243" t="s">
        <v>853</v>
      </c>
      <c r="D253" s="244" t="s">
        <v>1258</v>
      </c>
      <c r="E253" s="244" t="s">
        <v>1024</v>
      </c>
      <c r="F253" s="245" t="s">
        <v>1510</v>
      </c>
      <c r="G253" s="245" t="s">
        <v>2234</v>
      </c>
      <c r="J253" s="10"/>
    </row>
    <row r="254" spans="1:10">
      <c r="A254" s="76"/>
      <c r="B254" s="76" t="str">
        <f t="shared" si="7"/>
        <v>Impianto fotovoltaico tetto piano</v>
      </c>
      <c r="C254" s="243" t="s">
        <v>854</v>
      </c>
      <c r="D254" s="244" t="s">
        <v>1259</v>
      </c>
      <c r="E254" s="244" t="s">
        <v>1025</v>
      </c>
      <c r="F254" s="245" t="s">
        <v>1511</v>
      </c>
      <c r="G254" s="245" t="s">
        <v>2235</v>
      </c>
      <c r="J254" s="10"/>
    </row>
    <row r="255" spans="1:10">
      <c r="A255" s="76"/>
      <c r="B255" s="76" t="str">
        <f t="shared" si="7"/>
        <v>Impianto fotovoltaico tetto a falde</v>
      </c>
      <c r="C255" s="243" t="s">
        <v>855</v>
      </c>
      <c r="D255" s="244" t="s">
        <v>1260</v>
      </c>
      <c r="E255" s="244" t="s">
        <v>1026</v>
      </c>
      <c r="F255" s="245" t="s">
        <v>1512</v>
      </c>
      <c r="G255" s="245" t="s">
        <v>2236</v>
      </c>
      <c r="J255" s="10"/>
    </row>
    <row r="256" spans="1:10">
      <c r="A256" s="76"/>
      <c r="B256" s="76" t="str">
        <f t="shared" si="7"/>
        <v>Emissione del calore tramite riscaldamento a pavimento</v>
      </c>
      <c r="C256" s="243" t="s">
        <v>856</v>
      </c>
      <c r="D256" s="244" t="s">
        <v>1261</v>
      </c>
      <c r="E256" s="244" t="s">
        <v>1027</v>
      </c>
      <c r="F256" s="245" t="s">
        <v>1513</v>
      </c>
      <c r="G256" s="245" t="s">
        <v>2237</v>
      </c>
      <c r="J256" s="10"/>
    </row>
    <row r="257" spans="1:10">
      <c r="A257" s="76"/>
      <c r="B257" s="76" t="str">
        <f t="shared" si="7"/>
        <v>Emissione del calore tramite corpo riscaldante</v>
      </c>
      <c r="C257" s="243" t="s">
        <v>857</v>
      </c>
      <c r="D257" s="244" t="s">
        <v>1262</v>
      </c>
      <c r="E257" s="244" t="s">
        <v>1028</v>
      </c>
      <c r="F257" s="245" t="s">
        <v>1514</v>
      </c>
      <c r="G257" s="245" t="s">
        <v>2238</v>
      </c>
      <c r="J257" s="10"/>
    </row>
    <row r="258" spans="1:10">
      <c r="A258" s="76"/>
      <c r="B258" s="76" t="str">
        <f t="shared" si="7"/>
        <v>Emissione del calore tramite soffitto riscaldante/raffreddante (senza elementi in gesso o metallo)</v>
      </c>
      <c r="C258" s="243" t="s">
        <v>858</v>
      </c>
      <c r="D258" s="244" t="s">
        <v>1263</v>
      </c>
      <c r="E258" s="244" t="s">
        <v>1029</v>
      </c>
      <c r="F258" s="245" t="s">
        <v>1515</v>
      </c>
      <c r="G258" s="245" t="s">
        <v>2239</v>
      </c>
      <c r="J258" s="10"/>
    </row>
    <row r="259" spans="1:10">
      <c r="A259" s="76"/>
      <c r="B259" s="76" t="str">
        <f t="shared" si="7"/>
        <v>Generatore termico, fabbisogno di potenza specifica 10 W/m2</v>
      </c>
      <c r="C259" s="243" t="s">
        <v>859</v>
      </c>
      <c r="D259" s="244" t="s">
        <v>1264</v>
      </c>
      <c r="E259" s="244" t="s">
        <v>1030</v>
      </c>
      <c r="F259" s="245" t="s">
        <v>1516</v>
      </c>
      <c r="G259" s="245" t="s">
        <v>2240</v>
      </c>
      <c r="J259" s="10"/>
    </row>
    <row r="260" spans="1:10">
      <c r="A260" s="76"/>
      <c r="B260" s="76" t="str">
        <f t="shared" si="7"/>
        <v>Generatore termico, fabbisogno di potenza specifica 30 W/m2</v>
      </c>
      <c r="C260" s="243" t="s">
        <v>860</v>
      </c>
      <c r="D260" s="244" t="s">
        <v>1265</v>
      </c>
      <c r="E260" s="244" t="s">
        <v>1031</v>
      </c>
      <c r="F260" s="245" t="s">
        <v>1517</v>
      </c>
      <c r="G260" s="245" t="s">
        <v>2241</v>
      </c>
      <c r="J260" s="10"/>
    </row>
    <row r="261" spans="1:10">
      <c r="A261" s="76"/>
      <c r="B261" s="76" t="str">
        <f t="shared" si="7"/>
        <v>Generatore termico, fabbisogno di potenza specifica 50 W/m2</v>
      </c>
      <c r="C261" s="243" t="s">
        <v>861</v>
      </c>
      <c r="D261" s="244" t="s">
        <v>1266</v>
      </c>
      <c r="E261" s="244" t="s">
        <v>1032</v>
      </c>
      <c r="F261" s="245" t="s">
        <v>1518</v>
      </c>
      <c r="G261" s="245" t="s">
        <v>2242</v>
      </c>
      <c r="J261" s="10"/>
    </row>
    <row r="262" spans="1:10">
      <c r="A262" s="76"/>
      <c r="B262" s="76" t="str">
        <f t="shared" si="7"/>
        <v>Distribuzione del calore edifico amministrativo</v>
      </c>
      <c r="C262" s="243" t="s">
        <v>862</v>
      </c>
      <c r="D262" s="244" t="s">
        <v>1267</v>
      </c>
      <c r="E262" s="244" t="s">
        <v>1033</v>
      </c>
      <c r="F262" s="245" t="s">
        <v>1519</v>
      </c>
      <c r="G262" s="245" t="s">
        <v>2244</v>
      </c>
      <c r="J262" s="10"/>
    </row>
    <row r="263" spans="1:10">
      <c r="A263" s="76"/>
      <c r="B263" s="76" t="str">
        <f t="shared" si="7"/>
        <v>Distribuzione e emissione del calore, riscaldamento ad aria</v>
      </c>
      <c r="C263" s="243" t="s">
        <v>863</v>
      </c>
      <c r="D263" s="244" t="s">
        <v>1268</v>
      </c>
      <c r="E263" s="244" t="s">
        <v>1034</v>
      </c>
      <c r="F263" s="245" t="s">
        <v>1520</v>
      </c>
      <c r="G263" s="245" t="s">
        <v>2247</v>
      </c>
      <c r="J263" s="10"/>
    </row>
    <row r="264" spans="1:10">
      <c r="A264" s="76"/>
      <c r="B264" s="76" t="str">
        <f t="shared" si="7"/>
        <v>Distribuzione del calore edificio abitativo</v>
      </c>
      <c r="C264" s="243" t="s">
        <v>864</v>
      </c>
      <c r="D264" s="244" t="s">
        <v>1269</v>
      </c>
      <c r="E264" s="244" t="s">
        <v>1035</v>
      </c>
      <c r="F264" s="245" t="s">
        <v>1521</v>
      </c>
      <c r="G264" s="245" t="s">
        <v>2248</v>
      </c>
      <c r="J264" s="10"/>
    </row>
    <row r="265" spans="1:10">
      <c r="A265" s="76"/>
      <c r="B265" s="76" t="str">
        <f t="shared" si="7"/>
        <v>Finestra in alluminio triplo vetro (BTK)</v>
      </c>
      <c r="C265" s="243" t="s">
        <v>676</v>
      </c>
      <c r="D265" s="244" t="s">
        <v>1270</v>
      </c>
      <c r="E265" s="244" t="s">
        <v>1036</v>
      </c>
      <c r="F265" s="245" t="s">
        <v>1522</v>
      </c>
      <c r="G265" s="245" t="s">
        <v>2249</v>
      </c>
      <c r="J265" s="10"/>
    </row>
    <row r="266" spans="1:10">
      <c r="A266" s="76"/>
      <c r="B266" s="76" t="str">
        <f t="shared" si="7"/>
        <v>Porta esterna in legno (BTK)</v>
      </c>
      <c r="C266" s="243" t="s">
        <v>677</v>
      </c>
      <c r="D266" s="244" t="s">
        <v>1271</v>
      </c>
      <c r="E266" s="244" t="s">
        <v>1037</v>
      </c>
      <c r="F266" s="245" t="s">
        <v>1523</v>
      </c>
      <c r="G266" s="245" t="s">
        <v>2250</v>
      </c>
      <c r="J266" s="10"/>
    </row>
    <row r="267" spans="1:10">
      <c r="A267" s="76"/>
      <c r="B267" s="76" t="str">
        <f t="shared" si="7"/>
        <v>Finestra in legno triplo vetro (BTK)</v>
      </c>
      <c r="C267" s="243" t="s">
        <v>673</v>
      </c>
      <c r="D267" s="244" t="s">
        <v>1272</v>
      </c>
      <c r="E267" s="244" t="s">
        <v>1038</v>
      </c>
      <c r="F267" s="245" t="s">
        <v>1524</v>
      </c>
      <c r="G267" s="245" t="s">
        <v>2251</v>
      </c>
      <c r="J267" s="10"/>
    </row>
    <row r="268" spans="1:10">
      <c r="A268" s="76"/>
      <c r="B268" s="76" t="str">
        <f t="shared" si="7"/>
        <v>Finestra legno-metallo vetro triplo (BTK)</v>
      </c>
      <c r="C268" s="243" t="s">
        <v>674</v>
      </c>
      <c r="D268" s="244" t="s">
        <v>1273</v>
      </c>
      <c r="E268" s="244" t="s">
        <v>1039</v>
      </c>
      <c r="F268" s="245" t="s">
        <v>1525</v>
      </c>
      <c r="G268" s="245" t="s">
        <v>2252</v>
      </c>
      <c r="J268" s="10"/>
    </row>
    <row r="269" spans="1:10">
      <c r="A269" s="76"/>
      <c r="B269" s="76" t="str">
        <f t="shared" si="7"/>
        <v>Finestra in plastica vetro triplo (BTK)</v>
      </c>
      <c r="C269" s="243" t="s">
        <v>675</v>
      </c>
      <c r="D269" s="244" t="s">
        <v>1274</v>
      </c>
      <c r="E269" s="244" t="s">
        <v>1040</v>
      </c>
      <c r="F269" s="245" t="s">
        <v>1526</v>
      </c>
      <c r="G269" s="245" t="s">
        <v>2253</v>
      </c>
      <c r="J269" s="10"/>
    </row>
    <row r="270" spans="1:10">
      <c r="A270" s="76"/>
      <c r="B270" s="76" t="str">
        <f t="shared" si="7"/>
        <v>Scavo (SIA 2032)</v>
      </c>
      <c r="C270" s="245" t="s">
        <v>830</v>
      </c>
      <c r="D270" s="244" t="s">
        <v>1527</v>
      </c>
      <c r="E270" s="244" t="s">
        <v>1581</v>
      </c>
      <c r="F270" s="245" t="s">
        <v>1527</v>
      </c>
      <c r="G270" s="245" t="s">
        <v>2116</v>
      </c>
      <c r="J270" s="10"/>
    </row>
    <row r="271" spans="1:10">
      <c r="A271" s="76"/>
      <c r="B271" s="76" t="str">
        <f t="shared" si="7"/>
        <v>Chiusura della fossa dell'edificio, parete berlinese (SIA 2032)</v>
      </c>
      <c r="C271" s="245" t="s">
        <v>831</v>
      </c>
      <c r="D271" s="244" t="s">
        <v>1608</v>
      </c>
      <c r="E271" s="244" t="s">
        <v>1609</v>
      </c>
      <c r="F271" s="245" t="s">
        <v>1610</v>
      </c>
      <c r="G271" s="245" t="s">
        <v>2118</v>
      </c>
      <c r="J271" s="10"/>
    </row>
    <row r="272" spans="1:10">
      <c r="A272" s="76"/>
      <c r="B272" s="76" t="str">
        <f t="shared" si="7"/>
        <v>Chiusura della fossa dell'edificio, parete del diaframma (SIA 2032)</v>
      </c>
      <c r="C272" s="245" t="s">
        <v>1612</v>
      </c>
      <c r="D272" s="244" t="s">
        <v>1614</v>
      </c>
      <c r="E272" s="244" t="s">
        <v>1615</v>
      </c>
      <c r="F272" s="245" t="s">
        <v>1611</v>
      </c>
      <c r="G272" s="245" t="s">
        <v>2117</v>
      </c>
      <c r="J272" s="10"/>
    </row>
    <row r="273" spans="1:10">
      <c r="A273" s="76"/>
      <c r="B273" s="76" t="str">
        <f t="shared" si="7"/>
        <v>Chiusura della fossa dell'edificio, parete di palancole (SIA 2032)</v>
      </c>
      <c r="C273" s="246" t="s">
        <v>832</v>
      </c>
      <c r="D273" s="244" t="s">
        <v>1554</v>
      </c>
      <c r="E273" s="244" t="s">
        <v>1616</v>
      </c>
      <c r="F273" s="246" t="s">
        <v>1613</v>
      </c>
      <c r="G273" s="246" t="s">
        <v>2119</v>
      </c>
      <c r="J273" s="10"/>
    </row>
    <row r="274" spans="1:10">
      <c r="A274" s="76"/>
      <c r="B274" s="76" t="str">
        <f t="shared" si="7"/>
        <v>Pali, micropali (SIA 2032)</v>
      </c>
      <c r="C274" s="246" t="s">
        <v>833</v>
      </c>
      <c r="D274" s="244" t="s">
        <v>1555</v>
      </c>
      <c r="E274" s="244" t="s">
        <v>1582</v>
      </c>
      <c r="F274" s="246" t="s">
        <v>1528</v>
      </c>
      <c r="G274" s="246" t="s">
        <v>2122</v>
      </c>
      <c r="J274" s="10"/>
    </row>
    <row r="275" spans="1:10">
      <c r="A275" s="76"/>
      <c r="B275" s="76" t="str">
        <f t="shared" si="7"/>
        <v>Palo, palo dislocante in calcestruzzo gettato in opera (SIA 2032)</v>
      </c>
      <c r="C275" s="246" t="s">
        <v>834</v>
      </c>
      <c r="D275" s="244" t="s">
        <v>1556</v>
      </c>
      <c r="E275" s="244" t="s">
        <v>1583</v>
      </c>
      <c r="F275" s="246" t="s">
        <v>1529</v>
      </c>
      <c r="G275" s="246" t="s">
        <v>2123</v>
      </c>
      <c r="J275" s="10"/>
    </row>
    <row r="276" spans="1:10">
      <c r="A276" s="76"/>
      <c r="B276" s="76" t="str">
        <f t="shared" si="7"/>
        <v>Pali, palo prefabbricato in calcestruzzo (SIA 2032)</v>
      </c>
      <c r="C276" s="246" t="s">
        <v>835</v>
      </c>
      <c r="D276" s="244" t="s">
        <v>1557</v>
      </c>
      <c r="E276" s="244" t="s">
        <v>1584</v>
      </c>
      <c r="F276" s="246" t="s">
        <v>1530</v>
      </c>
      <c r="G276" s="246" t="s">
        <v>2124</v>
      </c>
      <c r="J276" s="10"/>
    </row>
    <row r="277" spans="1:10">
      <c r="A277" s="76"/>
      <c r="B277" s="76" t="str">
        <f t="shared" si="7"/>
        <v>Piastra di base, fondazione non isolata (SIA 2032)</v>
      </c>
      <c r="C277" s="246" t="s">
        <v>799</v>
      </c>
      <c r="D277" s="244" t="s">
        <v>1558</v>
      </c>
      <c r="E277" s="244" t="s">
        <v>1585</v>
      </c>
      <c r="F277" s="246" t="s">
        <v>1531</v>
      </c>
      <c r="G277" s="246" t="s">
        <v>2126</v>
      </c>
      <c r="J277" s="10"/>
    </row>
    <row r="278" spans="1:10">
      <c r="A278" s="76"/>
      <c r="B278" s="76" t="str">
        <f t="shared" si="7"/>
        <v>Piastra di base, fondazione isolata (SIA 2032)</v>
      </c>
      <c r="C278" s="246" t="s">
        <v>800</v>
      </c>
      <c r="D278" s="244" t="s">
        <v>1579</v>
      </c>
      <c r="E278" s="244" t="s">
        <v>1586</v>
      </c>
      <c r="F278" s="246" t="s">
        <v>1532</v>
      </c>
      <c r="G278" s="246" t="s">
        <v>2125</v>
      </c>
      <c r="J278" s="10"/>
    </row>
    <row r="279" spans="1:10">
      <c r="A279" s="76"/>
      <c r="B279" s="76" t="str">
        <f t="shared" si="7"/>
        <v>Muro esterno sotto il terreno non isolato (SIA 2032)</v>
      </c>
      <c r="C279" s="247" t="s">
        <v>801</v>
      </c>
      <c r="D279" s="244" t="s">
        <v>1559</v>
      </c>
      <c r="E279" s="244" t="s">
        <v>1587</v>
      </c>
      <c r="F279" s="246" t="s">
        <v>1533</v>
      </c>
      <c r="G279" s="246" t="s">
        <v>2131</v>
      </c>
      <c r="J279" s="10"/>
    </row>
    <row r="280" spans="1:10">
      <c r="A280" s="76"/>
      <c r="B280" s="76" t="str">
        <f t="shared" si="7"/>
        <v>Parete esterna isolata sotto il terreno (SIA 2032)</v>
      </c>
      <c r="C280" s="246" t="s">
        <v>802</v>
      </c>
      <c r="D280" s="244" t="s">
        <v>1580</v>
      </c>
      <c r="E280" s="244" t="s">
        <v>1588</v>
      </c>
      <c r="F280" s="246" t="s">
        <v>1534</v>
      </c>
      <c r="G280" s="246" t="s">
        <v>2130</v>
      </c>
      <c r="J280" s="10"/>
    </row>
    <row r="281" spans="1:10">
      <c r="A281" s="76"/>
      <c r="B281" s="76" t="str">
        <f t="shared" ref="B281:B312" si="8">INDEX($C281:$F281,1,MATCH(Sprachwahl,ListSprache,0))</f>
        <v>Tetto sotto il terreno non isolato (SIA 2032)</v>
      </c>
      <c r="C281" s="246" t="s">
        <v>803</v>
      </c>
      <c r="D281" s="244" t="s">
        <v>1560</v>
      </c>
      <c r="E281" s="244" t="s">
        <v>1589</v>
      </c>
      <c r="F281" s="246" t="s">
        <v>1535</v>
      </c>
      <c r="G281" s="246" t="s">
        <v>2195</v>
      </c>
      <c r="J281" s="10"/>
    </row>
    <row r="282" spans="1:10">
      <c r="A282" s="76"/>
      <c r="B282" s="76" t="str">
        <f t="shared" si="8"/>
        <v>Tetto isolato sotto il terreno (SIA 2032)</v>
      </c>
      <c r="C282" s="246" t="s">
        <v>804</v>
      </c>
      <c r="D282" s="244" t="s">
        <v>1561</v>
      </c>
      <c r="E282" s="244" t="s">
        <v>1590</v>
      </c>
      <c r="F282" s="246" t="s">
        <v>1536</v>
      </c>
      <c r="G282" s="246" t="s">
        <v>2194</v>
      </c>
      <c r="J282" s="10"/>
    </row>
    <row r="283" spans="1:10">
      <c r="A283" s="76"/>
      <c r="B283" s="76" t="str">
        <f t="shared" si="8"/>
        <v>Parete in calcestruzzo con intonaco interno, parete esterna in mattoni (SIA 2032)</v>
      </c>
      <c r="C283" s="246" t="s">
        <v>1933</v>
      </c>
      <c r="D283" s="244" t="s">
        <v>1916</v>
      </c>
      <c r="E283" s="244" t="s">
        <v>1918</v>
      </c>
      <c r="F283" s="246" t="s">
        <v>1950</v>
      </c>
      <c r="G283" s="246" t="s">
        <v>2142</v>
      </c>
      <c r="J283" s="10"/>
    </row>
    <row r="284" spans="1:10">
      <c r="A284" s="76"/>
      <c r="B284" s="76" t="str">
        <f t="shared" si="8"/>
        <v>Parete in calcestruzzo con intonaco interno, rivest. in fibrocemento/pietra (SIA 2032)</v>
      </c>
      <c r="C284" s="246" t="s">
        <v>1948</v>
      </c>
      <c r="D284" s="244" t="s">
        <v>1959</v>
      </c>
      <c r="E284" s="244" t="s">
        <v>1953</v>
      </c>
      <c r="F284" s="246" t="s">
        <v>1920</v>
      </c>
      <c r="G284" s="246" t="s">
        <v>2143</v>
      </c>
      <c r="J284" s="10"/>
    </row>
    <row r="285" spans="1:10">
      <c r="A285" s="76"/>
      <c r="B285" s="76" t="str">
        <f t="shared" si="8"/>
        <v>Parete in calcestruzzo con intonaco interno, rivest. in metallo/vetro (SIA 2032)</v>
      </c>
      <c r="C285" s="246" t="s">
        <v>1949</v>
      </c>
      <c r="D285" s="244" t="s">
        <v>1960</v>
      </c>
      <c r="E285" s="244" t="s">
        <v>1954</v>
      </c>
      <c r="F285" s="246" t="s">
        <v>1921</v>
      </c>
      <c r="G285" s="246" t="s">
        <v>2144</v>
      </c>
      <c r="J285" s="10"/>
    </row>
    <row r="286" spans="1:10">
      <c r="A286" s="76"/>
      <c r="B286" s="76" t="str">
        <f t="shared" si="8"/>
        <v>Parete in calcestruzzo con intonaco interno, isolamento esterno intonacato (SIA 2032)</v>
      </c>
      <c r="C286" s="246" t="s">
        <v>1934</v>
      </c>
      <c r="D286" s="244" t="s">
        <v>1917</v>
      </c>
      <c r="E286" s="244" t="s">
        <v>1919</v>
      </c>
      <c r="F286" s="246" t="s">
        <v>1922</v>
      </c>
      <c r="G286" s="246" t="s">
        <v>2145</v>
      </c>
      <c r="J286" s="10"/>
    </row>
    <row r="287" spans="1:10">
      <c r="A287" s="76"/>
      <c r="B287" s="76" t="str">
        <f t="shared" si="8"/>
        <v>Muro in mattoni con intonaco interno, parete a doppio guscio (SIA 2032)</v>
      </c>
      <c r="C287" s="246" t="s">
        <v>1935</v>
      </c>
      <c r="D287" s="244" t="s">
        <v>1946</v>
      </c>
      <c r="E287" s="244" t="s">
        <v>1911</v>
      </c>
      <c r="F287" s="246" t="s">
        <v>1910</v>
      </c>
      <c r="G287" s="246" t="s">
        <v>2137</v>
      </c>
      <c r="J287" s="10"/>
    </row>
    <row r="288" spans="1:10">
      <c r="A288" s="76"/>
      <c r="B288" s="76" t="str">
        <f t="shared" si="8"/>
        <v>Muro in mattoni con intonaco interno, rivest. in fibrocemento/pietra (SIA 2032)</v>
      </c>
      <c r="C288" s="246" t="s">
        <v>1936</v>
      </c>
      <c r="D288" s="244" t="s">
        <v>1961</v>
      </c>
      <c r="E288" s="244" t="s">
        <v>1955</v>
      </c>
      <c r="F288" s="246" t="s">
        <v>1913</v>
      </c>
      <c r="G288" s="246" t="s">
        <v>2138</v>
      </c>
      <c r="J288" s="10"/>
    </row>
    <row r="289" spans="1:10">
      <c r="A289" s="76"/>
      <c r="B289" s="76" t="str">
        <f t="shared" si="8"/>
        <v>Muro in mattoni con intonaco interno, rivest. in legno (SIA 2032)</v>
      </c>
      <c r="C289" s="246" t="s">
        <v>1937</v>
      </c>
      <c r="D289" s="244" t="s">
        <v>1962</v>
      </c>
      <c r="E289" s="244" t="s">
        <v>1956</v>
      </c>
      <c r="F289" s="246" t="s">
        <v>1914</v>
      </c>
      <c r="G289" s="246" t="s">
        <v>2139</v>
      </c>
      <c r="J289" s="10"/>
    </row>
    <row r="290" spans="1:10">
      <c r="A290" s="76"/>
      <c r="B290" s="76" t="str">
        <f t="shared" si="8"/>
        <v>Muro in mattoni con intonaco interno, rivest. in metallo/vetro (SIA 2032)</v>
      </c>
      <c r="C290" s="246" t="s">
        <v>1938</v>
      </c>
      <c r="D290" s="244" t="s">
        <v>1963</v>
      </c>
      <c r="E290" s="244" t="s">
        <v>1957</v>
      </c>
      <c r="F290" s="246" t="s">
        <v>1915</v>
      </c>
      <c r="G290" s="246" t="s">
        <v>2140</v>
      </c>
      <c r="J290" s="10"/>
    </row>
    <row r="291" spans="1:10">
      <c r="A291" s="76"/>
      <c r="B291" s="76" t="str">
        <f t="shared" si="8"/>
        <v>Muro in mattoni con intonaco interno, isolamento esterno intonacato (SIA 2032)</v>
      </c>
      <c r="C291" s="246" t="s">
        <v>1939</v>
      </c>
      <c r="D291" s="244" t="s">
        <v>1947</v>
      </c>
      <c r="E291" s="244" t="s">
        <v>1958</v>
      </c>
      <c r="F291" s="246" t="s">
        <v>1912</v>
      </c>
      <c r="G291" s="246" t="s">
        <v>2141</v>
      </c>
      <c r="J291" s="10"/>
    </row>
    <row r="292" spans="1:10">
      <c r="A292" s="76"/>
      <c r="B292" s="76" t="str">
        <f t="shared" si="8"/>
        <v>Muro in legno, rivest. interno in gesso, rivest. esterno in fibrocemento/pietra (SIA 2032)</v>
      </c>
      <c r="C292" s="246" t="s">
        <v>1940</v>
      </c>
      <c r="D292" s="244" t="s">
        <v>1964</v>
      </c>
      <c r="E292" s="244" t="s">
        <v>1968</v>
      </c>
      <c r="F292" s="246" t="s">
        <v>1923</v>
      </c>
      <c r="G292" s="246" t="s">
        <v>2148</v>
      </c>
      <c r="J292" s="10"/>
    </row>
    <row r="293" spans="1:10">
      <c r="A293" s="76"/>
      <c r="B293" s="76" t="str">
        <f t="shared" si="8"/>
        <v>Muro in legno, rivest. interno in gesso, rivest. esterno in legno (SIA 2032)</v>
      </c>
      <c r="C293" s="246" t="s">
        <v>1941</v>
      </c>
      <c r="D293" s="244" t="s">
        <v>1965</v>
      </c>
      <c r="E293" s="244" t="s">
        <v>1969</v>
      </c>
      <c r="F293" s="246" t="s">
        <v>1924</v>
      </c>
      <c r="G293" s="246" t="s">
        <v>2149</v>
      </c>
      <c r="J293" s="10"/>
    </row>
    <row r="294" spans="1:10">
      <c r="A294" s="76"/>
      <c r="B294" s="76" t="str">
        <f t="shared" si="8"/>
        <v>Muro in legno, rivest. interno in gesso, rivest. esterno in metallo/vetro (SIA 2032)</v>
      </c>
      <c r="C294" s="246" t="s">
        <v>1942</v>
      </c>
      <c r="D294" s="244" t="s">
        <v>1966</v>
      </c>
      <c r="E294" s="244" t="s">
        <v>1970</v>
      </c>
      <c r="F294" s="246" t="s">
        <v>1925</v>
      </c>
      <c r="G294" s="246" t="s">
        <v>2150</v>
      </c>
      <c r="J294" s="10"/>
    </row>
    <row r="295" spans="1:10">
      <c r="A295" s="76"/>
      <c r="B295" s="76" t="str">
        <f t="shared" si="8"/>
        <v>Muratura monoblocco isolante, con intonaco interno e esterno (SIA 2032)</v>
      </c>
      <c r="C295" s="246" t="s">
        <v>1943</v>
      </c>
      <c r="D295" s="244" t="s">
        <v>1927</v>
      </c>
      <c r="E295" s="244" t="s">
        <v>1928</v>
      </c>
      <c r="F295" s="246" t="s">
        <v>1926</v>
      </c>
      <c r="G295" s="246" t="s">
        <v>2146</v>
      </c>
      <c r="J295" s="10"/>
    </row>
    <row r="296" spans="1:10">
      <c r="A296" s="76"/>
      <c r="B296" s="76" t="str">
        <f t="shared" si="8"/>
        <v>Muratura monoblocco isolante, con intonaco int., isolamento est. intonacato  (SIA 2032)</v>
      </c>
      <c r="C296" s="246" t="s">
        <v>1944</v>
      </c>
      <c r="D296" s="244" t="s">
        <v>1967</v>
      </c>
      <c r="E296" s="244" t="s">
        <v>1971</v>
      </c>
      <c r="F296" s="246" t="s">
        <v>1929</v>
      </c>
      <c r="G296" s="246" t="s">
        <v>2147</v>
      </c>
      <c r="J296" s="10"/>
    </row>
    <row r="297" spans="1:10">
      <c r="A297" s="76"/>
      <c r="B297" s="76" t="str">
        <f t="shared" si="8"/>
        <v>Griglia a colonna con sistema di facciata alluminio/vetro (SIA 2032)</v>
      </c>
      <c r="C297" s="246" t="s">
        <v>1945</v>
      </c>
      <c r="D297" s="244" t="s">
        <v>1930</v>
      </c>
      <c r="E297" s="244" t="s">
        <v>1931</v>
      </c>
      <c r="F297" s="246" t="s">
        <v>1932</v>
      </c>
      <c r="G297" s="246" t="s">
        <v>2151</v>
      </c>
      <c r="J297" s="10"/>
    </row>
    <row r="298" spans="1:10">
      <c r="A298" s="76"/>
      <c r="B298" s="76" t="str">
        <f t="shared" si="8"/>
        <v>Finestra, valore media, 3 volte IV, incl. protezione solare (SIA 2032)</v>
      </c>
      <c r="C298" s="246" t="s">
        <v>805</v>
      </c>
      <c r="D298" s="244" t="s">
        <v>1617</v>
      </c>
      <c r="E298" s="244" t="s">
        <v>1618</v>
      </c>
      <c r="F298" s="246" t="s">
        <v>1537</v>
      </c>
      <c r="G298" s="246" t="s">
        <v>2254</v>
      </c>
      <c r="J298" s="10"/>
    </row>
    <row r="299" spans="1:10">
      <c r="A299" s="76"/>
      <c r="B299" s="76" t="str">
        <f t="shared" si="8"/>
        <v>Soffitto in calcestruzzo 25 cm con intonaco interno, isolato (SIA 2032)</v>
      </c>
      <c r="C299" s="246" t="s">
        <v>1901</v>
      </c>
      <c r="D299" s="244" t="s">
        <v>1902</v>
      </c>
      <c r="E299" s="244" t="s">
        <v>1903</v>
      </c>
      <c r="F299" s="246" t="s">
        <v>1904</v>
      </c>
      <c r="G299" s="246" t="s">
        <v>2192</v>
      </c>
      <c r="J299" s="10"/>
    </row>
    <row r="300" spans="1:10">
      <c r="A300" s="76"/>
      <c r="B300" s="76" t="str">
        <f t="shared" si="8"/>
        <v>Soffitto in calcestruzzo 40 cm con intonaco interno, isolato (SIA 2032)</v>
      </c>
      <c r="C300" s="246" t="s">
        <v>1905</v>
      </c>
      <c r="D300" s="244" t="s">
        <v>1906</v>
      </c>
      <c r="E300" s="244" t="s">
        <v>1907</v>
      </c>
      <c r="F300" s="246" t="s">
        <v>1908</v>
      </c>
      <c r="G300" s="246" t="s">
        <v>2193</v>
      </c>
      <c r="J300" s="10"/>
    </row>
    <row r="301" spans="1:10">
      <c r="A301" s="76"/>
      <c r="B301" s="76" t="str">
        <f t="shared" si="8"/>
        <v>Soffitto in lamiera profilata composita, isolato (SIA 2032)</v>
      </c>
      <c r="C301" s="246" t="s">
        <v>1893</v>
      </c>
      <c r="D301" s="244" t="s">
        <v>1894</v>
      </c>
      <c r="E301" s="244" t="s">
        <v>1895</v>
      </c>
      <c r="F301" s="246" t="s">
        <v>1896</v>
      </c>
      <c r="G301" s="246" t="s">
        <v>2206</v>
      </c>
      <c r="J301" s="10"/>
    </row>
    <row r="302" spans="1:10">
      <c r="A302" s="76"/>
      <c r="B302" s="76" t="str">
        <f t="shared" si="8"/>
        <v>Soffitto in legno con rivestimento inferiore in gesso, isolato (SIA 2032)</v>
      </c>
      <c r="C302" s="246" t="s">
        <v>1897</v>
      </c>
      <c r="D302" s="244" t="s">
        <v>1898</v>
      </c>
      <c r="E302" s="244" t="s">
        <v>1899</v>
      </c>
      <c r="F302" s="246" t="s">
        <v>1900</v>
      </c>
      <c r="G302" s="246" t="s">
        <v>2203</v>
      </c>
      <c r="J302" s="10"/>
    </row>
    <row r="303" spans="1:10">
      <c r="A303" s="76"/>
      <c r="B303" s="76" t="str">
        <f t="shared" si="8"/>
        <v>Costruzione in legno, tetto a falda, isolato (SIA 2032)</v>
      </c>
      <c r="C303" s="246" t="s">
        <v>1885</v>
      </c>
      <c r="D303" s="244" t="s">
        <v>1890</v>
      </c>
      <c r="E303" s="244" t="s">
        <v>1886</v>
      </c>
      <c r="F303" s="246" t="s">
        <v>1887</v>
      </c>
      <c r="G303" s="246" t="s">
        <v>2204</v>
      </c>
      <c r="J303" s="10"/>
    </row>
    <row r="304" spans="1:10">
      <c r="A304" s="76"/>
      <c r="B304" s="76" t="str">
        <f t="shared" si="8"/>
        <v>Valore medio portante della parete interna (con intonaco interno) (SIA 2032)</v>
      </c>
      <c r="C304" s="246" t="s">
        <v>828</v>
      </c>
      <c r="D304" s="244" t="s">
        <v>1562</v>
      </c>
      <c r="E304" s="244" t="s">
        <v>1591</v>
      </c>
      <c r="F304" s="246" t="s">
        <v>1538</v>
      </c>
      <c r="G304" s="246" t="s">
        <v>2163</v>
      </c>
      <c r="J304" s="10"/>
    </row>
    <row r="305" spans="1:10">
      <c r="A305" s="76"/>
      <c r="B305" s="76" t="str">
        <f t="shared" si="8"/>
        <v>Valore medio parete interna non portante (con intonaco interno) (SIA 2032)</v>
      </c>
      <c r="C305" s="246" t="s">
        <v>829</v>
      </c>
      <c r="D305" s="244" t="s">
        <v>1563</v>
      </c>
      <c r="E305" s="244" t="s">
        <v>1592</v>
      </c>
      <c r="F305" s="246" t="s">
        <v>1539</v>
      </c>
      <c r="G305" s="246" t="s">
        <v>2162</v>
      </c>
      <c r="J305" s="10"/>
    </row>
    <row r="306" spans="1:10">
      <c r="A306" s="76"/>
      <c r="B306" s="76" t="str">
        <f t="shared" si="8"/>
        <v>Soffitto in calcestruzzo 25 cm con intonaco interno (SIA 2032)</v>
      </c>
      <c r="C306" s="246" t="s">
        <v>807</v>
      </c>
      <c r="D306" s="244" t="s">
        <v>1564</v>
      </c>
      <c r="E306" s="244" t="s">
        <v>1593</v>
      </c>
      <c r="F306" s="246" t="s">
        <v>1540</v>
      </c>
      <c r="G306" s="246" t="s">
        <v>2178</v>
      </c>
      <c r="J306" s="10"/>
    </row>
    <row r="307" spans="1:10">
      <c r="A307" s="76"/>
      <c r="B307" s="76" t="str">
        <f t="shared" si="8"/>
        <v>Soffitto a elementi in legno (con rivestimento inferiore in gesso) (SIA 2032)</v>
      </c>
      <c r="C307" s="246" t="s">
        <v>808</v>
      </c>
      <c r="D307" s="244" t="s">
        <v>1565</v>
      </c>
      <c r="E307" s="244" t="s">
        <v>1594</v>
      </c>
      <c r="F307" s="246" t="s">
        <v>1541</v>
      </c>
      <c r="G307" s="246" t="s">
        <v>2185</v>
      </c>
      <c r="J307" s="10"/>
    </row>
    <row r="308" spans="1:10">
      <c r="A308" s="76"/>
      <c r="B308" s="76" t="str">
        <f t="shared" si="8"/>
        <v>Composito legno-calcestruzzo (con rivestimento inferiore in gesso) (SIA 2032)</v>
      </c>
      <c r="C308" s="246" t="s">
        <v>809</v>
      </c>
      <c r="D308" s="244" t="s">
        <v>1566</v>
      </c>
      <c r="E308" s="244" t="s">
        <v>1595</v>
      </c>
      <c r="F308" s="246" t="s">
        <v>1542</v>
      </c>
      <c r="G308" s="246" t="s">
        <v>2183</v>
      </c>
      <c r="J308" s="10"/>
    </row>
    <row r="309" spans="1:10">
      <c r="A309" s="76"/>
      <c r="B309" s="76" t="str">
        <f t="shared" si="8"/>
        <v>Pavimento finito (senza sottostruttura) (SIA 2032)</v>
      </c>
      <c r="C309" s="246" t="s">
        <v>810</v>
      </c>
      <c r="D309" s="244" t="s">
        <v>1567</v>
      </c>
      <c r="E309" s="244" t="s">
        <v>1596</v>
      </c>
      <c r="F309" s="246" t="s">
        <v>1543</v>
      </c>
      <c r="G309" s="246" t="s">
        <v>2257</v>
      </c>
      <c r="J309" s="10"/>
    </row>
    <row r="310" spans="1:10">
      <c r="A310" s="76"/>
      <c r="B310" s="76" t="str">
        <f t="shared" si="8"/>
        <v>Sottostruttura e rivestimento del pavimento (SIA 2032)</v>
      </c>
      <c r="C310" s="246" t="s">
        <v>811</v>
      </c>
      <c r="D310" s="244" t="s">
        <v>1568</v>
      </c>
      <c r="E310" s="244" t="s">
        <v>1597</v>
      </c>
      <c r="F310" s="246" t="s">
        <v>1544</v>
      </c>
      <c r="G310" s="246" t="s">
        <v>2258</v>
      </c>
      <c r="J310" s="10"/>
    </row>
    <row r="311" spans="1:10">
      <c r="A311" s="76"/>
      <c r="B311" s="76" t="str">
        <f t="shared" si="8"/>
        <v>Isolamento contro i non riscaldati (SIA 2032)</v>
      </c>
      <c r="C311" s="246" t="s">
        <v>812</v>
      </c>
      <c r="D311" s="244" t="s">
        <v>1569</v>
      </c>
      <c r="E311" s="244" t="s">
        <v>1598</v>
      </c>
      <c r="F311" s="246" t="s">
        <v>1545</v>
      </c>
      <c r="G311" s="246" t="s">
        <v>2256</v>
      </c>
      <c r="J311" s="10"/>
    </row>
    <row r="312" spans="1:10">
      <c r="A312" s="76"/>
      <c r="B312" s="76" t="str">
        <f t="shared" si="8"/>
        <v>Soffitto di installazione sospesa (valore medio) (SIA 2032)</v>
      </c>
      <c r="C312" s="246" t="s">
        <v>813</v>
      </c>
      <c r="D312" s="244" t="s">
        <v>1570</v>
      </c>
      <c r="E312" s="244" t="s">
        <v>1599</v>
      </c>
      <c r="F312" s="246" t="s">
        <v>1546</v>
      </c>
      <c r="G312" s="246" t="s">
        <v>2255</v>
      </c>
      <c r="J312" s="10"/>
    </row>
    <row r="313" spans="1:10">
      <c r="A313" s="76"/>
      <c r="B313" s="76" t="str">
        <f t="shared" ref="B313:B327" si="9">INDEX($C313:$F313,1,MATCH(Sprachwahl,ListSprache,0))</f>
        <v>Balcone incl. protezione anticaduta (SIA 2032)</v>
      </c>
      <c r="C313" s="246" t="s">
        <v>814</v>
      </c>
      <c r="D313" s="244" t="s">
        <v>1571</v>
      </c>
      <c r="E313" s="244" t="s">
        <v>1600</v>
      </c>
      <c r="F313" s="246" t="s">
        <v>1547</v>
      </c>
      <c r="G313" s="246" t="s">
        <v>2191</v>
      </c>
      <c r="J313" s="10"/>
    </row>
    <row r="314" spans="1:10">
      <c r="A314" s="76"/>
      <c r="B314" s="76" t="str">
        <f t="shared" si="9"/>
        <v>Alloggiamento dell'impianto elettrico (SIA 2032)</v>
      </c>
      <c r="C314" s="246" t="s">
        <v>815</v>
      </c>
      <c r="D314" s="244" t="s">
        <v>1572</v>
      </c>
      <c r="E314" s="244" t="s">
        <v>1601</v>
      </c>
      <c r="F314" s="246" t="s">
        <v>1548</v>
      </c>
      <c r="G314" s="246" t="s">
        <v>2212</v>
      </c>
      <c r="J314" s="10"/>
    </row>
    <row r="315" spans="1:10">
      <c r="A315" s="76"/>
      <c r="B315" s="76" t="str">
        <f t="shared" si="9"/>
        <v>Ufficio impianti elettrici (SIA 2032)</v>
      </c>
      <c r="C315" s="246" t="s">
        <v>816</v>
      </c>
      <c r="D315" s="244" t="s">
        <v>1573</v>
      </c>
      <c r="E315" s="244" t="s">
        <v>1602</v>
      </c>
      <c r="F315" s="246" t="s">
        <v>1549</v>
      </c>
      <c r="G315" s="246" t="s">
        <v>2211</v>
      </c>
      <c r="J315" s="10"/>
    </row>
    <row r="316" spans="1:10">
      <c r="A316" s="76"/>
      <c r="B316" s="76" t="str">
        <f t="shared" si="9"/>
        <v>Impianto solare (1 m2 = 0,14 kWp) (SIA 2032)</v>
      </c>
      <c r="C316" s="246" t="s">
        <v>817</v>
      </c>
      <c r="D316" s="244" t="s">
        <v>1574</v>
      </c>
      <c r="E316" s="244" t="s">
        <v>1603</v>
      </c>
      <c r="F316" s="246" t="s">
        <v>1550</v>
      </c>
      <c r="G316" s="246" t="s">
        <v>2233</v>
      </c>
      <c r="J316" s="10"/>
    </row>
    <row r="317" spans="1:10">
      <c r="A317" s="76"/>
      <c r="B317" s="76" t="str">
        <f t="shared" si="9"/>
        <v>Generazione di calore (SIA 2032)</v>
      </c>
      <c r="C317" s="246" t="s">
        <v>818</v>
      </c>
      <c r="D317" s="244" t="s">
        <v>1575</v>
      </c>
      <c r="E317" s="244" t="s">
        <v>1604</v>
      </c>
      <c r="F317" s="246" t="s">
        <v>1551</v>
      </c>
      <c r="G317" s="246" t="s">
        <v>2243</v>
      </c>
      <c r="J317" s="10"/>
    </row>
    <row r="318" spans="1:10">
      <c r="A318" s="76"/>
      <c r="B318" s="76" t="str">
        <f t="shared" si="9"/>
        <v>Distribuzione del calore e emissione di calore per edifici residenziali (SIA 2032)</v>
      </c>
      <c r="C318" s="246" t="s">
        <v>819</v>
      </c>
      <c r="D318" s="244" t="s">
        <v>1619</v>
      </c>
      <c r="E318" s="244" t="s">
        <v>1620</v>
      </c>
      <c r="F318" s="246" t="s">
        <v>1636</v>
      </c>
      <c r="G318" s="246" t="s">
        <v>2246</v>
      </c>
      <c r="J318" s="10"/>
    </row>
    <row r="319" spans="1:10">
      <c r="A319" s="76"/>
      <c r="B319" s="76" t="str">
        <f t="shared" si="9"/>
        <v>Distribuzione del calore e emissione di calore per edifici uffici (SIA 2032)</v>
      </c>
      <c r="C319" s="246" t="s">
        <v>820</v>
      </c>
      <c r="D319" s="244" t="s">
        <v>1622</v>
      </c>
      <c r="E319" s="244" t="s">
        <v>1621</v>
      </c>
      <c r="F319" s="246" t="s">
        <v>1637</v>
      </c>
      <c r="G319" s="246" t="s">
        <v>2245</v>
      </c>
      <c r="J319" s="10"/>
    </row>
    <row r="320" spans="1:10">
      <c r="A320" s="76"/>
      <c r="B320" s="76" t="str">
        <f t="shared" si="9"/>
        <v>Sonde geotermiche (SIA 2032)</v>
      </c>
      <c r="C320" s="246" t="s">
        <v>821</v>
      </c>
      <c r="D320" s="244" t="s">
        <v>1576</v>
      </c>
      <c r="E320" s="244" t="s">
        <v>1605</v>
      </c>
      <c r="F320" s="246" t="s">
        <v>1552</v>
      </c>
      <c r="G320" s="246" t="s">
        <v>2216</v>
      </c>
      <c r="J320" s="10"/>
    </row>
    <row r="321" spans="1:10">
      <c r="A321" s="76"/>
      <c r="B321" s="76" t="str">
        <f t="shared" si="9"/>
        <v>Collettori solari (SIA 2032)</v>
      </c>
      <c r="C321" s="246" t="s">
        <v>822</v>
      </c>
      <c r="D321" s="244" t="s">
        <v>1577</v>
      </c>
      <c r="E321" s="244" t="s">
        <v>1606</v>
      </c>
      <c r="F321" s="246" t="s">
        <v>1553</v>
      </c>
      <c r="G321" s="246" t="s">
        <v>2232</v>
      </c>
      <c r="J321" s="10"/>
    </row>
    <row r="322" spans="1:10">
      <c r="A322" s="76"/>
      <c r="B322" s="76" t="str">
        <f t="shared" si="9"/>
        <v>Sistema di scarico dell'aria di scarico cucina e bagno (SIA 2032)</v>
      </c>
      <c r="C322" s="246" t="s">
        <v>823</v>
      </c>
      <c r="D322" s="244" t="s">
        <v>1578</v>
      </c>
      <c r="E322" s="244" t="s">
        <v>1607</v>
      </c>
      <c r="F322" s="246" t="s">
        <v>1631</v>
      </c>
      <c r="G322" s="246" t="s">
        <v>2209</v>
      </c>
      <c r="J322" s="10"/>
    </row>
    <row r="323" spans="1:10">
      <c r="A323" s="76"/>
      <c r="B323" s="76" t="str">
        <f t="shared" si="9"/>
        <v>Sistema di ventilazione per edifici residenziali (SIA 2032)</v>
      </c>
      <c r="C323" s="246" t="s">
        <v>824</v>
      </c>
      <c r="D323" s="244" t="s">
        <v>1623</v>
      </c>
      <c r="E323" s="244" t="s">
        <v>1628</v>
      </c>
      <c r="F323" s="246" t="s">
        <v>1632</v>
      </c>
      <c r="G323" s="246" t="s">
        <v>2223</v>
      </c>
      <c r="J323" s="10"/>
    </row>
    <row r="324" spans="1:10">
      <c r="A324" s="76"/>
      <c r="B324" s="76" t="str">
        <f t="shared" si="9"/>
        <v>Sistema di ventilazione per uffici (SIA 2032)</v>
      </c>
      <c r="C324" s="246" t="s">
        <v>825</v>
      </c>
      <c r="D324" s="244" t="s">
        <v>1624</v>
      </c>
      <c r="E324" s="244" t="s">
        <v>1627</v>
      </c>
      <c r="F324" s="246" t="s">
        <v>1633</v>
      </c>
      <c r="G324" s="246" t="s">
        <v>2221</v>
      </c>
      <c r="J324" s="10"/>
    </row>
    <row r="325" spans="1:10">
      <c r="A325" s="76"/>
      <c r="B325" s="76" t="str">
        <f t="shared" si="9"/>
        <v>Impianto sanitario per edifici residenziali (SIA 2032)</v>
      </c>
      <c r="C325" s="246" t="s">
        <v>826</v>
      </c>
      <c r="D325" s="244" t="s">
        <v>1625</v>
      </c>
      <c r="E325" s="244" t="s">
        <v>1629</v>
      </c>
      <c r="F325" s="246" t="s">
        <v>1634</v>
      </c>
      <c r="G325" s="246" t="s">
        <v>2228</v>
      </c>
      <c r="J325" s="10"/>
    </row>
    <row r="326" spans="1:10">
      <c r="A326" s="76"/>
      <c r="B326" s="76" t="str">
        <f t="shared" si="9"/>
        <v>Impianto sanitario per uffici (SIA 2032)</v>
      </c>
      <c r="C326" s="246" t="s">
        <v>827</v>
      </c>
      <c r="D326" s="244" t="s">
        <v>1626</v>
      </c>
      <c r="E326" s="244" t="s">
        <v>1630</v>
      </c>
      <c r="F326" s="246" t="s">
        <v>1635</v>
      </c>
      <c r="G326" s="246" t="s">
        <v>2227</v>
      </c>
      <c r="J326" s="10"/>
    </row>
    <row r="327" spans="1:10">
      <c r="A327" s="76"/>
      <c r="B327" s="76" t="str">
        <f t="shared" si="9"/>
        <v>Costruzione in legno, tetto a falda, non isolato (SIA 2032)</v>
      </c>
      <c r="C327" s="246" t="s">
        <v>1888</v>
      </c>
      <c r="D327" s="244" t="s">
        <v>1889</v>
      </c>
      <c r="E327" s="244" t="s">
        <v>1891</v>
      </c>
      <c r="F327" s="246" t="s">
        <v>1892</v>
      </c>
      <c r="G327" s="246" t="s">
        <v>2205</v>
      </c>
      <c r="J327" s="10"/>
    </row>
    <row r="328" spans="1:10">
      <c r="A328" s="76"/>
      <c r="B328" s="76"/>
      <c r="C328" s="188"/>
      <c r="D328" s="213"/>
      <c r="E328" s="71"/>
      <c r="J328" s="10"/>
    </row>
    <row r="329" spans="1:10">
      <c r="A329" s="76"/>
      <c r="B329" s="76"/>
      <c r="D329" s="213"/>
      <c r="E329" s="21"/>
      <c r="J329" s="10"/>
    </row>
    <row r="330" spans="1:10">
      <c r="A330" s="76" t="s">
        <v>234</v>
      </c>
      <c r="B330" s="76" t="str">
        <f t="shared" ref="B330:B352" si="10">INDEX($C330:$F330,1,MATCH(Sprachwahl,ListSprache,0))</f>
        <v>Lastre per pavimento, risanamento interno con rivestimento cementizio, 14 cm XPS (BKT)</v>
      </c>
      <c r="C330" s="21" t="s">
        <v>735</v>
      </c>
      <c r="D330" s="71" t="s">
        <v>1275</v>
      </c>
      <c r="E330" s="21" t="s">
        <v>1041</v>
      </c>
      <c r="F330" s="8" t="s">
        <v>1690</v>
      </c>
      <c r="G330" s="8" t="s">
        <v>2125</v>
      </c>
      <c r="J330" s="10"/>
    </row>
    <row r="331" spans="1:10">
      <c r="A331" s="76"/>
      <c r="B331" s="76" t="str">
        <f t="shared" si="10"/>
        <v>Cappotto su muratura, 20 cm EPS (BTK)</v>
      </c>
      <c r="C331" s="178" t="s">
        <v>736</v>
      </c>
      <c r="D331" s="71" t="s">
        <v>1276</v>
      </c>
      <c r="E331" s="21" t="s">
        <v>1042</v>
      </c>
      <c r="F331" s="8" t="s">
        <v>1691</v>
      </c>
      <c r="G331" s="8" t="s">
        <v>2138</v>
      </c>
      <c r="J331" s="10"/>
    </row>
    <row r="332" spans="1:10">
      <c r="A332" s="76"/>
      <c r="B332" s="76" t="str">
        <f t="shared" si="10"/>
        <v>Isolamento esterno ventilato su muratura, 20 cm lana di roccia (BTK)</v>
      </c>
      <c r="C332" s="21" t="s">
        <v>737</v>
      </c>
      <c r="D332" s="71" t="s">
        <v>1277</v>
      </c>
      <c r="E332" s="21" t="s">
        <v>1043</v>
      </c>
      <c r="F332" s="8" t="s">
        <v>1692</v>
      </c>
      <c r="G332" s="8" t="s">
        <v>2136</v>
      </c>
      <c r="J332" s="10"/>
    </row>
    <row r="333" spans="1:10">
      <c r="A333" s="76"/>
      <c r="B333" s="76" t="str">
        <f t="shared" si="10"/>
        <v xml:space="preserve">Isolamento interno con rivestimento, su muratura, 22 cm lana di roccia (BTK) </v>
      </c>
      <c r="C333" s="21" t="s">
        <v>738</v>
      </c>
      <c r="D333" s="71" t="s">
        <v>1278</v>
      </c>
      <c r="E333" s="21" t="s">
        <v>1044</v>
      </c>
      <c r="F333" s="8" t="s">
        <v>1693</v>
      </c>
      <c r="G333" s="8" t="s">
        <v>2137</v>
      </c>
      <c r="J333" s="10"/>
    </row>
    <row r="334" spans="1:10">
      <c r="A334" s="76"/>
      <c r="B334" s="76" t="str">
        <f t="shared" si="10"/>
        <v>Isolamento esterno su muratura contro non riscaldato (BTK)</v>
      </c>
      <c r="C334" s="21" t="s">
        <v>739</v>
      </c>
      <c r="D334" s="71" t="s">
        <v>1279</v>
      </c>
      <c r="E334" s="21" t="s">
        <v>1045</v>
      </c>
      <c r="F334" s="8" t="s">
        <v>1700</v>
      </c>
      <c r="G334" s="8" t="s">
        <v>2135</v>
      </c>
      <c r="J334" s="10"/>
    </row>
    <row r="335" spans="1:10">
      <c r="A335" s="76"/>
      <c r="B335" s="76" t="str">
        <f t="shared" si="10"/>
        <v>Isolamento esterno su soletta in CLS contro non riscaldato (BTK)</v>
      </c>
      <c r="C335" s="21" t="s">
        <v>740</v>
      </c>
      <c r="D335" s="71" t="s">
        <v>1280</v>
      </c>
      <c r="E335" s="21" t="s">
        <v>1046</v>
      </c>
      <c r="F335" s="8" t="s">
        <v>1701</v>
      </c>
      <c r="G335" s="8" t="s">
        <v>2170</v>
      </c>
      <c r="J335" s="10"/>
    </row>
    <row r="336" spans="1:10">
      <c r="A336" s="76"/>
      <c r="B336" s="76" t="str">
        <f t="shared" si="10"/>
        <v>Isolamento interno con rivestimento del soffitto di una soletta in CLS isolata, contro non riscaldato (BTK)</v>
      </c>
      <c r="C336" s="21" t="s">
        <v>741</v>
      </c>
      <c r="D336" s="71" t="s">
        <v>1281</v>
      </c>
      <c r="E336" s="21" t="s">
        <v>1047</v>
      </c>
      <c r="F336" s="8" t="s">
        <v>1702</v>
      </c>
      <c r="G336" s="8" t="s">
        <v>2186</v>
      </c>
      <c r="J336" s="10"/>
    </row>
    <row r="337" spans="1:10">
      <c r="A337" s="76"/>
      <c r="B337" s="76" t="str">
        <f t="shared" si="10"/>
        <v>Isolamento tra i travetti di un solaio verso non riscaldato (BTK)</v>
      </c>
      <c r="C337" s="21" t="s">
        <v>742</v>
      </c>
      <c r="D337" s="71" t="s">
        <v>1282</v>
      </c>
      <c r="E337" s="21" t="s">
        <v>1048</v>
      </c>
      <c r="F337" s="8" t="s">
        <v>1703</v>
      </c>
      <c r="G337" s="8" t="s">
        <v>2188</v>
      </c>
      <c r="J337" s="10"/>
    </row>
    <row r="338" spans="1:10">
      <c r="A338" s="76"/>
      <c r="B338" s="76" t="str">
        <f t="shared" si="10"/>
        <v>Isolamento interno sotto un solaio con travetti riempito di scorie, verso non riscaldato (BTK)</v>
      </c>
      <c r="C338" s="21" t="s">
        <v>743</v>
      </c>
      <c r="D338" s="71" t="s">
        <v>1283</v>
      </c>
      <c r="E338" s="21" t="s">
        <v>1049</v>
      </c>
      <c r="F338" s="8" t="s">
        <v>1704</v>
      </c>
      <c r="G338" s="8" t="s">
        <v>2187</v>
      </c>
      <c r="J338" s="10"/>
    </row>
    <row r="339" spans="1:10">
      <c r="A339" s="76"/>
      <c r="B339" s="76" t="str">
        <f t="shared" si="10"/>
        <v>Isolamento interno sopra un solaio isolato con travetti, 16 cm lana di roccia (BTK)</v>
      </c>
      <c r="C339" s="21" t="s">
        <v>744</v>
      </c>
      <c r="D339" s="71" t="s">
        <v>1284</v>
      </c>
      <c r="E339" s="21" t="s">
        <v>1050</v>
      </c>
      <c r="F339" s="8" t="s">
        <v>1694</v>
      </c>
      <c r="G339" s="8" t="s">
        <v>2185</v>
      </c>
      <c r="J339" s="10"/>
    </row>
    <row r="340" spans="1:10">
      <c r="A340" s="76"/>
      <c r="B340" s="76" t="str">
        <f t="shared" si="10"/>
        <v>Doppio tetto su soletta in CLS (BTK)</v>
      </c>
      <c r="C340" s="21" t="s">
        <v>745</v>
      </c>
      <c r="D340" s="71" t="s">
        <v>1285</v>
      </c>
      <c r="E340" s="21" t="s">
        <v>1051</v>
      </c>
      <c r="F340" s="8" t="s">
        <v>1695</v>
      </c>
      <c r="G340" s="8" t="s">
        <v>2193</v>
      </c>
      <c r="J340" s="10"/>
    </row>
    <row r="341" spans="1:10">
      <c r="A341" s="76"/>
      <c r="B341" s="76" t="str">
        <f t="shared" si="10"/>
        <v>Tetto rovescio / aggiunto su soletta in CLS, 22 cm XPS (BTK)</v>
      </c>
      <c r="C341" s="21" t="s">
        <v>746</v>
      </c>
      <c r="D341" s="71" t="s">
        <v>1286</v>
      </c>
      <c r="E341" s="21" t="s">
        <v>1052</v>
      </c>
      <c r="F341" s="8" t="s">
        <v>1696</v>
      </c>
      <c r="G341" s="8" t="s">
        <v>2196</v>
      </c>
      <c r="J341" s="10"/>
    </row>
    <row r="342" spans="1:10">
      <c r="A342" s="76"/>
      <c r="B342" s="76" t="str">
        <f t="shared" si="10"/>
        <v>Tetto doppio calpestabile su soletta in CLS (BTK)</v>
      </c>
      <c r="C342" s="21" t="s">
        <v>747</v>
      </c>
      <c r="D342" s="71" t="s">
        <v>1287</v>
      </c>
      <c r="E342" s="21" t="s">
        <v>1053</v>
      </c>
      <c r="F342" s="8" t="s">
        <v>1697</v>
      </c>
      <c r="G342" s="8" t="s">
        <v>2194</v>
      </c>
      <c r="J342" s="10"/>
    </row>
    <row r="343" spans="1:10">
      <c r="A343" s="76"/>
      <c r="B343" s="76" t="str">
        <f t="shared" si="10"/>
        <v>Risanamento esterno tetto a falde non isolato (BTK)</v>
      </c>
      <c r="C343" s="21" t="s">
        <v>748</v>
      </c>
      <c r="D343" s="71" t="s">
        <v>1288</v>
      </c>
      <c r="E343" s="21" t="s">
        <v>1054</v>
      </c>
      <c r="F343" s="8" t="s">
        <v>1698</v>
      </c>
      <c r="G343" s="8" t="s">
        <v>2192</v>
      </c>
      <c r="J343" s="10"/>
    </row>
    <row r="344" spans="1:10">
      <c r="A344" s="76"/>
      <c r="B344" s="76" t="str">
        <f t="shared" si="10"/>
        <v>Risanamento strutturale tetto a falde non isolato (BTK)</v>
      </c>
      <c r="C344" s="21" t="s">
        <v>749</v>
      </c>
      <c r="D344" s="71" t="s">
        <v>1289</v>
      </c>
      <c r="E344" s="21" t="s">
        <v>1055</v>
      </c>
      <c r="F344" s="8" t="s">
        <v>1699</v>
      </c>
      <c r="G344" s="8" t="s">
        <v>2195</v>
      </c>
      <c r="J344" s="10"/>
    </row>
    <row r="345" spans="1:10">
      <c r="A345" s="76"/>
      <c r="B345" s="76">
        <f t="shared" si="10"/>
        <v>0</v>
      </c>
      <c r="C345" s="188" t="s">
        <v>726</v>
      </c>
      <c r="D345" s="77"/>
      <c r="E345" s="21"/>
      <c r="J345" s="10"/>
    </row>
    <row r="346" spans="1:10">
      <c r="A346" s="76"/>
      <c r="B346" s="76">
        <f t="shared" si="10"/>
        <v>0</v>
      </c>
      <c r="C346" s="188" t="s">
        <v>727</v>
      </c>
      <c r="D346" s="77"/>
      <c r="E346" s="21"/>
      <c r="J346" s="10"/>
    </row>
    <row r="347" spans="1:10">
      <c r="A347" s="76"/>
      <c r="B347" s="76">
        <f t="shared" si="10"/>
        <v>0</v>
      </c>
      <c r="C347" s="188" t="s">
        <v>728</v>
      </c>
      <c r="D347" s="77"/>
      <c r="E347" s="21"/>
      <c r="J347" s="10"/>
    </row>
    <row r="348" spans="1:10">
      <c r="A348" s="76"/>
      <c r="B348" s="76">
        <f t="shared" si="10"/>
        <v>0</v>
      </c>
      <c r="C348" s="188" t="s">
        <v>729</v>
      </c>
      <c r="D348" s="77"/>
      <c r="E348" s="21"/>
      <c r="J348" s="10"/>
    </row>
    <row r="349" spans="1:10">
      <c r="A349" s="76"/>
      <c r="B349" s="76">
        <f t="shared" si="10"/>
        <v>0</v>
      </c>
      <c r="C349" s="188" t="s">
        <v>730</v>
      </c>
      <c r="D349" s="77"/>
      <c r="E349" s="21"/>
      <c r="J349" s="10"/>
    </row>
    <row r="350" spans="1:10">
      <c r="A350" s="76"/>
      <c r="B350" s="76">
        <f t="shared" si="10"/>
        <v>0</v>
      </c>
      <c r="C350" s="188" t="s">
        <v>731</v>
      </c>
      <c r="D350" s="77"/>
      <c r="E350" s="21"/>
      <c r="J350" s="10"/>
    </row>
    <row r="351" spans="1:10">
      <c r="A351" s="76"/>
      <c r="B351" s="76">
        <f t="shared" si="10"/>
        <v>0</v>
      </c>
      <c r="C351" s="188" t="s">
        <v>732</v>
      </c>
      <c r="D351" s="77"/>
      <c r="E351" s="21"/>
      <c r="J351" s="10"/>
    </row>
    <row r="352" spans="1:10">
      <c r="A352" s="76"/>
      <c r="B352" s="76">
        <f t="shared" si="10"/>
        <v>0</v>
      </c>
      <c r="C352" s="188" t="s">
        <v>733</v>
      </c>
      <c r="D352" s="77"/>
      <c r="E352" s="21"/>
      <c r="J352" s="10"/>
    </row>
    <row r="353" spans="1:10">
      <c r="A353" s="76"/>
      <c r="B353" s="76">
        <f t="shared" ref="B353:B359" si="11">INDEX($C353:$F353,1,MATCH(Sprachwahl,ListSprache,0))</f>
        <v>0</v>
      </c>
      <c r="C353" s="188" t="s">
        <v>734</v>
      </c>
      <c r="D353" s="77"/>
      <c r="E353" s="21"/>
      <c r="J353" s="10"/>
    </row>
    <row r="354" spans="1:10">
      <c r="A354" s="76"/>
      <c r="B354" s="76">
        <f t="shared" si="11"/>
        <v>0</v>
      </c>
      <c r="C354" s="188" t="s">
        <v>235</v>
      </c>
      <c r="D354" s="77"/>
      <c r="E354" s="21"/>
      <c r="J354" s="10"/>
    </row>
    <row r="355" spans="1:10">
      <c r="A355" s="76"/>
      <c r="B355" s="76">
        <f t="shared" si="11"/>
        <v>0</v>
      </c>
      <c r="C355" s="188" t="s">
        <v>236</v>
      </c>
      <c r="D355" s="77"/>
      <c r="E355" s="21"/>
      <c r="J355" s="10"/>
    </row>
    <row r="356" spans="1:10">
      <c r="A356" s="76"/>
      <c r="B356" s="76">
        <f t="shared" si="11"/>
        <v>0</v>
      </c>
      <c r="C356" s="188" t="s">
        <v>237</v>
      </c>
      <c r="D356" s="77"/>
      <c r="E356" s="21"/>
      <c r="J356" s="10"/>
    </row>
    <row r="357" spans="1:10">
      <c r="A357" s="76"/>
      <c r="B357" s="76">
        <f t="shared" si="11"/>
        <v>0</v>
      </c>
      <c r="C357" s="188" t="s">
        <v>238</v>
      </c>
      <c r="D357" s="77"/>
      <c r="E357" s="21"/>
      <c r="J357" s="10"/>
    </row>
    <row r="358" spans="1:10">
      <c r="A358" s="76"/>
      <c r="B358" s="76">
        <f t="shared" si="11"/>
        <v>0</v>
      </c>
      <c r="C358" s="188" t="s">
        <v>239</v>
      </c>
      <c r="D358" s="77"/>
      <c r="E358" s="21"/>
      <c r="J358" s="10"/>
    </row>
    <row r="359" spans="1:10">
      <c r="A359" s="76"/>
      <c r="B359" s="76">
        <f t="shared" si="11"/>
        <v>0</v>
      </c>
      <c r="C359" s="188" t="s">
        <v>240</v>
      </c>
      <c r="D359" s="77"/>
      <c r="E359" s="21"/>
      <c r="J359" s="10"/>
    </row>
    <row r="360" spans="1:10">
      <c r="A360" s="76"/>
      <c r="B360" s="76"/>
      <c r="D360" s="77"/>
      <c r="E360" s="21"/>
      <c r="J360" s="10"/>
    </row>
    <row r="361" spans="1:10">
      <c r="A361" s="11" t="s">
        <v>56</v>
      </c>
      <c r="B361" s="11"/>
      <c r="C361" s="182"/>
      <c r="D361" s="235"/>
      <c r="E361" s="11"/>
      <c r="F361" s="11"/>
      <c r="J361" s="10"/>
    </row>
    <row r="362" spans="1:10">
      <c r="A362" s="11" t="s">
        <v>39</v>
      </c>
      <c r="B362" s="11" t="s">
        <v>40</v>
      </c>
      <c r="C362" s="182" t="str">
        <f>C$4</f>
        <v>Deutsch</v>
      </c>
      <c r="D362" s="235" t="str">
        <f>D$4</f>
        <v>Francais</v>
      </c>
      <c r="E362" s="11" t="str">
        <f>E$4</f>
        <v>Italiano</v>
      </c>
      <c r="F362" s="11" t="str">
        <f>F$4</f>
        <v>English</v>
      </c>
      <c r="J362" s="10"/>
    </row>
    <row r="363" spans="1:10">
      <c r="A363" s="76" t="s">
        <v>57</v>
      </c>
      <c r="B363" s="76" t="str">
        <f>INDEX($C363:$F363,1,MATCH(Sprachwahl,ListSprache,0))</f>
        <v>ampiamente soddisfatte</v>
      </c>
      <c r="C363" s="188" t="s">
        <v>34</v>
      </c>
      <c r="D363" s="77" t="s">
        <v>74</v>
      </c>
      <c r="E363" s="21" t="s">
        <v>1056</v>
      </c>
      <c r="F363" s="8" t="s">
        <v>139</v>
      </c>
    </row>
    <row r="364" spans="1:10">
      <c r="A364" s="76"/>
      <c r="B364" s="76" t="str">
        <f>INDEX($C364:$F364,1,MATCH(Sprachwahl,ListSprache,0))</f>
        <v>soddisfatte</v>
      </c>
      <c r="C364" s="188" t="s">
        <v>35</v>
      </c>
      <c r="D364" s="77" t="s">
        <v>72</v>
      </c>
      <c r="E364" s="21" t="s">
        <v>1057</v>
      </c>
      <c r="F364" s="8" t="s">
        <v>140</v>
      </c>
    </row>
    <row r="365" spans="1:10">
      <c r="A365" s="76"/>
      <c r="B365" s="76" t="str">
        <f>INDEX($C365:$F365,1,MATCH(Sprachwahl,ListSprache,0))</f>
        <v>non soddisfatte</v>
      </c>
      <c r="C365" s="188" t="s">
        <v>36</v>
      </c>
      <c r="D365" s="77" t="s">
        <v>73</v>
      </c>
      <c r="E365" s="21" t="s">
        <v>1058</v>
      </c>
      <c r="F365" s="8" t="s">
        <v>141</v>
      </c>
    </row>
    <row r="366" spans="1:10">
      <c r="A366" s="76"/>
      <c r="B366" s="76"/>
      <c r="D366" s="77"/>
      <c r="E366" s="21"/>
    </row>
    <row r="367" spans="1:10">
      <c r="A367" s="76" t="s">
        <v>350</v>
      </c>
      <c r="B367" s="76" t="str">
        <f>INDEX($C367:$F367,1,MATCH(Sprachwahl,ListSprache,0))</f>
        <v>Nessun limite definito</v>
      </c>
      <c r="C367" s="21" t="s">
        <v>351</v>
      </c>
      <c r="D367" s="77" t="s">
        <v>1290</v>
      </c>
      <c r="E367" s="21" t="s">
        <v>754</v>
      </c>
      <c r="F367" s="8" t="s">
        <v>753</v>
      </c>
    </row>
    <row r="368" spans="1:10">
      <c r="A368" s="76"/>
      <c r="B368" s="76" t="str">
        <f>INDEX($C368:$F368,1,MATCH(Sprachwahl,ListSprache,0))</f>
        <v>Minergie-Eco valore limite</v>
      </c>
      <c r="C368" s="21" t="s">
        <v>1779</v>
      </c>
      <c r="D368" s="77" t="s">
        <v>1780</v>
      </c>
      <c r="E368" s="21" t="s">
        <v>1781</v>
      </c>
      <c r="F368" s="8" t="s">
        <v>1782</v>
      </c>
    </row>
    <row r="369" spans="1:6">
      <c r="A369" s="76"/>
      <c r="B369" s="76" t="str">
        <f>INDEX($C369:$F369,1,MATCH(Sprachwahl,ListSprache,0))</f>
        <v>Valore mirato</v>
      </c>
      <c r="C369" s="21" t="s">
        <v>352</v>
      </c>
      <c r="D369" s="77" t="s">
        <v>755</v>
      </c>
      <c r="E369" s="21" t="s">
        <v>1059</v>
      </c>
      <c r="F369" s="8" t="s">
        <v>752</v>
      </c>
    </row>
    <row r="370" spans="1:6" ht="25.5">
      <c r="A370" s="76"/>
      <c r="B370" s="76" t="str">
        <f>INDEX($C370:$F370,1,MATCH(Sprachwahl,ListSprache,0))</f>
        <v>Valori limite SNBS vedi manuale SNBS</v>
      </c>
      <c r="C370" s="21" t="s">
        <v>1822</v>
      </c>
      <c r="D370" s="77" t="s">
        <v>1825</v>
      </c>
      <c r="E370" s="21" t="s">
        <v>1823</v>
      </c>
      <c r="F370" s="8" t="s">
        <v>1824</v>
      </c>
    </row>
    <row r="371" spans="1:6">
      <c r="A371" s="76"/>
      <c r="B371" s="76"/>
      <c r="D371" s="77"/>
      <c r="E371" s="21"/>
    </row>
    <row r="372" spans="1:6">
      <c r="A372" s="76" t="s">
        <v>65</v>
      </c>
      <c r="B372" s="76" t="str">
        <f>INDEX($C372:$F372,1,MATCH(Sprachwahl,ListSprache,0))</f>
        <v>Nuova costruzione</v>
      </c>
      <c r="C372" s="21" t="s">
        <v>4</v>
      </c>
      <c r="D372" s="77" t="s">
        <v>1291</v>
      </c>
      <c r="E372" s="21" t="s">
        <v>1060</v>
      </c>
      <c r="F372" s="8" t="s">
        <v>10</v>
      </c>
    </row>
    <row r="373" spans="1:6">
      <c r="A373" s="76"/>
      <c r="B373" s="76" t="str">
        <f>INDEX($C373:$F373,1,MATCH(Sprachwahl,ListSprache,0))</f>
        <v>Ammodernamento</v>
      </c>
      <c r="C373" s="21" t="s">
        <v>7</v>
      </c>
      <c r="D373" s="77" t="s">
        <v>1292</v>
      </c>
      <c r="E373" s="21" t="s">
        <v>101</v>
      </c>
      <c r="F373" s="8" t="s">
        <v>11</v>
      </c>
    </row>
    <row r="374" spans="1:6">
      <c r="A374" s="76"/>
      <c r="B374" s="76"/>
      <c r="D374" s="77"/>
      <c r="E374" s="21"/>
    </row>
    <row r="375" spans="1:6" ht="25.5">
      <c r="A375" s="76" t="s">
        <v>66</v>
      </c>
      <c r="B375" s="76" t="str">
        <f>INDEX($C375:$F375,1,MATCH(Sprachwahl,ListSprache,0))</f>
        <v>Riempire prima il foglio 'Questionario_ammodernamento'</v>
      </c>
      <c r="C375" s="21" t="str">
        <f>"Bitte zuerst Tabelle '"&amp;SheetQuestionaire&amp;"' vollständig ausfüllen."</f>
        <v>Bitte zuerst Tabelle 'Questionario_ammodernamento' vollständig ausfüllen.</v>
      </c>
      <c r="D375" s="77" t="str">
        <f>"Remplir en premier la feuille '"&amp;SheetQuestionaire&amp;"'"</f>
        <v>Remplir en premier la feuille 'Questionario_ammodernamento'</v>
      </c>
      <c r="E375" s="71" t="str">
        <f>"Riempire prima il foglio '"&amp;SheetQuestionaire&amp;"'"</f>
        <v>Riempire prima il foglio 'Questionario_ammodernamento'</v>
      </c>
      <c r="F375" s="8" t="str">
        <f>"Please fill out the sheet '"&amp;SheetQuestionaire&amp;"' first"</f>
        <v>Please fill out the sheet 'Questionario_ammodernamento' first</v>
      </c>
    </row>
    <row r="376" spans="1:6" ht="25.5">
      <c r="A376" s="76"/>
      <c r="B376" s="76" t="str">
        <f>INDEX($C376:$F376,1,MATCH(Sprachwahl,ListSprache,0))</f>
        <v>Riempire direttamente la tabella 'Calcolo'</v>
      </c>
      <c r="C376" s="21" t="str">
        <f>"Bitte direkt Tabellenblatt '"&amp;SheetBuildgData&amp;"' ausfüllen"</f>
        <v>Bitte direkt Tabellenblatt 'Calcolo' ausfüllen</v>
      </c>
      <c r="D376" s="77" t="str">
        <f>"Remplir directement la feuille '"&amp;SheetBuildgData&amp;"'"</f>
        <v>Remplir directement la feuille 'Calcolo'</v>
      </c>
      <c r="E376" s="71" t="str">
        <f>"Riempire direttamente la tabella '"&amp;SheetBuildgData&amp;"'"</f>
        <v>Riempire direttamente la tabella 'Calcolo'</v>
      </c>
      <c r="F376" s="8" t="str">
        <f>"Please fill out the sheet '"&amp;SheetBuildgData&amp;"'"</f>
        <v>Please fill out the sheet 'Calcolo'</v>
      </c>
    </row>
    <row r="377" spans="1:6">
      <c r="A377" s="76"/>
      <c r="B377" s="76"/>
      <c r="D377" s="77"/>
      <c r="E377" s="21"/>
    </row>
    <row r="378" spans="1:6">
      <c r="A378" s="76" t="s">
        <v>67</v>
      </c>
      <c r="B378" s="76" t="str">
        <f>INDEX($C378:$F378,1,MATCH(Sprachwahl,ListSprache,0))</f>
        <v>Si</v>
      </c>
      <c r="C378" s="21" t="s">
        <v>20</v>
      </c>
      <c r="D378" s="77" t="s">
        <v>78</v>
      </c>
      <c r="E378" s="21" t="s">
        <v>102</v>
      </c>
      <c r="F378" s="8" t="s">
        <v>106</v>
      </c>
    </row>
    <row r="379" spans="1:6">
      <c r="A379" s="76"/>
      <c r="B379" s="76" t="str">
        <f>INDEX($C379:$F379,1,MATCH(Sprachwahl,ListSprache,0))</f>
        <v>No</v>
      </c>
      <c r="C379" s="21" t="s">
        <v>19</v>
      </c>
      <c r="D379" s="77" t="s">
        <v>77</v>
      </c>
      <c r="E379" s="21" t="s">
        <v>103</v>
      </c>
      <c r="F379" s="8" t="s">
        <v>103</v>
      </c>
    </row>
    <row r="380" spans="1:6">
      <c r="A380" s="76"/>
      <c r="B380" s="76"/>
      <c r="D380" s="77"/>
      <c r="E380" s="21"/>
    </row>
    <row r="381" spans="1:6">
      <c r="A381" s="76" t="s">
        <v>1884</v>
      </c>
      <c r="B381" s="76" t="str">
        <f>INDEX($C381:$F381,1,MATCH(Sprachwahl,ListSprache,0))</f>
        <v>Riassunto</v>
      </c>
      <c r="C381" s="21" t="s">
        <v>104</v>
      </c>
      <c r="D381" s="77" t="s">
        <v>105</v>
      </c>
      <c r="E381" s="21" t="s">
        <v>83</v>
      </c>
      <c r="F381" s="8" t="s">
        <v>90</v>
      </c>
    </row>
    <row r="382" spans="1:6">
      <c r="A382" s="76"/>
      <c r="B382" s="76" t="str">
        <f>INDEX($C382:$F382,1,MATCH(Sprachwahl,ListSprache,0))</f>
        <v>Calcolo</v>
      </c>
      <c r="C382" s="21" t="s">
        <v>185</v>
      </c>
      <c r="D382" s="77" t="s">
        <v>1293</v>
      </c>
      <c r="E382" s="21" t="s">
        <v>751</v>
      </c>
      <c r="F382" s="8" t="s">
        <v>750</v>
      </c>
    </row>
    <row r="383" spans="1:6">
      <c r="A383" s="76"/>
      <c r="B383" s="76" t="str">
        <f>INDEX($C383:$F383,1,MATCH(Sprachwahl,ListSprache,0))</f>
        <v>Questionario_ammodernamento</v>
      </c>
      <c r="C383" s="21" t="s">
        <v>142</v>
      </c>
      <c r="D383" s="77" t="s">
        <v>1294</v>
      </c>
      <c r="E383" s="21" t="s">
        <v>143</v>
      </c>
      <c r="F383" s="8" t="s">
        <v>144</v>
      </c>
    </row>
    <row r="384" spans="1:6">
      <c r="D384" s="77"/>
    </row>
    <row r="385" spans="1:11">
      <c r="A385" s="11" t="s">
        <v>108</v>
      </c>
      <c r="B385" s="11"/>
      <c r="C385" s="182"/>
      <c r="D385" s="216"/>
      <c r="E385" s="11"/>
      <c r="F385" s="11"/>
      <c r="G385" s="11"/>
      <c r="H385" s="301" t="s">
        <v>1689</v>
      </c>
      <c r="I385" s="301"/>
      <c r="J385" s="301"/>
      <c r="K385" s="301"/>
    </row>
    <row r="386" spans="1:11">
      <c r="A386" s="11" t="s">
        <v>118</v>
      </c>
      <c r="B386" s="11" t="s">
        <v>119</v>
      </c>
      <c r="C386" s="182" t="s">
        <v>40</v>
      </c>
      <c r="D386" s="216" t="str">
        <f>$C$4</f>
        <v>Deutsch</v>
      </c>
      <c r="E386" s="11" t="str">
        <f>D$4</f>
        <v>Francais</v>
      </c>
      <c r="F386" s="11" t="str">
        <f>E$4</f>
        <v>Italiano</v>
      </c>
      <c r="G386" s="11" t="str">
        <f>F$4</f>
        <v>English</v>
      </c>
      <c r="H386" s="216" t="str">
        <f>$C$4</f>
        <v>Deutsch</v>
      </c>
      <c r="I386" s="11" t="str">
        <f>$D$4</f>
        <v>Francais</v>
      </c>
      <c r="J386" s="11" t="str">
        <f>$E$4</f>
        <v>Italiano</v>
      </c>
      <c r="K386" s="11" t="str">
        <f>$F$4</f>
        <v>English</v>
      </c>
    </row>
    <row r="387" spans="1:11" s="10" customFormat="1">
      <c r="A387" s="221">
        <v>1</v>
      </c>
      <c r="B387" s="167" t="s">
        <v>1638</v>
      </c>
      <c r="C387" s="189" t="str">
        <f t="shared" ref="C387:C406" si="12">INDEX($D387:$G387,1,MATCH(Sprachwahl,ListSprache,0))</f>
        <v>Nome del progetto</v>
      </c>
      <c r="D387" s="71" t="s">
        <v>16</v>
      </c>
      <c r="E387" s="10" t="s">
        <v>1659</v>
      </c>
      <c r="F387" s="10" t="s">
        <v>1670</v>
      </c>
      <c r="G387" s="10" t="s">
        <v>1649</v>
      </c>
      <c r="H387" s="222" t="str">
        <f>IF(LEN(D387)&lt;33,"OK","Fehler")</f>
        <v>OK</v>
      </c>
      <c r="I387" s="222" t="str">
        <f>IF(LEN(E387)&lt;33,"OK","Fehler")</f>
        <v>OK</v>
      </c>
      <c r="J387" s="222" t="str">
        <f>IF(LEN(F387)&lt;33,"OK","Fehler")</f>
        <v>OK</v>
      </c>
      <c r="K387" s="222" t="str">
        <f>IF(LEN(G387)&lt;33,"OK","Fehler")</f>
        <v>OK</v>
      </c>
    </row>
    <row r="388" spans="1:11" s="10" customFormat="1">
      <c r="A388" s="221"/>
      <c r="B388" s="167"/>
      <c r="C388" s="189" t="str">
        <f t="shared" si="12"/>
        <v>Inserire un nome unico per il progetto.</v>
      </c>
      <c r="D388" s="71" t="s">
        <v>1640</v>
      </c>
      <c r="E388" s="10" t="s">
        <v>1660</v>
      </c>
      <c r="F388" s="10" t="s">
        <v>1671</v>
      </c>
      <c r="G388" s="10" t="s">
        <v>1650</v>
      </c>
      <c r="H388" s="222" t="str">
        <f>IF(LEN(D388)&lt;256,"OK","Fehler")</f>
        <v>OK</v>
      </c>
      <c r="I388" s="222" t="str">
        <f>IF(LEN(E388)&lt;256,"OK","Fehler")</f>
        <v>OK</v>
      </c>
      <c r="J388" s="222" t="str">
        <f>IF(LEN(F388)&lt;256,"OK","Fehler")</f>
        <v>OK</v>
      </c>
      <c r="K388" s="222" t="str">
        <f>IF(LEN(G388)&lt;256,"OK","Fehler")</f>
        <v>OK</v>
      </c>
    </row>
    <row r="389" spans="1:11" s="10" customFormat="1">
      <c r="A389" s="221"/>
      <c r="B389" s="167"/>
      <c r="C389" s="189" t="str">
        <f t="shared" si="12"/>
        <v>Errore</v>
      </c>
      <c r="D389" s="71" t="s">
        <v>120</v>
      </c>
      <c r="E389" s="10" t="s">
        <v>135</v>
      </c>
      <c r="F389" s="10" t="s">
        <v>124</v>
      </c>
      <c r="G389" s="10" t="s">
        <v>131</v>
      </c>
      <c r="H389" s="222" t="str">
        <f>IF(LEN(D389)&lt;33,"OK","Fehler")</f>
        <v>OK</v>
      </c>
      <c r="I389" s="222" t="str">
        <f>IF(LEN(E389)&lt;33,"OK","Fehler")</f>
        <v>OK</v>
      </c>
      <c r="J389" s="222" t="str">
        <f>IF(LEN(F389)&lt;33,"OK","Fehler")</f>
        <v>OK</v>
      </c>
      <c r="K389" s="222" t="str">
        <f>IF(LEN(G389)&lt;33,"OK","Fehler")</f>
        <v>OK</v>
      </c>
    </row>
    <row r="390" spans="1:11" s="10" customFormat="1">
      <c r="A390" s="221"/>
      <c r="B390" s="167"/>
      <c r="C390" s="189" t="str">
        <f t="shared" si="12"/>
        <v>È possibile inserire un massimo di 256 caratteri per riga.</v>
      </c>
      <c r="D390" s="71" t="s">
        <v>1645</v>
      </c>
      <c r="E390" s="10" t="s">
        <v>1661</v>
      </c>
      <c r="F390" s="10" t="s">
        <v>1672</v>
      </c>
      <c r="G390" s="10" t="s">
        <v>1651</v>
      </c>
      <c r="H390" s="222" t="str">
        <f>IF(LEN(D390)&lt;256,"OK","Fehler")</f>
        <v>OK</v>
      </c>
      <c r="I390" s="222" t="str">
        <f>IF(LEN(E390)&lt;256,"OK","Fehler")</f>
        <v>OK</v>
      </c>
      <c r="J390" s="222" t="str">
        <f>IF(LEN(F390)&lt;256,"OK","Fehler")</f>
        <v>OK</v>
      </c>
      <c r="K390" s="222" t="str">
        <f>IF(LEN(G390)&lt;256,"OK","Fehler")</f>
        <v>OK</v>
      </c>
    </row>
    <row r="391" spans="1:11" s="10" customFormat="1">
      <c r="A391" s="221">
        <v>1</v>
      </c>
      <c r="B391" s="167" t="s">
        <v>1646</v>
      </c>
      <c r="C391" s="189" t="str">
        <f t="shared" si="12"/>
        <v>Tipo di progetto</v>
      </c>
      <c r="D391" s="71" t="s">
        <v>6</v>
      </c>
      <c r="E391" s="10" t="s">
        <v>69</v>
      </c>
      <c r="F391" s="10" t="s">
        <v>1673</v>
      </c>
      <c r="G391" s="10" t="s">
        <v>87</v>
      </c>
      <c r="H391" s="222" t="str">
        <f>IF(LEN(D391)&lt;33,"OK","Fehler")</f>
        <v>OK</v>
      </c>
      <c r="I391" s="222" t="str">
        <f>IF(LEN(E391)&lt;33,"OK","Fehler")</f>
        <v>OK</v>
      </c>
      <c r="J391" s="222" t="str">
        <f>IF(LEN(F391)&lt;33,"OK","Fehler")</f>
        <v>OK</v>
      </c>
      <c r="K391" s="222" t="str">
        <f>IF(LEN(G391)&lt;33,"OK","Fehler")</f>
        <v>OK</v>
      </c>
    </row>
    <row r="392" spans="1:11" s="10" customFormat="1">
      <c r="A392" s="221"/>
      <c r="B392" s="167"/>
      <c r="C392" s="189" t="str">
        <f t="shared" si="12"/>
        <v>Selezionare un tipo di progetto dall'elenco.</v>
      </c>
      <c r="D392" s="71" t="s">
        <v>1641</v>
      </c>
      <c r="E392" s="10" t="s">
        <v>1662</v>
      </c>
      <c r="F392" s="10" t="s">
        <v>1674</v>
      </c>
      <c r="G392" s="10" t="s">
        <v>1652</v>
      </c>
      <c r="H392" s="222" t="str">
        <f>IF(LEN(D392)&lt;256,"OK","Fehler")</f>
        <v>OK</v>
      </c>
      <c r="I392" s="222" t="str">
        <f>IF(LEN(E392)&lt;256,"OK","Fehler")</f>
        <v>OK</v>
      </c>
      <c r="J392" s="222" t="str">
        <f>IF(LEN(F392)&lt;256,"OK","Fehler")</f>
        <v>OK</v>
      </c>
      <c r="K392" s="222" t="str">
        <f>IF(LEN(G392)&lt;256,"OK","Fehler")</f>
        <v>OK</v>
      </c>
    </row>
    <row r="393" spans="1:11" s="10" customFormat="1">
      <c r="A393" s="221"/>
      <c r="B393" s="167"/>
      <c r="C393" s="189" t="str">
        <f t="shared" si="12"/>
        <v>Errore</v>
      </c>
      <c r="D393" s="71" t="s">
        <v>120</v>
      </c>
      <c r="E393" s="10" t="s">
        <v>135</v>
      </c>
      <c r="F393" s="10" t="s">
        <v>124</v>
      </c>
      <c r="G393" s="10" t="s">
        <v>131</v>
      </c>
      <c r="H393" s="222" t="str">
        <f>IF(LEN(D393)&lt;33,"OK","Fehler")</f>
        <v>OK</v>
      </c>
      <c r="I393" s="222" t="str">
        <f>IF(LEN(E393)&lt;33,"OK","Fehler")</f>
        <v>OK</v>
      </c>
      <c r="J393" s="222" t="str">
        <f>IF(LEN(F393)&lt;33,"OK","Fehler")</f>
        <v>OK</v>
      </c>
      <c r="K393" s="222" t="str">
        <f>IF(LEN(G393)&lt;33,"OK","Fehler")</f>
        <v>OK</v>
      </c>
    </row>
    <row r="394" spans="1:11" s="10" customFormat="1">
      <c r="A394" s="221"/>
      <c r="B394" s="167"/>
      <c r="C394" s="189" t="str">
        <f t="shared" si="12"/>
        <v>È necessario selezionare una voce dall'elenco.</v>
      </c>
      <c r="D394" s="71" t="s">
        <v>12</v>
      </c>
      <c r="E394" s="10" t="s">
        <v>1663</v>
      </c>
      <c r="F394" s="10" t="s">
        <v>1062</v>
      </c>
      <c r="G394" s="10" t="s">
        <v>1398</v>
      </c>
      <c r="H394" s="222" t="str">
        <f>IF(LEN(D394)&lt;256,"OK","Fehler")</f>
        <v>OK</v>
      </c>
      <c r="I394" s="222" t="str">
        <f>IF(LEN(E394)&lt;256,"OK","Fehler")</f>
        <v>OK</v>
      </c>
      <c r="J394" s="222" t="str">
        <f>IF(LEN(F394)&lt;256,"OK","Fehler")</f>
        <v>OK</v>
      </c>
      <c r="K394" s="222" t="str">
        <f>IF(LEN(G394)&lt;256,"OK","Fehler")</f>
        <v>OK</v>
      </c>
    </row>
    <row r="395" spans="1:11" s="10" customFormat="1">
      <c r="A395" s="221">
        <v>1</v>
      </c>
      <c r="B395" s="167" t="s">
        <v>1647</v>
      </c>
      <c r="C395" s="189" t="str">
        <f t="shared" si="12"/>
        <v>Certificato desiderato</v>
      </c>
      <c r="D395" s="71" t="s">
        <v>306</v>
      </c>
      <c r="E395" s="10" t="s">
        <v>1664</v>
      </c>
      <c r="F395" s="10" t="s">
        <v>881</v>
      </c>
      <c r="G395" s="10" t="s">
        <v>1653</v>
      </c>
      <c r="H395" s="222" t="str">
        <f>IF(LEN(D395)&lt;33,"OK","Fehler")</f>
        <v>OK</v>
      </c>
      <c r="I395" s="222" t="str">
        <f>IF(LEN(E395)&lt;33,"OK","Fehler")</f>
        <v>OK</v>
      </c>
      <c r="J395" s="222" t="str">
        <f>IF(LEN(F395)&lt;33,"OK","Fehler")</f>
        <v>OK</v>
      </c>
      <c r="K395" s="222" t="str">
        <f>IF(LEN(G395)&lt;33,"OK","Fehler")</f>
        <v>OK</v>
      </c>
    </row>
    <row r="396" spans="1:11" s="10" customFormat="1">
      <c r="A396" s="221"/>
      <c r="B396" s="167"/>
      <c r="C396" s="189" t="str">
        <f t="shared" si="12"/>
        <v>Selezionare un certificato/standard dall'elenco.</v>
      </c>
      <c r="D396" s="71" t="s">
        <v>1642</v>
      </c>
      <c r="E396" s="10" t="s">
        <v>1665</v>
      </c>
      <c r="F396" s="10" t="s">
        <v>1675</v>
      </c>
      <c r="G396" s="10" t="s">
        <v>1654</v>
      </c>
      <c r="H396" s="222" t="str">
        <f>IF(LEN(D396)&lt;256,"OK","Fehler")</f>
        <v>OK</v>
      </c>
      <c r="I396" s="222" t="str">
        <f>IF(LEN(E396)&lt;256,"OK","Fehler")</f>
        <v>OK</v>
      </c>
      <c r="J396" s="222" t="str">
        <f>IF(LEN(F396)&lt;256,"OK","Fehler")</f>
        <v>OK</v>
      </c>
      <c r="K396" s="222" t="str">
        <f>IF(LEN(G396)&lt;256,"OK","Fehler")</f>
        <v>OK</v>
      </c>
    </row>
    <row r="397" spans="1:11" s="10" customFormat="1">
      <c r="A397" s="221"/>
      <c r="B397" s="167"/>
      <c r="C397" s="189" t="str">
        <f t="shared" si="12"/>
        <v>Errore</v>
      </c>
      <c r="D397" s="71" t="s">
        <v>120</v>
      </c>
      <c r="E397" s="10" t="s">
        <v>135</v>
      </c>
      <c r="F397" s="10" t="s">
        <v>124</v>
      </c>
      <c r="G397" s="10" t="s">
        <v>131</v>
      </c>
      <c r="H397" s="222" t="str">
        <f>IF(LEN(D397)&lt;33,"OK","Fehler")</f>
        <v>OK</v>
      </c>
      <c r="I397" s="222" t="str">
        <f>IF(LEN(E397)&lt;33,"OK","Fehler")</f>
        <v>OK</v>
      </c>
      <c r="J397" s="222" t="str">
        <f>IF(LEN(F397)&lt;33,"OK","Fehler")</f>
        <v>OK</v>
      </c>
      <c r="K397" s="222" t="str">
        <f>IF(LEN(G397)&lt;33,"OK","Fehler")</f>
        <v>OK</v>
      </c>
    </row>
    <row r="398" spans="1:11" s="10" customFormat="1">
      <c r="A398" s="221"/>
      <c r="B398" s="167"/>
      <c r="C398" s="189" t="str">
        <f t="shared" si="12"/>
        <v>È necessario selezionare una voce dall'elenco.</v>
      </c>
      <c r="D398" s="71" t="s">
        <v>12</v>
      </c>
      <c r="E398" s="10" t="s">
        <v>1663</v>
      </c>
      <c r="F398" s="10" t="s">
        <v>1062</v>
      </c>
      <c r="G398" s="10" t="s">
        <v>1398</v>
      </c>
      <c r="H398" s="222" t="str">
        <f>IF(LEN(D398)&lt;256,"OK","Fehler")</f>
        <v>OK</v>
      </c>
      <c r="I398" s="222" t="str">
        <f>IF(LEN(E398)&lt;256,"OK","Fehler")</f>
        <v>OK</v>
      </c>
      <c r="J398" s="222" t="str">
        <f>IF(LEN(F398)&lt;256,"OK","Fehler")</f>
        <v>OK</v>
      </c>
      <c r="K398" s="222" t="str">
        <f>IF(LEN(G398)&lt;256,"OK","Fehler")</f>
        <v>OK</v>
      </c>
    </row>
    <row r="399" spans="1:11" s="10" customFormat="1">
      <c r="A399" s="221">
        <v>1</v>
      </c>
      <c r="B399" s="167" t="s">
        <v>1648</v>
      </c>
      <c r="C399" s="189" t="str">
        <f t="shared" si="12"/>
        <v>Categoria dell'edificio</v>
      </c>
      <c r="D399" s="71" t="s">
        <v>145</v>
      </c>
      <c r="E399" s="10" t="s">
        <v>1666</v>
      </c>
      <c r="F399" s="10" t="s">
        <v>1676</v>
      </c>
      <c r="G399" s="10" t="s">
        <v>1655</v>
      </c>
      <c r="H399" s="222" t="str">
        <f>IF(LEN(D399)&lt;33,"OK","Fehler")</f>
        <v>OK</v>
      </c>
      <c r="I399" s="222" t="str">
        <f>IF(LEN(E399)&lt;33,"OK","Fehler")</f>
        <v>OK</v>
      </c>
      <c r="J399" s="222" t="str">
        <f>IF(LEN(F399)&lt;33,"OK","Fehler")</f>
        <v>OK</v>
      </c>
      <c r="K399" s="222" t="str">
        <f>IF(LEN(G399)&lt;33,"OK","Fehler")</f>
        <v>OK</v>
      </c>
    </row>
    <row r="400" spans="1:11" s="10" customFormat="1">
      <c r="A400" s="221"/>
      <c r="B400" s="167"/>
      <c r="C400" s="189" t="str">
        <f t="shared" si="12"/>
        <v>Selezionare una categoria di edifici dall'elenco.</v>
      </c>
      <c r="D400" s="71" t="s">
        <v>1643</v>
      </c>
      <c r="E400" s="10" t="s">
        <v>1667</v>
      </c>
      <c r="F400" s="10" t="s">
        <v>1677</v>
      </c>
      <c r="G400" s="10" t="s">
        <v>1656</v>
      </c>
      <c r="H400" s="222" t="str">
        <f>IF(LEN(D400)&lt;256,"OK","Fehler")</f>
        <v>OK</v>
      </c>
      <c r="I400" s="222" t="str">
        <f>IF(LEN(E400)&lt;256,"OK","Fehler")</f>
        <v>OK</v>
      </c>
      <c r="J400" s="222" t="str">
        <f>IF(LEN(F400)&lt;256,"OK","Fehler")</f>
        <v>OK</v>
      </c>
      <c r="K400" s="222" t="str">
        <f>IF(LEN(G400)&lt;256,"OK","Fehler")</f>
        <v>OK</v>
      </c>
    </row>
    <row r="401" spans="1:11" s="10" customFormat="1">
      <c r="A401" s="221"/>
      <c r="B401" s="167"/>
      <c r="C401" s="189" t="str">
        <f t="shared" si="12"/>
        <v>Errore</v>
      </c>
      <c r="D401" s="71" t="s">
        <v>120</v>
      </c>
      <c r="E401" s="10" t="s">
        <v>135</v>
      </c>
      <c r="F401" s="10" t="s">
        <v>124</v>
      </c>
      <c r="G401" s="10" t="s">
        <v>131</v>
      </c>
      <c r="H401" s="222" t="str">
        <f>IF(LEN(D401)&lt;33,"OK","Fehler")</f>
        <v>OK</v>
      </c>
      <c r="I401" s="222" t="str">
        <f>IF(LEN(E401)&lt;33,"OK","Fehler")</f>
        <v>OK</v>
      </c>
      <c r="J401" s="222" t="str">
        <f>IF(LEN(F401)&lt;33,"OK","Fehler")</f>
        <v>OK</v>
      </c>
      <c r="K401" s="222" t="str">
        <f>IF(LEN(G401)&lt;33,"OK","Fehler")</f>
        <v>OK</v>
      </c>
    </row>
    <row r="402" spans="1:11" s="10" customFormat="1">
      <c r="A402" s="221"/>
      <c r="B402" s="167"/>
      <c r="C402" s="189" t="str">
        <f t="shared" si="12"/>
        <v>È necessario selezionare una voce dall'elenco.</v>
      </c>
      <c r="D402" s="71" t="s">
        <v>12</v>
      </c>
      <c r="E402" s="10" t="s">
        <v>1663</v>
      </c>
      <c r="F402" s="10" t="s">
        <v>1062</v>
      </c>
      <c r="G402" s="10" t="s">
        <v>1398</v>
      </c>
      <c r="H402" s="222" t="str">
        <f>IF(LEN(D402)&lt;256,"OK","Fehler")</f>
        <v>OK</v>
      </c>
      <c r="I402" s="222" t="str">
        <f>IF(LEN(E402)&lt;256,"OK","Fehler")</f>
        <v>OK</v>
      </c>
      <c r="J402" s="222" t="str">
        <f>IF(LEN(F402)&lt;256,"OK","Fehler")</f>
        <v>OK</v>
      </c>
      <c r="K402" s="222" t="str">
        <f>IF(LEN(G402)&lt;256,"OK","Fehler")</f>
        <v>OK</v>
      </c>
    </row>
    <row r="403" spans="1:11" s="10" customFormat="1">
      <c r="A403" s="221">
        <v>1</v>
      </c>
      <c r="B403" s="167" t="s">
        <v>1687</v>
      </c>
      <c r="C403" s="189" t="str">
        <f t="shared" si="12"/>
        <v>Parti coinvolte</v>
      </c>
      <c r="D403" s="71" t="s">
        <v>1639</v>
      </c>
      <c r="E403" s="10" t="s">
        <v>1668</v>
      </c>
      <c r="F403" s="10" t="s">
        <v>1678</v>
      </c>
      <c r="G403" s="10" t="s">
        <v>1657</v>
      </c>
      <c r="H403" s="222" t="str">
        <f>IF(LEN(D403)&lt;33,"OK","Fehler")</f>
        <v>OK</v>
      </c>
      <c r="I403" s="222" t="str">
        <f>IF(LEN(E403)&lt;33,"OK","Fehler")</f>
        <v>OK</v>
      </c>
      <c r="J403" s="222" t="str">
        <f>IF(LEN(F403)&lt;33,"OK","Fehler")</f>
        <v>OK</v>
      </c>
      <c r="K403" s="222" t="str">
        <f>IF(LEN(G403)&lt;33,"OK","Fehler")</f>
        <v>OK</v>
      </c>
    </row>
    <row r="404" spans="1:11" s="10" customFormat="1">
      <c r="A404" s="221"/>
      <c r="B404" s="167"/>
      <c r="C404" s="189" t="str">
        <f t="shared" si="12"/>
        <v>Inserire i nomi e le informazioni di contatto dei partecipanti.</v>
      </c>
      <c r="D404" s="71" t="s">
        <v>1644</v>
      </c>
      <c r="E404" s="10" t="s">
        <v>1669</v>
      </c>
      <c r="F404" s="10" t="s">
        <v>1679</v>
      </c>
      <c r="G404" s="10" t="s">
        <v>1658</v>
      </c>
      <c r="H404" s="222" t="str">
        <f>IF(LEN(D404)&lt;256,"OK","Fehler")</f>
        <v>OK</v>
      </c>
      <c r="I404" s="222" t="str">
        <f>IF(LEN(E404)&lt;256,"OK","Fehler")</f>
        <v>OK</v>
      </c>
      <c r="J404" s="222" t="str">
        <f>IF(LEN(F404)&lt;256,"OK","Fehler")</f>
        <v>OK</v>
      </c>
      <c r="K404" s="222" t="str">
        <f>IF(LEN(G404)&lt;256,"OK","Fehler")</f>
        <v>OK</v>
      </c>
    </row>
    <row r="405" spans="1:11" s="10" customFormat="1">
      <c r="A405" s="221"/>
      <c r="B405" s="167"/>
      <c r="C405" s="189" t="str">
        <f t="shared" si="12"/>
        <v>Errore</v>
      </c>
      <c r="D405" s="71" t="s">
        <v>120</v>
      </c>
      <c r="E405" s="10" t="s">
        <v>135</v>
      </c>
      <c r="F405" s="10" t="s">
        <v>124</v>
      </c>
      <c r="G405" s="10" t="s">
        <v>131</v>
      </c>
      <c r="H405" s="222" t="str">
        <f>IF(LEN(D405)&lt;33,"OK","Fehler")</f>
        <v>OK</v>
      </c>
      <c r="I405" s="222" t="str">
        <f>IF(LEN(E405)&lt;33,"OK","Fehler")</f>
        <v>OK</v>
      </c>
      <c r="J405" s="222" t="str">
        <f>IF(LEN(F405)&lt;33,"OK","Fehler")</f>
        <v>OK</v>
      </c>
      <c r="K405" s="222" t="str">
        <f>IF(LEN(G405)&lt;33,"OK","Fehler")</f>
        <v>OK</v>
      </c>
    </row>
    <row r="406" spans="1:11" s="10" customFormat="1">
      <c r="A406" s="221"/>
      <c r="B406" s="167"/>
      <c r="C406" s="189" t="str">
        <f t="shared" si="12"/>
        <v>È possibile inserire un massimo di 256 caratteri per riga.</v>
      </c>
      <c r="D406" s="71" t="s">
        <v>1645</v>
      </c>
      <c r="E406" s="10" t="s">
        <v>1661</v>
      </c>
      <c r="F406" s="10" t="s">
        <v>1672</v>
      </c>
      <c r="G406" s="10" t="s">
        <v>1651</v>
      </c>
      <c r="H406" s="222" t="str">
        <f>IF(LEN(D406)&lt;256,"OK","Fehler")</f>
        <v>OK</v>
      </c>
      <c r="I406" s="222" t="str">
        <f>IF(LEN(E406)&lt;256,"OK","Fehler")</f>
        <v>OK</v>
      </c>
      <c r="J406" s="222" t="str">
        <f>IF(LEN(F406)&lt;256,"OK","Fehler")</f>
        <v>OK</v>
      </c>
      <c r="K406" s="222" t="str">
        <f>IF(LEN(G406)&lt;256,"OK","Fehler")</f>
        <v>OK</v>
      </c>
    </row>
    <row r="407" spans="1:11">
      <c r="A407" s="220">
        <v>2</v>
      </c>
      <c r="B407" s="167" t="s">
        <v>424</v>
      </c>
      <c r="C407" s="189" t="str">
        <f t="shared" ref="C407:C438" si="13">INDEX($D407:$G407,1,MATCH(Sprachwahl,ListSprache,0))</f>
        <v>Standard energetico</v>
      </c>
      <c r="D407" s="21" t="s">
        <v>227</v>
      </c>
      <c r="E407" s="71" t="s">
        <v>1144</v>
      </c>
      <c r="F407" s="21" t="s">
        <v>913</v>
      </c>
      <c r="G407" s="21" t="s">
        <v>1396</v>
      </c>
      <c r="H407" s="222" t="str">
        <f>IF(LEN(D407)&lt;33,"OK","Fehler")</f>
        <v>OK</v>
      </c>
      <c r="I407" s="222" t="str">
        <f>IF(LEN(E407)&lt;33,"OK","Fehler")</f>
        <v>OK</v>
      </c>
      <c r="J407" s="222" t="str">
        <f>IF(LEN(F407)&lt;33,"OK","Fehler")</f>
        <v>OK</v>
      </c>
      <c r="K407" s="222" t="str">
        <f>IF(LEN(G407)&lt;33,"OK","Fehler")</f>
        <v>OK</v>
      </c>
    </row>
    <row r="408" spans="1:11">
      <c r="A408" s="220"/>
      <c r="B408" s="167"/>
      <c r="C408" s="189" t="str">
        <f t="shared" si="13"/>
        <v>Selezioni lo standard energetico desiderato.</v>
      </c>
      <c r="D408" s="21" t="s">
        <v>437</v>
      </c>
      <c r="E408" s="71" t="s">
        <v>1295</v>
      </c>
      <c r="F408" s="71" t="s">
        <v>1061</v>
      </c>
      <c r="G408" s="21" t="s">
        <v>1397</v>
      </c>
      <c r="H408" s="222" t="str">
        <f>IF(LEN(D408)&lt;256,"OK","Fehler")</f>
        <v>OK</v>
      </c>
      <c r="I408" s="222" t="str">
        <f>IF(LEN(E408)&lt;256,"OK","Fehler")</f>
        <v>OK</v>
      </c>
      <c r="J408" s="222" t="str">
        <f>IF(LEN(F408)&lt;256,"OK","Fehler")</f>
        <v>OK</v>
      </c>
      <c r="K408" s="222" t="str">
        <f>IF(LEN(G408)&lt;256,"OK","Fehler")</f>
        <v>OK</v>
      </c>
    </row>
    <row r="409" spans="1:11">
      <c r="A409" s="220"/>
      <c r="B409" s="167"/>
      <c r="C409" s="189" t="str">
        <f t="shared" si="13"/>
        <v>Errore</v>
      </c>
      <c r="D409" s="21" t="s">
        <v>120</v>
      </c>
      <c r="E409" s="71" t="s">
        <v>135</v>
      </c>
      <c r="F409" s="71" t="s">
        <v>124</v>
      </c>
      <c r="G409" s="21" t="s">
        <v>131</v>
      </c>
      <c r="H409" s="222" t="str">
        <f>IF(LEN(D409)&lt;33,"OK","Fehler")</f>
        <v>OK</v>
      </c>
      <c r="I409" s="222" t="str">
        <f>IF(LEN(E409)&lt;33,"OK","Fehler")</f>
        <v>OK</v>
      </c>
      <c r="J409" s="222" t="str">
        <f>IF(LEN(F409)&lt;33,"OK","Fehler")</f>
        <v>OK</v>
      </c>
      <c r="K409" s="222" t="str">
        <f>IF(LEN(G409)&lt;33,"OK","Fehler")</f>
        <v>OK</v>
      </c>
    </row>
    <row r="410" spans="1:11">
      <c r="A410" s="220"/>
      <c r="B410" s="167"/>
      <c r="C410" s="189" t="str">
        <f t="shared" si="13"/>
        <v>È necessario selezionare una voce dall'elenco.</v>
      </c>
      <c r="D410" s="21" t="s">
        <v>12</v>
      </c>
      <c r="E410" s="71" t="s">
        <v>1296</v>
      </c>
      <c r="F410" s="71" t="s">
        <v>1062</v>
      </c>
      <c r="G410" s="21" t="s">
        <v>1398</v>
      </c>
      <c r="H410" s="222" t="str">
        <f>IF(LEN(D410)&lt;256,"OK","Fehler")</f>
        <v>OK</v>
      </c>
      <c r="I410" s="222" t="str">
        <f>IF(LEN(E410)&lt;256,"OK","Fehler")</f>
        <v>OK</v>
      </c>
      <c r="J410" s="222" t="str">
        <f>IF(LEN(F410)&lt;256,"OK","Fehler")</f>
        <v>OK</v>
      </c>
      <c r="K410" s="222" t="str">
        <f>IF(LEN(G410)&lt;256,"OK","Fehler")</f>
        <v>OK</v>
      </c>
    </row>
    <row r="411" spans="1:11">
      <c r="A411" s="220">
        <v>2</v>
      </c>
      <c r="B411" s="167" t="s">
        <v>425</v>
      </c>
      <c r="C411" s="189" t="str">
        <f t="shared" si="13"/>
        <v>Superfice di riferimento energ.</v>
      </c>
      <c r="D411" s="21" t="s">
        <v>187</v>
      </c>
      <c r="E411" s="71" t="s">
        <v>1132</v>
      </c>
      <c r="F411" s="71" t="s">
        <v>1680</v>
      </c>
      <c r="G411" s="21" t="s">
        <v>775</v>
      </c>
      <c r="H411" s="222" t="str">
        <f>IF(LEN(D411)&lt;33,"OK","Fehler")</f>
        <v>OK</v>
      </c>
      <c r="I411" s="222" t="str">
        <f>IF(LEN(E411)&lt;33,"OK","Fehler")</f>
        <v>OK</v>
      </c>
      <c r="J411" s="222" t="str">
        <f>IF(LEN(F411)&lt;33,"OK","Fehler")</f>
        <v>OK</v>
      </c>
      <c r="K411" s="222" t="str">
        <f>IF(LEN(G411)&lt;33,"OK","Fehler")</f>
        <v>OK</v>
      </c>
    </row>
    <row r="412" spans="1:11">
      <c r="A412" s="220"/>
      <c r="B412" s="167"/>
      <c r="C412" s="189" t="str">
        <f t="shared" si="13"/>
        <v>P.F. indichi la SRE dell'edifico</v>
      </c>
      <c r="D412" s="21" t="s">
        <v>438</v>
      </c>
      <c r="E412" s="71" t="s">
        <v>1297</v>
      </c>
      <c r="F412" s="71" t="s">
        <v>1063</v>
      </c>
      <c r="G412" s="21" t="s">
        <v>1400</v>
      </c>
      <c r="H412" s="222" t="str">
        <f>IF(LEN(D412)&lt;256,"OK","Fehler")</f>
        <v>OK</v>
      </c>
      <c r="I412" s="222" t="str">
        <f>IF(LEN(E412)&lt;256,"OK","Fehler")</f>
        <v>OK</v>
      </c>
      <c r="J412" s="222" t="str">
        <f>IF(LEN(F412)&lt;256,"OK","Fehler")</f>
        <v>OK</v>
      </c>
      <c r="K412" s="222" t="str">
        <f>IF(LEN(G412)&lt;256,"OK","Fehler")</f>
        <v>OK</v>
      </c>
    </row>
    <row r="413" spans="1:11">
      <c r="A413" s="220"/>
      <c r="B413" s="167"/>
      <c r="C413" s="189" t="str">
        <f t="shared" si="13"/>
        <v>Errore</v>
      </c>
      <c r="D413" s="21" t="s">
        <v>120</v>
      </c>
      <c r="E413" s="71" t="s">
        <v>135</v>
      </c>
      <c r="F413" s="71" t="s">
        <v>124</v>
      </c>
      <c r="G413" s="21" t="s">
        <v>131</v>
      </c>
      <c r="H413" s="222" t="str">
        <f>IF(LEN(D413)&lt;33,"OK","Fehler")</f>
        <v>OK</v>
      </c>
      <c r="I413" s="222" t="str">
        <f>IF(LEN(E413)&lt;33,"OK","Fehler")</f>
        <v>OK</v>
      </c>
      <c r="J413" s="222" t="str">
        <f>IF(LEN(F413)&lt;33,"OK","Fehler")</f>
        <v>OK</v>
      </c>
      <c r="K413" s="222" t="str">
        <f>IF(LEN(G413)&lt;33,"OK","Fehler")</f>
        <v>OK</v>
      </c>
    </row>
    <row r="414" spans="1:11">
      <c r="A414" s="220"/>
      <c r="B414" s="167"/>
      <c r="C414" s="189" t="str">
        <f t="shared" si="13"/>
        <v>La SRE deve trovarsi tra 0 e 200'000 m2.</v>
      </c>
      <c r="D414" s="21" t="s">
        <v>439</v>
      </c>
      <c r="E414" s="71" t="s">
        <v>1298</v>
      </c>
      <c r="F414" s="71" t="s">
        <v>1064</v>
      </c>
      <c r="G414" s="21" t="s">
        <v>1401</v>
      </c>
      <c r="H414" s="222" t="str">
        <f>IF(LEN(D414)&lt;256,"OK","Fehler")</f>
        <v>OK</v>
      </c>
      <c r="I414" s="222" t="str">
        <f>IF(LEN(E414)&lt;256,"OK","Fehler")</f>
        <v>OK</v>
      </c>
      <c r="J414" s="222" t="str">
        <f>IF(LEN(F414)&lt;256,"OK","Fehler")</f>
        <v>OK</v>
      </c>
      <c r="K414" s="222" t="str">
        <f>IF(LEN(G414)&lt;256,"OK","Fehler")</f>
        <v>OK</v>
      </c>
    </row>
    <row r="415" spans="1:11">
      <c r="A415" s="220">
        <v>2</v>
      </c>
      <c r="B415" s="167" t="s">
        <v>426</v>
      </c>
      <c r="C415" s="189" t="str">
        <f t="shared" si="13"/>
        <v>Pavimento risc. contro non risc.</v>
      </c>
      <c r="D415" s="21" t="s">
        <v>1681</v>
      </c>
      <c r="E415" s="71" t="s">
        <v>1684</v>
      </c>
      <c r="F415" s="71" t="s">
        <v>1683</v>
      </c>
      <c r="G415" s="21" t="s">
        <v>1682</v>
      </c>
      <c r="H415" s="222" t="str">
        <f>IF(LEN(D415)&lt;33,"OK","Fehler")</f>
        <v>OK</v>
      </c>
      <c r="I415" s="222" t="str">
        <f>IF(LEN(E415)&lt;33,"OK","Fehler")</f>
        <v>OK</v>
      </c>
      <c r="J415" s="222" t="str">
        <f>IF(LEN(F415)&lt;33,"OK","Fehler")</f>
        <v>OK</v>
      </c>
      <c r="K415" s="222" t="str">
        <f>IF(LEN(G415)&lt;33,"OK","Fehler")</f>
        <v>OK</v>
      </c>
    </row>
    <row r="416" spans="1:11">
      <c r="A416" s="220"/>
      <c r="B416" s="167"/>
      <c r="C416" s="189" t="str">
        <f t="shared" si="13"/>
        <v>Indichi la superficie.</v>
      </c>
      <c r="D416" s="21" t="s">
        <v>440</v>
      </c>
      <c r="E416" s="215" t="s">
        <v>1299</v>
      </c>
      <c r="F416" s="71" t="s">
        <v>1065</v>
      </c>
      <c r="G416" s="21" t="s">
        <v>1399</v>
      </c>
      <c r="H416" s="222" t="str">
        <f>IF(LEN(D416)&lt;256,"OK","Fehler")</f>
        <v>OK</v>
      </c>
      <c r="I416" s="222" t="str">
        <f>IF(LEN(E416)&lt;256,"OK","Fehler")</f>
        <v>OK</v>
      </c>
      <c r="J416" s="222" t="str">
        <f>IF(LEN(F416)&lt;256,"OK","Fehler")</f>
        <v>OK</v>
      </c>
      <c r="K416" s="222" t="str">
        <f>IF(LEN(G416)&lt;256,"OK","Fehler")</f>
        <v>OK</v>
      </c>
    </row>
    <row r="417" spans="1:11">
      <c r="A417" s="220"/>
      <c r="B417" s="167"/>
      <c r="C417" s="189" t="str">
        <f t="shared" si="13"/>
        <v>Errore</v>
      </c>
      <c r="D417" s="21" t="s">
        <v>120</v>
      </c>
      <c r="E417" s="71" t="s">
        <v>135</v>
      </c>
      <c r="F417" s="71" t="s">
        <v>124</v>
      </c>
      <c r="G417" s="21" t="s">
        <v>131</v>
      </c>
      <c r="H417" s="222" t="str">
        <f>IF(LEN(D417)&lt;33,"OK","Fehler")</f>
        <v>OK</v>
      </c>
      <c r="I417" s="222" t="str">
        <f>IF(LEN(E417)&lt;33,"OK","Fehler")</f>
        <v>OK</v>
      </c>
      <c r="J417" s="222" t="str">
        <f>IF(LEN(F417)&lt;33,"OK","Fehler")</f>
        <v>OK</v>
      </c>
      <c r="K417" s="222" t="str">
        <f>IF(LEN(G417)&lt;33,"OK","Fehler")</f>
        <v>OK</v>
      </c>
    </row>
    <row r="418" spans="1:11">
      <c r="A418" s="220"/>
      <c r="B418" s="167"/>
      <c r="C418" s="189" t="str">
        <f t="shared" si="13"/>
        <v>Deve indicare un valore tra 0 e la SRE.</v>
      </c>
      <c r="D418" s="21" t="s">
        <v>478</v>
      </c>
      <c r="E418" s="71" t="s">
        <v>1300</v>
      </c>
      <c r="F418" s="71" t="s">
        <v>1066</v>
      </c>
      <c r="G418" s="21" t="s">
        <v>1407</v>
      </c>
      <c r="H418" s="222" t="str">
        <f>IF(LEN(D418)&lt;256,"OK","Fehler")</f>
        <v>OK</v>
      </c>
      <c r="I418" s="222" t="str">
        <f>IF(LEN(E418)&lt;256,"OK","Fehler")</f>
        <v>OK</v>
      </c>
      <c r="J418" s="222" t="str">
        <f>IF(LEN(F418)&lt;256,"OK","Fehler")</f>
        <v>OK</v>
      </c>
      <c r="K418" s="222" t="str">
        <f>IF(LEN(G418)&lt;256,"OK","Fehler")</f>
        <v>OK</v>
      </c>
    </row>
    <row r="419" spans="1:11">
      <c r="A419" s="220">
        <v>2</v>
      </c>
      <c r="B419" s="167" t="s">
        <v>427</v>
      </c>
      <c r="C419" s="189" t="str">
        <f t="shared" si="13"/>
        <v>Piano non riscaldato</v>
      </c>
      <c r="D419" s="21" t="s">
        <v>441</v>
      </c>
      <c r="E419" s="71" t="s">
        <v>1301</v>
      </c>
      <c r="F419" s="71" t="s">
        <v>1067</v>
      </c>
      <c r="G419" s="21" t="s">
        <v>1402</v>
      </c>
      <c r="H419" s="222" t="str">
        <f>IF(LEN(D419)&lt;33,"OK","Fehler")</f>
        <v>OK</v>
      </c>
      <c r="I419" s="222" t="str">
        <f>IF(LEN(E419)&lt;33,"OK","Fehler")</f>
        <v>OK</v>
      </c>
      <c r="J419" s="222" t="str">
        <f>IF(LEN(F419)&lt;33,"OK","Fehler")</f>
        <v>OK</v>
      </c>
      <c r="K419" s="222" t="str">
        <f>IF(LEN(G419)&lt;33,"OK","Fehler")</f>
        <v>OK</v>
      </c>
    </row>
    <row r="420" spans="1:11">
      <c r="A420" s="220"/>
      <c r="B420" s="167"/>
      <c r="C420" s="189" t="str">
        <f t="shared" si="13"/>
        <v>Indichi il numero di piani non riscaldati (numeri decimali sono ammessi).</v>
      </c>
      <c r="D420" s="21" t="s">
        <v>442</v>
      </c>
      <c r="E420" s="71" t="s">
        <v>1302</v>
      </c>
      <c r="F420" s="71" t="s">
        <v>1068</v>
      </c>
      <c r="G420" s="21" t="s">
        <v>1403</v>
      </c>
      <c r="H420" s="222" t="str">
        <f>IF(LEN(D420)&lt;256,"OK","Fehler")</f>
        <v>OK</v>
      </c>
      <c r="I420" s="222" t="str">
        <f>IF(LEN(E420)&lt;256,"OK","Fehler")</f>
        <v>OK</v>
      </c>
      <c r="J420" s="222" t="str">
        <f>IF(LEN(F420)&lt;256,"OK","Fehler")</f>
        <v>OK</v>
      </c>
      <c r="K420" s="222" t="str">
        <f>IF(LEN(G420)&lt;256,"OK","Fehler")</f>
        <v>OK</v>
      </c>
    </row>
    <row r="421" spans="1:11">
      <c r="A421" s="220"/>
      <c r="B421" s="167"/>
      <c r="C421" s="189" t="str">
        <f t="shared" si="13"/>
        <v>Errore</v>
      </c>
      <c r="D421" s="21" t="s">
        <v>120</v>
      </c>
      <c r="E421" s="71" t="s">
        <v>135</v>
      </c>
      <c r="F421" s="71" t="s">
        <v>124</v>
      </c>
      <c r="G421" s="21" t="s">
        <v>131</v>
      </c>
      <c r="H421" s="222" t="str">
        <f>IF(LEN(D421)&lt;33,"OK","Fehler")</f>
        <v>OK</v>
      </c>
      <c r="I421" s="222" t="str">
        <f>IF(LEN(E421)&lt;33,"OK","Fehler")</f>
        <v>OK</v>
      </c>
      <c r="J421" s="222" t="str">
        <f>IF(LEN(F421)&lt;33,"OK","Fehler")</f>
        <v>OK</v>
      </c>
      <c r="K421" s="222" t="str">
        <f>IF(LEN(G421)&lt;33,"OK","Fehler")</f>
        <v>OK</v>
      </c>
    </row>
    <row r="422" spans="1:11">
      <c r="A422" s="220"/>
      <c r="B422" s="167"/>
      <c r="C422" s="189" t="str">
        <f t="shared" si="13"/>
        <v>Deve indicare un valore tra 0 e 20.</v>
      </c>
      <c r="D422" s="21" t="s">
        <v>443</v>
      </c>
      <c r="E422" s="71" t="s">
        <v>1303</v>
      </c>
      <c r="F422" s="71" t="s">
        <v>1069</v>
      </c>
      <c r="G422" s="21" t="s">
        <v>1404</v>
      </c>
      <c r="H422" s="222" t="str">
        <f>IF(LEN(D422)&lt;256,"OK","Fehler")</f>
        <v>OK</v>
      </c>
      <c r="I422" s="222" t="str">
        <f>IF(LEN(E422)&lt;256,"OK","Fehler")</f>
        <v>OK</v>
      </c>
      <c r="J422" s="222" t="str">
        <f>IF(LEN(F422)&lt;256,"OK","Fehler")</f>
        <v>OK</v>
      </c>
      <c r="K422" s="222" t="str">
        <f>IF(LEN(G422)&lt;256,"OK","Fehler")</f>
        <v>OK</v>
      </c>
    </row>
    <row r="423" spans="1:11">
      <c r="A423" s="220">
        <v>2</v>
      </c>
      <c r="B423" s="167" t="s">
        <v>428</v>
      </c>
      <c r="C423" s="189" t="str">
        <f t="shared" si="13"/>
        <v>Altezza media del locale</v>
      </c>
      <c r="D423" s="21" t="s">
        <v>365</v>
      </c>
      <c r="E423" s="71" t="s">
        <v>1304</v>
      </c>
      <c r="F423" s="71" t="s">
        <v>1070</v>
      </c>
      <c r="G423" s="21" t="s">
        <v>1405</v>
      </c>
      <c r="H423" s="222" t="str">
        <f>IF(LEN(D423)&lt;33,"OK","Fehler")</f>
        <v>OK</v>
      </c>
      <c r="I423" s="222" t="str">
        <f>IF(LEN(E423)&lt;33,"OK","Fehler")</f>
        <v>OK</v>
      </c>
      <c r="J423" s="222" t="str">
        <f>IF(LEN(F423)&lt;33,"OK","Fehler")</f>
        <v>OK</v>
      </c>
      <c r="K423" s="222" t="str">
        <f>IF(LEN(G423)&lt;33,"OK","Fehler")</f>
        <v>OK</v>
      </c>
    </row>
    <row r="424" spans="1:11">
      <c r="A424" s="220"/>
      <c r="B424" s="167"/>
      <c r="C424" s="189" t="str">
        <f t="shared" si="13"/>
        <v>Indichi l'altezza media di tutti i piani riscaldati.</v>
      </c>
      <c r="D424" s="21" t="s">
        <v>444</v>
      </c>
      <c r="E424" s="71" t="s">
        <v>1305</v>
      </c>
      <c r="F424" s="71" t="s">
        <v>1071</v>
      </c>
      <c r="G424" s="21" t="s">
        <v>1406</v>
      </c>
      <c r="H424" s="222" t="str">
        <f>IF(LEN(D424)&lt;256,"OK","Fehler")</f>
        <v>OK</v>
      </c>
      <c r="I424" s="222" t="str">
        <f>IF(LEN(E424)&lt;256,"OK","Fehler")</f>
        <v>OK</v>
      </c>
      <c r="J424" s="222" t="str">
        <f>IF(LEN(F424)&lt;256,"OK","Fehler")</f>
        <v>OK</v>
      </c>
      <c r="K424" s="222" t="str">
        <f>IF(LEN(G424)&lt;256,"OK","Fehler")</f>
        <v>OK</v>
      </c>
    </row>
    <row r="425" spans="1:11">
      <c r="A425" s="220"/>
      <c r="B425" s="167"/>
      <c r="C425" s="189" t="str">
        <f t="shared" si="13"/>
        <v>Errore</v>
      </c>
      <c r="D425" s="21" t="s">
        <v>120</v>
      </c>
      <c r="E425" s="71" t="s">
        <v>135</v>
      </c>
      <c r="F425" s="71" t="s">
        <v>124</v>
      </c>
      <c r="G425" s="21" t="s">
        <v>131</v>
      </c>
      <c r="H425" s="222" t="str">
        <f>IF(LEN(D425)&lt;33,"OK","Fehler")</f>
        <v>OK</v>
      </c>
      <c r="I425" s="222" t="str">
        <f>IF(LEN(E425)&lt;33,"OK","Fehler")</f>
        <v>OK</v>
      </c>
      <c r="J425" s="222" t="str">
        <f>IF(LEN(F425)&lt;33,"OK","Fehler")</f>
        <v>OK</v>
      </c>
      <c r="K425" s="222" t="str">
        <f>IF(LEN(G425)&lt;33,"OK","Fehler")</f>
        <v>OK</v>
      </c>
    </row>
    <row r="426" spans="1:11">
      <c r="A426" s="220"/>
      <c r="B426" s="167"/>
      <c r="C426" s="189" t="str">
        <f t="shared" si="13"/>
        <v>Deve indicare un valore tra 0 e 20.</v>
      </c>
      <c r="D426" s="21" t="s">
        <v>443</v>
      </c>
      <c r="E426" s="71" t="s">
        <v>1306</v>
      </c>
      <c r="F426" s="71" t="s">
        <v>1069</v>
      </c>
      <c r="G426" s="21" t="s">
        <v>1404</v>
      </c>
      <c r="H426" s="222" t="str">
        <f>IF(LEN(D426)&lt;256,"OK","Fehler")</f>
        <v>OK</v>
      </c>
      <c r="I426" s="222" t="str">
        <f>IF(LEN(E426)&lt;256,"OK","Fehler")</f>
        <v>OK</v>
      </c>
      <c r="J426" s="222" t="str">
        <f>IF(LEN(F426)&lt;256,"OK","Fehler")</f>
        <v>OK</v>
      </c>
      <c r="K426" s="222" t="str">
        <f>IF(LEN(G426)&lt;256,"OK","Fehler")</f>
        <v>OK</v>
      </c>
    </row>
    <row r="427" spans="1:11">
      <c r="A427" s="220">
        <v>2</v>
      </c>
      <c r="B427" s="167" t="s">
        <v>429</v>
      </c>
      <c r="C427" s="189" t="str">
        <f t="shared" si="13"/>
        <v>Impianto FV</v>
      </c>
      <c r="D427" s="21" t="s">
        <v>445</v>
      </c>
      <c r="E427" s="71" t="s">
        <v>1307</v>
      </c>
      <c r="F427" s="71" t="s">
        <v>1072</v>
      </c>
      <c r="G427" s="21" t="s">
        <v>1408</v>
      </c>
      <c r="H427" s="222" t="str">
        <f>IF(LEN(D427)&lt;33,"OK","Fehler")</f>
        <v>OK</v>
      </c>
      <c r="I427" s="222" t="str">
        <f>IF(LEN(E427)&lt;33,"OK","Fehler")</f>
        <v>OK</v>
      </c>
      <c r="J427" s="222" t="str">
        <f>IF(LEN(F427)&lt;33,"OK","Fehler")</f>
        <v>OK</v>
      </c>
      <c r="K427" s="222" t="str">
        <f>IF(LEN(G427)&lt;33,"OK","Fehler")</f>
        <v>OK</v>
      </c>
    </row>
    <row r="428" spans="1:11">
      <c r="A428" s="220"/>
      <c r="B428" s="167"/>
      <c r="C428" s="189" t="str">
        <f t="shared" si="13"/>
        <v>Indichi la superficie netta di captazione FV</v>
      </c>
      <c r="D428" s="21" t="s">
        <v>446</v>
      </c>
      <c r="E428" s="71" t="s">
        <v>1308</v>
      </c>
      <c r="F428" s="71" t="s">
        <v>1073</v>
      </c>
      <c r="G428" s="21" t="s">
        <v>1409</v>
      </c>
      <c r="H428" s="222" t="str">
        <f>IF(LEN(D428)&lt;256,"OK","Fehler")</f>
        <v>OK</v>
      </c>
      <c r="I428" s="222" t="str">
        <f>IF(LEN(E428)&lt;256,"OK","Fehler")</f>
        <v>OK</v>
      </c>
      <c r="J428" s="222" t="str">
        <f>IF(LEN(F428)&lt;256,"OK","Fehler")</f>
        <v>OK</v>
      </c>
      <c r="K428" s="222" t="str">
        <f>IF(LEN(G428)&lt;256,"OK","Fehler")</f>
        <v>OK</v>
      </c>
    </row>
    <row r="429" spans="1:11">
      <c r="A429" s="220"/>
      <c r="B429" s="167"/>
      <c r="C429" s="189" t="str">
        <f t="shared" si="13"/>
        <v>Errore</v>
      </c>
      <c r="D429" s="21" t="s">
        <v>120</v>
      </c>
      <c r="E429" s="71" t="s">
        <v>135</v>
      </c>
      <c r="F429" s="71" t="s">
        <v>124</v>
      </c>
      <c r="G429" s="21" t="s">
        <v>131</v>
      </c>
      <c r="H429" s="222" t="str">
        <f>IF(LEN(D429)&lt;33,"OK","Fehler")</f>
        <v>OK</v>
      </c>
      <c r="I429" s="222" t="str">
        <f>IF(LEN(E429)&lt;33,"OK","Fehler")</f>
        <v>OK</v>
      </c>
      <c r="J429" s="222" t="str">
        <f>IF(LEN(F429)&lt;33,"OK","Fehler")</f>
        <v>OK</v>
      </c>
      <c r="K429" s="222" t="str">
        <f>IF(LEN(G429)&lt;33,"OK","Fehler")</f>
        <v>OK</v>
      </c>
    </row>
    <row r="430" spans="1:11">
      <c r="A430" s="220"/>
      <c r="B430" s="167"/>
      <c r="C430" s="189" t="str">
        <f t="shared" si="13"/>
        <v>Deve indicare un valore tra 0 e 2.5 volte la superfice del piano.</v>
      </c>
      <c r="D430" s="21" t="s">
        <v>447</v>
      </c>
      <c r="E430" s="71" t="s">
        <v>1309</v>
      </c>
      <c r="F430" s="71" t="s">
        <v>1074</v>
      </c>
      <c r="G430" s="21" t="s">
        <v>1410</v>
      </c>
      <c r="H430" s="222" t="str">
        <f>IF(LEN(D430)&lt;256,"OK","Fehler")</f>
        <v>OK</v>
      </c>
      <c r="I430" s="222" t="str">
        <f>IF(LEN(E430)&lt;256,"OK","Fehler")</f>
        <v>OK</v>
      </c>
      <c r="J430" s="222" t="str">
        <f>IF(LEN(F430)&lt;256,"OK","Fehler")</f>
        <v>OK</v>
      </c>
      <c r="K430" s="222" t="str">
        <f>IF(LEN(G430)&lt;256,"OK","Fehler")</f>
        <v>OK</v>
      </c>
    </row>
    <row r="431" spans="1:11">
      <c r="A431" s="220">
        <v>2</v>
      </c>
      <c r="B431" s="167" t="s">
        <v>430</v>
      </c>
      <c r="C431" s="189" t="str">
        <f t="shared" si="13"/>
        <v>Sonde geotermiche</v>
      </c>
      <c r="D431" s="21" t="s">
        <v>448</v>
      </c>
      <c r="E431" s="71" t="s">
        <v>1310</v>
      </c>
      <c r="F431" s="71" t="s">
        <v>908</v>
      </c>
      <c r="G431" s="21" t="s">
        <v>1413</v>
      </c>
      <c r="H431" s="222" t="str">
        <f>IF(LEN(D431)&lt;33,"OK","Fehler")</f>
        <v>OK</v>
      </c>
      <c r="I431" s="222" t="str">
        <f>IF(LEN(E431)&lt;33,"OK","Fehler")</f>
        <v>OK</v>
      </c>
      <c r="J431" s="222" t="str">
        <f>IF(LEN(F431)&lt;33,"OK","Fehler")</f>
        <v>OK</v>
      </c>
      <c r="K431" s="222" t="str">
        <f>IF(LEN(G431)&lt;33,"OK","Fehler")</f>
        <v>OK</v>
      </c>
    </row>
    <row r="432" spans="1:11">
      <c r="A432" s="220"/>
      <c r="B432" s="167"/>
      <c r="C432" s="189" t="str">
        <f t="shared" si="13"/>
        <v>Selezioni SI, nel caso le sonde siano nuove o vengano sostituite.</v>
      </c>
      <c r="D432" s="21" t="s">
        <v>449</v>
      </c>
      <c r="E432" s="71" t="s">
        <v>1311</v>
      </c>
      <c r="F432" s="71" t="s">
        <v>1075</v>
      </c>
      <c r="G432" s="21" t="s">
        <v>1411</v>
      </c>
      <c r="H432" s="222" t="str">
        <f>IF(LEN(D432)&lt;256,"OK","Fehler")</f>
        <v>OK</v>
      </c>
      <c r="I432" s="222" t="str">
        <f>IF(LEN(E432)&lt;256,"OK","Fehler")</f>
        <v>OK</v>
      </c>
      <c r="J432" s="222" t="str">
        <f>IF(LEN(F432)&lt;256,"OK","Fehler")</f>
        <v>OK</v>
      </c>
      <c r="K432" s="222" t="str">
        <f>IF(LEN(G432)&lt;256,"OK","Fehler")</f>
        <v>OK</v>
      </c>
    </row>
    <row r="433" spans="1:11">
      <c r="A433" s="220"/>
      <c r="B433" s="167"/>
      <c r="C433" s="189" t="str">
        <f t="shared" si="13"/>
        <v>Errore</v>
      </c>
      <c r="D433" s="21" t="s">
        <v>120</v>
      </c>
      <c r="E433" s="71" t="s">
        <v>135</v>
      </c>
      <c r="F433" s="71" t="s">
        <v>124</v>
      </c>
      <c r="G433" s="21" t="s">
        <v>131</v>
      </c>
      <c r="H433" s="222" t="str">
        <f>IF(LEN(D433)&lt;33,"OK","Fehler")</f>
        <v>OK</v>
      </c>
      <c r="I433" s="222" t="str">
        <f>IF(LEN(E433)&lt;33,"OK","Fehler")</f>
        <v>OK</v>
      </c>
      <c r="J433" s="222" t="str">
        <f>IF(LEN(F433)&lt;33,"OK","Fehler")</f>
        <v>OK</v>
      </c>
      <c r="K433" s="222" t="str">
        <f>IF(LEN(G433)&lt;33,"OK","Fehler")</f>
        <v>OK</v>
      </c>
    </row>
    <row r="434" spans="1:11">
      <c r="A434" s="220"/>
      <c r="B434" s="167"/>
      <c r="C434" s="189" t="str">
        <f t="shared" si="13"/>
        <v>È necessario selezionare una voce dall'elenco.</v>
      </c>
      <c r="D434" s="21" t="s">
        <v>1395</v>
      </c>
      <c r="E434" s="71" t="s">
        <v>1312</v>
      </c>
      <c r="F434" s="71" t="s">
        <v>1062</v>
      </c>
      <c r="G434" s="21" t="s">
        <v>1398</v>
      </c>
      <c r="H434" s="222" t="str">
        <f>IF(LEN(D434)&lt;256,"OK","Fehler")</f>
        <v>OK</v>
      </c>
      <c r="I434" s="222" t="str">
        <f>IF(LEN(E434)&lt;256,"OK","Fehler")</f>
        <v>OK</v>
      </c>
      <c r="J434" s="222" t="str">
        <f>IF(LEN(F434)&lt;256,"OK","Fehler")</f>
        <v>OK</v>
      </c>
      <c r="K434" s="222" t="str">
        <f>IF(LEN(G434)&lt;256,"OK","Fehler")</f>
        <v>OK</v>
      </c>
    </row>
    <row r="435" spans="1:11">
      <c r="A435" s="220">
        <v>2</v>
      </c>
      <c r="B435" s="167" t="s">
        <v>431</v>
      </c>
      <c r="C435" s="189" t="str">
        <f t="shared" si="13"/>
        <v>Distribuzione del calore</v>
      </c>
      <c r="D435" s="21" t="s">
        <v>453</v>
      </c>
      <c r="E435" s="71" t="s">
        <v>1313</v>
      </c>
      <c r="F435" s="71" t="s">
        <v>1076</v>
      </c>
      <c r="G435" s="21" t="s">
        <v>1412</v>
      </c>
      <c r="H435" s="222" t="str">
        <f>IF(LEN(D435)&lt;33,"OK","Fehler")</f>
        <v>OK</v>
      </c>
      <c r="I435" s="222" t="str">
        <f>IF(LEN(E435)&lt;33,"OK","Fehler")</f>
        <v>OK</v>
      </c>
      <c r="J435" s="222" t="str">
        <f>IF(LEN(F435)&lt;33,"OK","Fehler")</f>
        <v>OK</v>
      </c>
      <c r="K435" s="222" t="str">
        <f>IF(LEN(G435)&lt;33,"OK","Fehler")</f>
        <v>OK</v>
      </c>
    </row>
    <row r="436" spans="1:11">
      <c r="A436" s="220"/>
      <c r="B436" s="167"/>
      <c r="C436" s="189" t="str">
        <f t="shared" si="13"/>
        <v>Selezioni SÌ, se la distribuzione viene in buona parte sostituita o è nuova</v>
      </c>
      <c r="D436" s="21" t="s">
        <v>454</v>
      </c>
      <c r="E436" s="71" t="s">
        <v>1314</v>
      </c>
      <c r="F436" s="71" t="s">
        <v>1077</v>
      </c>
      <c r="G436" s="21" t="s">
        <v>1414</v>
      </c>
      <c r="H436" s="222" t="str">
        <f>IF(LEN(D436)&lt;256,"OK","Fehler")</f>
        <v>OK</v>
      </c>
      <c r="I436" s="222" t="str">
        <f>IF(LEN(E436)&lt;256,"OK","Fehler")</f>
        <v>OK</v>
      </c>
      <c r="J436" s="222" t="str">
        <f>IF(LEN(F436)&lt;256,"OK","Fehler")</f>
        <v>OK</v>
      </c>
      <c r="K436" s="222" t="str">
        <f>IF(LEN(G436)&lt;256,"OK","Fehler")</f>
        <v>OK</v>
      </c>
    </row>
    <row r="437" spans="1:11">
      <c r="A437" s="220"/>
      <c r="B437" s="167"/>
      <c r="C437" s="189" t="str">
        <f t="shared" si="13"/>
        <v>Errore</v>
      </c>
      <c r="D437" s="21" t="s">
        <v>120</v>
      </c>
      <c r="E437" s="71" t="s">
        <v>135</v>
      </c>
      <c r="F437" s="71" t="s">
        <v>124</v>
      </c>
      <c r="G437" s="21" t="s">
        <v>131</v>
      </c>
      <c r="H437" s="222" t="str">
        <f>IF(LEN(D437)&lt;33,"OK","Fehler")</f>
        <v>OK</v>
      </c>
      <c r="I437" s="222" t="str">
        <f>IF(LEN(E437)&lt;33,"OK","Fehler")</f>
        <v>OK</v>
      </c>
      <c r="J437" s="222" t="str">
        <f>IF(LEN(F437)&lt;33,"OK","Fehler")</f>
        <v>OK</v>
      </c>
      <c r="K437" s="222" t="str">
        <f>IF(LEN(G437)&lt;33,"OK","Fehler")</f>
        <v>OK</v>
      </c>
    </row>
    <row r="438" spans="1:11">
      <c r="A438" s="220"/>
      <c r="B438" s="167"/>
      <c r="C438" s="189" t="str">
        <f t="shared" si="13"/>
        <v>È necessario selezionare una voce dall'elenco.</v>
      </c>
      <c r="D438" s="21" t="s">
        <v>12</v>
      </c>
      <c r="E438" s="71" t="s">
        <v>1312</v>
      </c>
      <c r="F438" s="71" t="s">
        <v>1062</v>
      </c>
      <c r="G438" s="21" t="s">
        <v>1398</v>
      </c>
      <c r="H438" s="222" t="str">
        <f>IF(LEN(D438)&lt;256,"OK","Fehler")</f>
        <v>OK</v>
      </c>
      <c r="I438" s="222" t="str">
        <f>IF(LEN(E438)&lt;256,"OK","Fehler")</f>
        <v>OK</v>
      </c>
      <c r="J438" s="222" t="str">
        <f>IF(LEN(F438)&lt;256,"OK","Fehler")</f>
        <v>OK</v>
      </c>
      <c r="K438" s="222" t="str">
        <f>IF(LEN(G438)&lt;256,"OK","Fehler")</f>
        <v>OK</v>
      </c>
    </row>
    <row r="439" spans="1:11">
      <c r="A439" s="220">
        <v>2</v>
      </c>
      <c r="B439" s="167" t="s">
        <v>432</v>
      </c>
      <c r="C439" s="189" t="str">
        <f t="shared" ref="C439:C470" si="14">INDEX($D439:$G439,1,MATCH(Sprachwahl,ListSprache,0))</f>
        <v>Impianto di ventilazione</v>
      </c>
      <c r="D439" s="21" t="s">
        <v>452</v>
      </c>
      <c r="E439" s="71" t="s">
        <v>1315</v>
      </c>
      <c r="F439" s="71" t="s">
        <v>1078</v>
      </c>
      <c r="G439" s="21" t="s">
        <v>1415</v>
      </c>
      <c r="H439" s="222" t="str">
        <f>IF(LEN(D439)&lt;33,"OK","Fehler")</f>
        <v>OK</v>
      </c>
      <c r="I439" s="222" t="str">
        <f>IF(LEN(E439)&lt;33,"OK","Fehler")</f>
        <v>OK</v>
      </c>
      <c r="J439" s="222" t="str">
        <f>IF(LEN(F439)&lt;33,"OK","Fehler")</f>
        <v>OK</v>
      </c>
      <c r="K439" s="222" t="str">
        <f>IF(LEN(G439)&lt;33,"OK","Fehler")</f>
        <v>OK</v>
      </c>
    </row>
    <row r="440" spans="1:11">
      <c r="A440" s="220"/>
      <c r="B440" s="167"/>
      <c r="C440" s="189" t="str">
        <f t="shared" si="14"/>
        <v>Selezioni SÌ, se la ventilazione viene in buona parte sostituita o è nuova</v>
      </c>
      <c r="D440" s="21" t="s">
        <v>451</v>
      </c>
      <c r="E440" s="71" t="s">
        <v>1316</v>
      </c>
      <c r="F440" s="71" t="s">
        <v>1079</v>
      </c>
      <c r="G440" s="21" t="s">
        <v>1416</v>
      </c>
      <c r="H440" s="222" t="str">
        <f>IF(LEN(D440)&lt;256,"OK","Fehler")</f>
        <v>OK</v>
      </c>
      <c r="I440" s="222" t="str">
        <f>IF(LEN(E440)&lt;256,"OK","Fehler")</f>
        <v>OK</v>
      </c>
      <c r="J440" s="222" t="str">
        <f>IF(LEN(F440)&lt;256,"OK","Fehler")</f>
        <v>OK</v>
      </c>
      <c r="K440" s="222" t="str">
        <f>IF(LEN(G440)&lt;256,"OK","Fehler")</f>
        <v>OK</v>
      </c>
    </row>
    <row r="441" spans="1:11">
      <c r="A441" s="220"/>
      <c r="B441" s="167"/>
      <c r="C441" s="189" t="str">
        <f t="shared" si="14"/>
        <v>Errore</v>
      </c>
      <c r="D441" s="21" t="s">
        <v>120</v>
      </c>
      <c r="E441" s="71" t="s">
        <v>135</v>
      </c>
      <c r="F441" s="71" t="s">
        <v>124</v>
      </c>
      <c r="G441" s="21" t="s">
        <v>131</v>
      </c>
      <c r="H441" s="222" t="str">
        <f>IF(LEN(D441)&lt;33,"OK","Fehler")</f>
        <v>OK</v>
      </c>
      <c r="I441" s="222" t="str">
        <f>IF(LEN(E441)&lt;33,"OK","Fehler")</f>
        <v>OK</v>
      </c>
      <c r="J441" s="222" t="str">
        <f>IF(LEN(F441)&lt;33,"OK","Fehler")</f>
        <v>OK</v>
      </c>
      <c r="K441" s="222" t="str">
        <f>IF(LEN(G441)&lt;33,"OK","Fehler")</f>
        <v>OK</v>
      </c>
    </row>
    <row r="442" spans="1:11">
      <c r="A442" s="220"/>
      <c r="B442" s="167"/>
      <c r="C442" s="189" t="str">
        <f t="shared" si="14"/>
        <v>È necessario selezionare una voce dall'elenco.</v>
      </c>
      <c r="D442" s="21" t="s">
        <v>12</v>
      </c>
      <c r="E442" s="21" t="s">
        <v>1312</v>
      </c>
      <c r="F442" s="71" t="s">
        <v>1062</v>
      </c>
      <c r="G442" s="21" t="s">
        <v>1398</v>
      </c>
      <c r="H442" s="222" t="str">
        <f>IF(LEN(D442)&lt;256,"OK","Fehler")</f>
        <v>OK</v>
      </c>
      <c r="I442" s="222" t="str">
        <f>IF(LEN(E442)&lt;256,"OK","Fehler")</f>
        <v>OK</v>
      </c>
      <c r="J442" s="222" t="str">
        <f>IF(LEN(F442)&lt;256,"OK","Fehler")</f>
        <v>OK</v>
      </c>
      <c r="K442" s="222" t="str">
        <f>IF(LEN(G442)&lt;256,"OK","Fehler")</f>
        <v>OK</v>
      </c>
    </row>
    <row r="443" spans="1:11">
      <c r="A443" s="220">
        <v>2</v>
      </c>
      <c r="B443" s="167" t="s">
        <v>433</v>
      </c>
      <c r="C443" s="189" t="str">
        <f t="shared" si="14"/>
        <v>Impianti elettrici</v>
      </c>
      <c r="D443" s="21" t="s">
        <v>373</v>
      </c>
      <c r="E443" s="21" t="s">
        <v>1317</v>
      </c>
      <c r="F443" s="71" t="s">
        <v>1080</v>
      </c>
      <c r="G443" s="21" t="s">
        <v>1417</v>
      </c>
      <c r="H443" s="222" t="str">
        <f>IF(LEN(D443)&lt;33,"OK","Fehler")</f>
        <v>OK</v>
      </c>
      <c r="I443" s="222" t="str">
        <f>IF(LEN(E443)&lt;33,"OK","Fehler")</f>
        <v>OK</v>
      </c>
      <c r="J443" s="222" t="str">
        <f>IF(LEN(F443)&lt;33,"OK","Fehler")</f>
        <v>OK</v>
      </c>
      <c r="K443" s="222" t="str">
        <f>IF(LEN(G443)&lt;33,"OK","Fehler")</f>
        <v>OK</v>
      </c>
    </row>
    <row r="444" spans="1:11">
      <c r="A444" s="220"/>
      <c r="B444" s="167"/>
      <c r="C444" s="189" t="str">
        <f t="shared" si="14"/>
        <v>Selezioni SÌ, se le installazioni elettriche vengono in buona parte sostituite o sono nuove</v>
      </c>
      <c r="D444" s="21" t="s">
        <v>450</v>
      </c>
      <c r="E444" s="21" t="s">
        <v>1318</v>
      </c>
      <c r="F444" s="71" t="s">
        <v>1081</v>
      </c>
      <c r="G444" s="21" t="s">
        <v>1418</v>
      </c>
      <c r="H444" s="222" t="str">
        <f>IF(LEN(D444)&lt;256,"OK","Fehler")</f>
        <v>OK</v>
      </c>
      <c r="I444" s="222" t="str">
        <f>IF(LEN(E444)&lt;256,"OK","Fehler")</f>
        <v>OK</v>
      </c>
      <c r="J444" s="222" t="str">
        <f>IF(LEN(F444)&lt;256,"OK","Fehler")</f>
        <v>OK</v>
      </c>
      <c r="K444" s="222" t="str">
        <f>IF(LEN(G444)&lt;256,"OK","Fehler")</f>
        <v>OK</v>
      </c>
    </row>
    <row r="445" spans="1:11">
      <c r="A445" s="220"/>
      <c r="B445" s="167"/>
      <c r="C445" s="189" t="str">
        <f t="shared" si="14"/>
        <v>Errore</v>
      </c>
      <c r="D445" s="21" t="s">
        <v>120</v>
      </c>
      <c r="E445" s="21" t="s">
        <v>135</v>
      </c>
      <c r="F445" s="71" t="s">
        <v>124</v>
      </c>
      <c r="G445" s="21" t="s">
        <v>131</v>
      </c>
      <c r="H445" s="222" t="str">
        <f>IF(LEN(D445)&lt;33,"OK","Fehler")</f>
        <v>OK</v>
      </c>
      <c r="I445" s="222" t="str">
        <f>IF(LEN(E445)&lt;33,"OK","Fehler")</f>
        <v>OK</v>
      </c>
      <c r="J445" s="222" t="str">
        <f>IF(LEN(F445)&lt;33,"OK","Fehler")</f>
        <v>OK</v>
      </c>
      <c r="K445" s="222" t="str">
        <f>IF(LEN(G445)&lt;33,"OK","Fehler")</f>
        <v>OK</v>
      </c>
    </row>
    <row r="446" spans="1:11">
      <c r="A446" s="220"/>
      <c r="B446" s="167"/>
      <c r="C446" s="189" t="str">
        <f t="shared" si="14"/>
        <v>È necessario selezionare una voce dall'elenco.</v>
      </c>
      <c r="D446" s="21" t="s">
        <v>12</v>
      </c>
      <c r="E446" s="21" t="s">
        <v>1312</v>
      </c>
      <c r="F446" s="71" t="s">
        <v>1062</v>
      </c>
      <c r="G446" s="21" t="s">
        <v>1398</v>
      </c>
      <c r="H446" s="222" t="str">
        <f>IF(LEN(D446)&lt;256,"OK","Fehler")</f>
        <v>OK</v>
      </c>
      <c r="I446" s="222" t="str">
        <f>IF(LEN(E446)&lt;256,"OK","Fehler")</f>
        <v>OK</v>
      </c>
      <c r="J446" s="222" t="str">
        <f>IF(LEN(F446)&lt;256,"OK","Fehler")</f>
        <v>OK</v>
      </c>
      <c r="K446" s="222" t="str">
        <f>IF(LEN(G446)&lt;256,"OK","Fehler")</f>
        <v>OK</v>
      </c>
    </row>
    <row r="447" spans="1:11">
      <c r="A447" s="220">
        <v>2</v>
      </c>
      <c r="B447" s="167" t="s">
        <v>2392</v>
      </c>
      <c r="C447" s="189" t="str">
        <f t="shared" si="14"/>
        <v>Tipologia della pianta</v>
      </c>
      <c r="D447" s="21" t="s">
        <v>337</v>
      </c>
      <c r="E447" s="21" t="s">
        <v>1135</v>
      </c>
      <c r="F447" s="71" t="s">
        <v>1082</v>
      </c>
      <c r="G447" s="21" t="s">
        <v>1419</v>
      </c>
      <c r="H447" s="222" t="str">
        <f>IF(LEN(D447)&lt;33,"OK","Fehler")</f>
        <v>OK</v>
      </c>
      <c r="I447" s="222" t="str">
        <f>IF(LEN(E447)&lt;33,"OK","Fehler")</f>
        <v>OK</v>
      </c>
      <c r="J447" s="222" t="str">
        <f>IF(LEN(F447)&lt;33,"OK","Fehler")</f>
        <v>OK</v>
      </c>
      <c r="K447" s="222" t="str">
        <f>IF(LEN(G447)&lt;33,"OK","Fehler")</f>
        <v>OK</v>
      </c>
    </row>
    <row r="448" spans="1:11">
      <c r="A448" s="220"/>
      <c r="B448" s="167"/>
      <c r="C448" s="189" t="str">
        <f t="shared" si="14"/>
        <v>Selezioni nell'elenco la tipologia di pianta più affine.</v>
      </c>
      <c r="D448" s="21" t="s">
        <v>455</v>
      </c>
      <c r="E448" s="21" t="s">
        <v>1319</v>
      </c>
      <c r="F448" s="71" t="s">
        <v>1083</v>
      </c>
      <c r="G448" s="21" t="s">
        <v>1420</v>
      </c>
      <c r="H448" s="222" t="str">
        <f>IF(LEN(D448)&lt;256,"OK","Fehler")</f>
        <v>OK</v>
      </c>
      <c r="I448" s="222" t="str">
        <f>IF(LEN(E448)&lt;256,"OK","Fehler")</f>
        <v>OK</v>
      </c>
      <c r="J448" s="222" t="str">
        <f>IF(LEN(F448)&lt;256,"OK","Fehler")</f>
        <v>OK</v>
      </c>
      <c r="K448" s="222" t="str">
        <f>IF(LEN(G448)&lt;256,"OK","Fehler")</f>
        <v>OK</v>
      </c>
    </row>
    <row r="449" spans="1:11">
      <c r="A449" s="220"/>
      <c r="B449" s="167"/>
      <c r="C449" s="189" t="str">
        <f t="shared" si="14"/>
        <v>Errore</v>
      </c>
      <c r="D449" s="21" t="s">
        <v>120</v>
      </c>
      <c r="E449" s="21" t="s">
        <v>135</v>
      </c>
      <c r="F449" s="71" t="s">
        <v>124</v>
      </c>
      <c r="G449" s="21" t="s">
        <v>131</v>
      </c>
      <c r="H449" s="222" t="str">
        <f>IF(LEN(D449)&lt;33,"OK","Fehler")</f>
        <v>OK</v>
      </c>
      <c r="I449" s="222" t="str">
        <f>IF(LEN(E449)&lt;33,"OK","Fehler")</f>
        <v>OK</v>
      </c>
      <c r="J449" s="222" t="str">
        <f>IF(LEN(F449)&lt;33,"OK","Fehler")</f>
        <v>OK</v>
      </c>
      <c r="K449" s="222" t="str">
        <f>IF(LEN(G449)&lt;33,"OK","Fehler")</f>
        <v>OK</v>
      </c>
    </row>
    <row r="450" spans="1:11">
      <c r="A450" s="220"/>
      <c r="B450" s="167"/>
      <c r="C450" s="189" t="str">
        <f t="shared" si="14"/>
        <v>È necessario selezionare una voce dall'elenco.</v>
      </c>
      <c r="D450" s="21" t="s">
        <v>12</v>
      </c>
      <c r="E450" s="21" t="s">
        <v>1312</v>
      </c>
      <c r="F450" s="71" t="s">
        <v>1062</v>
      </c>
      <c r="G450" s="21" t="s">
        <v>1398</v>
      </c>
      <c r="H450" s="222" t="str">
        <f>IF(LEN(D450)&lt;256,"OK","Fehler")</f>
        <v>OK</v>
      </c>
      <c r="I450" s="222" t="str">
        <f>IF(LEN(E450)&lt;256,"OK","Fehler")</f>
        <v>OK</v>
      </c>
      <c r="J450" s="222" t="str">
        <f>IF(LEN(F450)&lt;256,"OK","Fehler")</f>
        <v>OK</v>
      </c>
      <c r="K450" s="222" t="str">
        <f>IF(LEN(G450)&lt;256,"OK","Fehler")</f>
        <v>OK</v>
      </c>
    </row>
    <row r="451" spans="1:11">
      <c r="A451" s="220">
        <v>2</v>
      </c>
      <c r="B451" s="167" t="s">
        <v>2393</v>
      </c>
      <c r="C451" s="189" t="str">
        <f t="shared" si="14"/>
        <v>Superfice dei piani</v>
      </c>
      <c r="D451" s="21" t="s">
        <v>188</v>
      </c>
      <c r="E451" s="21" t="s">
        <v>1320</v>
      </c>
      <c r="F451" s="71" t="s">
        <v>1084</v>
      </c>
      <c r="G451" s="21" t="s">
        <v>1421</v>
      </c>
      <c r="H451" s="222" t="str">
        <f>IF(LEN(D451)&lt;33,"OK","Fehler")</f>
        <v>OK</v>
      </c>
      <c r="I451" s="222" t="str">
        <f>IF(LEN(E451)&lt;33,"OK","Fehler")</f>
        <v>OK</v>
      </c>
      <c r="J451" s="222" t="str">
        <f>IF(LEN(F451)&lt;33,"OK","Fehler")</f>
        <v>OK</v>
      </c>
      <c r="K451" s="222" t="str">
        <f>IF(LEN(G451)&lt;33,"OK","Fehler")</f>
        <v>OK</v>
      </c>
    </row>
    <row r="452" spans="1:11">
      <c r="A452" s="220"/>
      <c r="B452" s="167"/>
      <c r="C452" s="189" t="str">
        <f t="shared" si="14"/>
        <v>Indicare la superficie dei piani (inclusa quella dei piani non riscaldati).</v>
      </c>
      <c r="D452" s="21" t="s">
        <v>456</v>
      </c>
      <c r="E452" s="21" t="s">
        <v>1321</v>
      </c>
      <c r="F452" s="71" t="s">
        <v>1085</v>
      </c>
      <c r="G452" s="21" t="s">
        <v>1422</v>
      </c>
      <c r="H452" s="222" t="str">
        <f>IF(LEN(D452)&lt;256,"OK","Fehler")</f>
        <v>OK</v>
      </c>
      <c r="I452" s="222" t="str">
        <f>IF(LEN(E452)&lt;256,"OK","Fehler")</f>
        <v>OK</v>
      </c>
      <c r="J452" s="222" t="str">
        <f>IF(LEN(F452)&lt;256,"OK","Fehler")</f>
        <v>OK</v>
      </c>
      <c r="K452" s="222" t="str">
        <f>IF(LEN(G452)&lt;256,"OK","Fehler")</f>
        <v>OK</v>
      </c>
    </row>
    <row r="453" spans="1:11">
      <c r="A453" s="220"/>
      <c r="B453" s="167"/>
      <c r="C453" s="189" t="str">
        <f t="shared" si="14"/>
        <v>Errore</v>
      </c>
      <c r="D453" s="21" t="s">
        <v>120</v>
      </c>
      <c r="E453" s="21" t="s">
        <v>135</v>
      </c>
      <c r="F453" s="71" t="s">
        <v>124</v>
      </c>
      <c r="G453" s="21" t="s">
        <v>131</v>
      </c>
      <c r="H453" s="222" t="str">
        <f>IF(LEN(D453)&lt;33,"OK","Fehler")</f>
        <v>OK</v>
      </c>
      <c r="I453" s="222" t="str">
        <f>IF(LEN(E453)&lt;33,"OK","Fehler")</f>
        <v>OK</v>
      </c>
      <c r="J453" s="222" t="str">
        <f>IF(LEN(F453)&lt;33,"OK","Fehler")</f>
        <v>OK</v>
      </c>
      <c r="K453" s="222" t="str">
        <f>IF(LEN(G453)&lt;33,"OK","Fehler")</f>
        <v>OK</v>
      </c>
    </row>
    <row r="454" spans="1:11">
      <c r="A454" s="220"/>
      <c r="B454" s="167"/>
      <c r="C454" s="189" t="str">
        <f t="shared" si="14"/>
        <v>Deve indicare un valore tra 0 e 300'000.</v>
      </c>
      <c r="D454" s="21" t="s">
        <v>457</v>
      </c>
      <c r="E454" s="21" t="s">
        <v>1322</v>
      </c>
      <c r="F454" s="71" t="s">
        <v>1086</v>
      </c>
      <c r="G454" s="21" t="s">
        <v>1423</v>
      </c>
      <c r="H454" s="222" t="str">
        <f>IF(LEN(D454)&lt;256,"OK","Fehler")</f>
        <v>OK</v>
      </c>
      <c r="I454" s="222" t="str">
        <f>IF(LEN(E454)&lt;256,"OK","Fehler")</f>
        <v>OK</v>
      </c>
      <c r="J454" s="222" t="str">
        <f>IF(LEN(F454)&lt;256,"OK","Fehler")</f>
        <v>OK</v>
      </c>
      <c r="K454" s="222" t="str">
        <f>IF(LEN(G454)&lt;256,"OK","Fehler")</f>
        <v>OK</v>
      </c>
    </row>
    <row r="455" spans="1:11">
      <c r="A455" s="220">
        <v>2</v>
      </c>
      <c r="B455" s="167" t="s">
        <v>2394</v>
      </c>
      <c r="C455" s="189" t="str">
        <f t="shared" si="14"/>
        <v>Superficie dei piani interrati</v>
      </c>
      <c r="D455" s="21" t="s">
        <v>1685</v>
      </c>
      <c r="E455" s="21" t="s">
        <v>1686</v>
      </c>
      <c r="F455" s="71" t="s">
        <v>1087</v>
      </c>
      <c r="G455" s="21" t="s">
        <v>1424</v>
      </c>
      <c r="H455" s="222" t="str">
        <f>IF(LEN(D455)&lt;33,"OK","Fehler")</f>
        <v>OK</v>
      </c>
      <c r="I455" s="222" t="str">
        <f>IF(LEN(E455)&lt;33,"OK","Fehler")</f>
        <v>OK</v>
      </c>
      <c r="J455" s="222" t="str">
        <f>IF(LEN(F455)&lt;33,"OK","Fehler")</f>
        <v>OK</v>
      </c>
      <c r="K455" s="222" t="str">
        <f>IF(LEN(G455)&lt;33,"OK","Fehler")</f>
        <v>OK</v>
      </c>
    </row>
    <row r="456" spans="1:11">
      <c r="A456" s="220"/>
      <c r="B456" s="167"/>
      <c r="C456" s="189" t="str">
        <f t="shared" si="14"/>
        <v>Indicare la superficie dei piani interrati.</v>
      </c>
      <c r="D456" s="21" t="s">
        <v>458</v>
      </c>
      <c r="E456" s="21" t="s">
        <v>1323</v>
      </c>
      <c r="F456" s="71" t="s">
        <v>1088</v>
      </c>
      <c r="G456" s="21" t="s">
        <v>1425</v>
      </c>
      <c r="H456" s="222" t="str">
        <f>IF(LEN(D456)&lt;256,"OK","Fehler")</f>
        <v>OK</v>
      </c>
      <c r="I456" s="222" t="str">
        <f>IF(LEN(E456)&lt;256,"OK","Fehler")</f>
        <v>OK</v>
      </c>
      <c r="J456" s="222" t="str">
        <f>IF(LEN(F456)&lt;256,"OK","Fehler")</f>
        <v>OK</v>
      </c>
      <c r="K456" s="222" t="str">
        <f>IF(LEN(G456)&lt;256,"OK","Fehler")</f>
        <v>OK</v>
      </c>
    </row>
    <row r="457" spans="1:11">
      <c r="A457" s="220"/>
      <c r="B457" s="167"/>
      <c r="C457" s="189" t="str">
        <f t="shared" si="14"/>
        <v>Errore</v>
      </c>
      <c r="D457" s="21" t="s">
        <v>120</v>
      </c>
      <c r="E457" s="21" t="s">
        <v>135</v>
      </c>
      <c r="F457" s="71" t="s">
        <v>124</v>
      </c>
      <c r="G457" s="21" t="s">
        <v>131</v>
      </c>
      <c r="H457" s="222" t="str">
        <f>IF(LEN(D457)&lt;33,"OK","Fehler")</f>
        <v>OK</v>
      </c>
      <c r="I457" s="222" t="str">
        <f>IF(LEN(E457)&lt;33,"OK","Fehler")</f>
        <v>OK</v>
      </c>
      <c r="J457" s="222" t="str">
        <f>IF(LEN(F457)&lt;33,"OK","Fehler")</f>
        <v>OK</v>
      </c>
      <c r="K457" s="222" t="str">
        <f>IF(LEN(G457)&lt;33,"OK","Fehler")</f>
        <v>OK</v>
      </c>
    </row>
    <row r="458" spans="1:11">
      <c r="A458" s="220"/>
      <c r="B458" s="167"/>
      <c r="C458" s="189" t="str">
        <f t="shared" si="14"/>
        <v>Deve indicare un valore tra 0 e quello della superficie del piano.</v>
      </c>
      <c r="D458" s="21" t="s">
        <v>459</v>
      </c>
      <c r="E458" s="21" t="s">
        <v>1324</v>
      </c>
      <c r="F458" s="71" t="s">
        <v>1089</v>
      </c>
      <c r="G458" s="21" t="s">
        <v>1426</v>
      </c>
      <c r="H458" s="222" t="str">
        <f>IF(LEN(D458)&lt;256,"OK","Fehler")</f>
        <v>OK</v>
      </c>
      <c r="I458" s="222" t="str">
        <f>IF(LEN(E458)&lt;256,"OK","Fehler")</f>
        <v>OK</v>
      </c>
      <c r="J458" s="222" t="str">
        <f>IF(LEN(F458)&lt;256,"OK","Fehler")</f>
        <v>OK</v>
      </c>
      <c r="K458" s="222" t="str">
        <f>IF(LEN(G458)&lt;256,"OK","Fehler")</f>
        <v>OK</v>
      </c>
    </row>
    <row r="459" spans="1:11">
      <c r="A459" s="220">
        <v>2</v>
      </c>
      <c r="B459" s="167" t="s">
        <v>2395</v>
      </c>
      <c r="C459" s="189" t="str">
        <f t="shared" si="14"/>
        <v>Piani interrati</v>
      </c>
      <c r="D459" s="21" t="s">
        <v>460</v>
      </c>
      <c r="E459" s="21" t="s">
        <v>1325</v>
      </c>
      <c r="F459" s="71" t="s">
        <v>1090</v>
      </c>
      <c r="G459" s="21" t="s">
        <v>1427</v>
      </c>
      <c r="H459" s="222" t="str">
        <f>IF(LEN(D459)&lt;33,"OK","Fehler")</f>
        <v>OK</v>
      </c>
      <c r="I459" s="222" t="str">
        <f>IF(LEN(E459)&lt;33,"OK","Fehler")</f>
        <v>OK</v>
      </c>
      <c r="J459" s="222" t="str">
        <f>IF(LEN(F459)&lt;33,"OK","Fehler")</f>
        <v>OK</v>
      </c>
      <c r="K459" s="222" t="str">
        <f>IF(LEN(G459)&lt;33,"OK","Fehler")</f>
        <v>OK</v>
      </c>
    </row>
    <row r="460" spans="1:11">
      <c r="A460" s="220"/>
      <c r="B460" s="167"/>
      <c r="C460" s="189" t="str">
        <f t="shared" si="14"/>
        <v>Indicare il numero dei piani interrati (numeri decimali sono ammessi).</v>
      </c>
      <c r="D460" s="21" t="s">
        <v>461</v>
      </c>
      <c r="E460" s="21" t="s">
        <v>1326</v>
      </c>
      <c r="F460" s="71" t="s">
        <v>1091</v>
      </c>
      <c r="G460" s="21" t="s">
        <v>1428</v>
      </c>
      <c r="H460" s="222" t="str">
        <f>IF(LEN(D460)&lt;256,"OK","Fehler")</f>
        <v>OK</v>
      </c>
      <c r="I460" s="222" t="str">
        <f>IF(LEN(E460)&lt;256,"OK","Fehler")</f>
        <v>OK</v>
      </c>
      <c r="J460" s="222" t="str">
        <f>IF(LEN(F460)&lt;256,"OK","Fehler")</f>
        <v>OK</v>
      </c>
      <c r="K460" s="222" t="str">
        <f>IF(LEN(G460)&lt;256,"OK","Fehler")</f>
        <v>OK</v>
      </c>
    </row>
    <row r="461" spans="1:11">
      <c r="A461" s="220"/>
      <c r="B461" s="167"/>
      <c r="C461" s="189" t="str">
        <f t="shared" si="14"/>
        <v>Errore</v>
      </c>
      <c r="D461" s="21" t="s">
        <v>120</v>
      </c>
      <c r="E461" s="21" t="s">
        <v>135</v>
      </c>
      <c r="F461" s="71" t="s">
        <v>124</v>
      </c>
      <c r="G461" s="21" t="s">
        <v>131</v>
      </c>
      <c r="H461" s="222" t="str">
        <f>IF(LEN(D461)&lt;33,"OK","Fehler")</f>
        <v>OK</v>
      </c>
      <c r="I461" s="222" t="str">
        <f>IF(LEN(E461)&lt;33,"OK","Fehler")</f>
        <v>OK</v>
      </c>
      <c r="J461" s="222" t="str">
        <f>IF(LEN(F461)&lt;33,"OK","Fehler")</f>
        <v>OK</v>
      </c>
      <c r="K461" s="222" t="str">
        <f>IF(LEN(G461)&lt;33,"OK","Fehler")</f>
        <v>OK</v>
      </c>
    </row>
    <row r="462" spans="1:11">
      <c r="A462" s="220"/>
      <c r="B462" s="167"/>
      <c r="C462" s="189" t="str">
        <f t="shared" si="14"/>
        <v>Deve indicare un valore tra 0 e 10.</v>
      </c>
      <c r="D462" s="21" t="s">
        <v>462</v>
      </c>
      <c r="E462" s="21" t="s">
        <v>1327</v>
      </c>
      <c r="F462" s="71" t="s">
        <v>1092</v>
      </c>
      <c r="G462" s="21" t="s">
        <v>1429</v>
      </c>
      <c r="H462" s="222" t="str">
        <f>IF(LEN(D462)&lt;256,"OK","Fehler")</f>
        <v>OK</v>
      </c>
      <c r="I462" s="222" t="str">
        <f>IF(LEN(E462)&lt;256,"OK","Fehler")</f>
        <v>OK</v>
      </c>
      <c r="J462" s="222" t="str">
        <f>IF(LEN(F462)&lt;256,"OK","Fehler")</f>
        <v>OK</v>
      </c>
      <c r="K462" s="222" t="str">
        <f>IF(LEN(G462)&lt;256,"OK","Fehler")</f>
        <v>OK</v>
      </c>
    </row>
    <row r="463" spans="1:11">
      <c r="A463" s="220">
        <v>2</v>
      </c>
      <c r="B463" s="167" t="s">
        <v>2396</v>
      </c>
      <c r="C463" s="189" t="str">
        <f t="shared" si="14"/>
        <v>Impianto solare termico</v>
      </c>
      <c r="D463" s="21" t="s">
        <v>463</v>
      </c>
      <c r="E463" s="21" t="s">
        <v>1328</v>
      </c>
      <c r="F463" s="71" t="s">
        <v>1093</v>
      </c>
      <c r="G463" s="21" t="s">
        <v>1430</v>
      </c>
      <c r="H463" s="222" t="str">
        <f>IF(LEN(D463)&lt;33,"OK","Fehler")</f>
        <v>OK</v>
      </c>
      <c r="I463" s="222" t="str">
        <f>IF(LEN(E463)&lt;33,"OK","Fehler")</f>
        <v>OK</v>
      </c>
      <c r="J463" s="222" t="str">
        <f>IF(LEN(F463)&lt;33,"OK","Fehler")</f>
        <v>OK</v>
      </c>
      <c r="K463" s="222" t="str">
        <f>IF(LEN(G463)&lt;33,"OK","Fehler")</f>
        <v>OK</v>
      </c>
    </row>
    <row r="464" spans="1:11">
      <c r="A464" s="220"/>
      <c r="B464" s="167"/>
      <c r="C464" s="189" t="str">
        <f t="shared" si="14"/>
        <v>Indichi la superficie netta dell'assorbitore.</v>
      </c>
      <c r="D464" s="21" t="s">
        <v>464</v>
      </c>
      <c r="E464" s="21" t="s">
        <v>1329</v>
      </c>
      <c r="F464" s="71" t="s">
        <v>1094</v>
      </c>
      <c r="G464" s="21" t="s">
        <v>1431</v>
      </c>
      <c r="H464" s="222" t="str">
        <f>IF(LEN(D464)&lt;256,"OK","Fehler")</f>
        <v>OK</v>
      </c>
      <c r="I464" s="222" t="str">
        <f>IF(LEN(E464)&lt;256,"OK","Fehler")</f>
        <v>OK</v>
      </c>
      <c r="J464" s="222" t="str">
        <f>IF(LEN(F464)&lt;256,"OK","Fehler")</f>
        <v>OK</v>
      </c>
      <c r="K464" s="222" t="str">
        <f>IF(LEN(G464)&lt;256,"OK","Fehler")</f>
        <v>OK</v>
      </c>
    </row>
    <row r="465" spans="1:11">
      <c r="A465" s="220"/>
      <c r="B465" s="167"/>
      <c r="C465" s="189" t="str">
        <f t="shared" si="14"/>
        <v>Errore</v>
      </c>
      <c r="D465" s="21" t="s">
        <v>120</v>
      </c>
      <c r="E465" s="21" t="s">
        <v>135</v>
      </c>
      <c r="F465" s="71" t="s">
        <v>124</v>
      </c>
      <c r="G465" s="21" t="s">
        <v>131</v>
      </c>
      <c r="H465" s="222" t="str">
        <f>IF(LEN(D465)&lt;33,"OK","Fehler")</f>
        <v>OK</v>
      </c>
      <c r="I465" s="222" t="str">
        <f>IF(LEN(E465)&lt;33,"OK","Fehler")</f>
        <v>OK</v>
      </c>
      <c r="J465" s="222" t="str">
        <f>IF(LEN(F465)&lt;33,"OK","Fehler")</f>
        <v>OK</v>
      </c>
      <c r="K465" s="222" t="str">
        <f>IF(LEN(G465)&lt;33,"OK","Fehler")</f>
        <v>OK</v>
      </c>
    </row>
    <row r="466" spans="1:11">
      <c r="A466" s="220"/>
      <c r="B466" s="167"/>
      <c r="C466" s="189" t="str">
        <f t="shared" si="14"/>
        <v>Deve indicare un valore tra 0 e 2.5 volte la superfice del piano.</v>
      </c>
      <c r="D466" s="21" t="s">
        <v>447</v>
      </c>
      <c r="E466" s="21" t="s">
        <v>1330</v>
      </c>
      <c r="F466" s="71" t="s">
        <v>1074</v>
      </c>
      <c r="G466" s="21" t="s">
        <v>1410</v>
      </c>
      <c r="H466" s="222" t="str">
        <f>IF(LEN(D466)&lt;256,"OK","Fehler")</f>
        <v>OK</v>
      </c>
      <c r="I466" s="222" t="str">
        <f>IF(LEN(E466)&lt;256,"OK","Fehler")</f>
        <v>OK</v>
      </c>
      <c r="J466" s="222" t="str">
        <f>IF(LEN(F466)&lt;256,"OK","Fehler")</f>
        <v>OK</v>
      </c>
      <c r="K466" s="222" t="str">
        <f>IF(LEN(G466)&lt;256,"OK","Fehler")</f>
        <v>OK</v>
      </c>
    </row>
    <row r="467" spans="1:11">
      <c r="A467" s="220">
        <v>2</v>
      </c>
      <c r="B467" s="167" t="s">
        <v>2397</v>
      </c>
      <c r="C467" s="189" t="str">
        <f t="shared" si="14"/>
        <v>Generatore termico</v>
      </c>
      <c r="D467" s="21" t="s">
        <v>261</v>
      </c>
      <c r="E467" s="21" t="s">
        <v>1331</v>
      </c>
      <c r="F467" s="71" t="s">
        <v>1095</v>
      </c>
      <c r="G467" s="21" t="s">
        <v>1432</v>
      </c>
      <c r="H467" s="222" t="str">
        <f>IF(LEN(D467)&lt;33,"OK","Fehler")</f>
        <v>OK</v>
      </c>
      <c r="I467" s="222" t="str">
        <f>IF(LEN(E467)&lt;33,"OK","Fehler")</f>
        <v>OK</v>
      </c>
      <c r="J467" s="222" t="str">
        <f>IF(LEN(F467)&lt;33,"OK","Fehler")</f>
        <v>OK</v>
      </c>
      <c r="K467" s="222" t="str">
        <f>IF(LEN(G467)&lt;33,"OK","Fehler")</f>
        <v>OK</v>
      </c>
    </row>
    <row r="468" spans="1:11">
      <c r="A468" s="220"/>
      <c r="B468" s="167"/>
      <c r="C468" s="189" t="str">
        <f t="shared" si="14"/>
        <v>Selezioni SÌ, se il generatore termico viene in buona parte sostituito o è nuovo</v>
      </c>
      <c r="D468" s="21" t="s">
        <v>465</v>
      </c>
      <c r="E468" s="21" t="s">
        <v>1332</v>
      </c>
      <c r="F468" s="71" t="s">
        <v>1096</v>
      </c>
      <c r="G468" s="21" t="s">
        <v>1433</v>
      </c>
      <c r="H468" s="222" t="str">
        <f>IF(LEN(D468)&lt;256,"OK","Fehler")</f>
        <v>OK</v>
      </c>
      <c r="I468" s="222" t="str">
        <f>IF(LEN(E468)&lt;256,"OK","Fehler")</f>
        <v>OK</v>
      </c>
      <c r="J468" s="222" t="str">
        <f>IF(LEN(F468)&lt;256,"OK","Fehler")</f>
        <v>OK</v>
      </c>
      <c r="K468" s="222" t="str">
        <f>IF(LEN(G468)&lt;256,"OK","Fehler")</f>
        <v>OK</v>
      </c>
    </row>
    <row r="469" spans="1:11">
      <c r="A469" s="220"/>
      <c r="B469" s="167"/>
      <c r="C469" s="189" t="str">
        <f t="shared" si="14"/>
        <v>Errore</v>
      </c>
      <c r="D469" s="21" t="s">
        <v>120</v>
      </c>
      <c r="E469" s="21" t="s">
        <v>135</v>
      </c>
      <c r="F469" s="71" t="s">
        <v>124</v>
      </c>
      <c r="G469" s="21" t="s">
        <v>131</v>
      </c>
      <c r="H469" s="222" t="str">
        <f>IF(LEN(D469)&lt;33,"OK","Fehler")</f>
        <v>OK</v>
      </c>
      <c r="I469" s="222" t="str">
        <f>IF(LEN(E469)&lt;33,"OK","Fehler")</f>
        <v>OK</v>
      </c>
      <c r="J469" s="222" t="str">
        <f>IF(LEN(F469)&lt;33,"OK","Fehler")</f>
        <v>OK</v>
      </c>
      <c r="K469" s="222" t="str">
        <f>IF(LEN(G469)&lt;33,"OK","Fehler")</f>
        <v>OK</v>
      </c>
    </row>
    <row r="470" spans="1:11">
      <c r="A470" s="220"/>
      <c r="B470" s="167"/>
      <c r="C470" s="189" t="str">
        <f t="shared" si="14"/>
        <v>È necessario selezionare una voce dall'elenco.</v>
      </c>
      <c r="D470" s="21" t="s">
        <v>12</v>
      </c>
      <c r="E470" s="21" t="s">
        <v>1312</v>
      </c>
      <c r="F470" s="71" t="s">
        <v>1062</v>
      </c>
      <c r="G470" s="21" t="s">
        <v>1398</v>
      </c>
      <c r="H470" s="222" t="str">
        <f>IF(LEN(D470)&lt;256,"OK","Fehler")</f>
        <v>OK</v>
      </c>
      <c r="I470" s="222" t="str">
        <f>IF(LEN(E470)&lt;256,"OK","Fehler")</f>
        <v>OK</v>
      </c>
      <c r="J470" s="222" t="str">
        <f>IF(LEN(F470)&lt;256,"OK","Fehler")</f>
        <v>OK</v>
      </c>
      <c r="K470" s="222" t="str">
        <f>IF(LEN(G470)&lt;256,"OK","Fehler")</f>
        <v>OK</v>
      </c>
    </row>
    <row r="471" spans="1:11">
      <c r="A471" s="220">
        <v>2</v>
      </c>
      <c r="B471" s="167" t="s">
        <v>2398</v>
      </c>
      <c r="C471" s="189" t="str">
        <f t="shared" ref="C471:C498" si="15">INDEX($D471:$G471,1,MATCH(Sprachwahl,ListSprache,0))</f>
        <v>Emissione del calore</v>
      </c>
      <c r="D471" s="21" t="s">
        <v>372</v>
      </c>
      <c r="E471" s="21" t="s">
        <v>1333</v>
      </c>
      <c r="F471" s="71" t="s">
        <v>1097</v>
      </c>
      <c r="G471" s="21" t="s">
        <v>1434</v>
      </c>
      <c r="H471" s="222" t="str">
        <f>IF(LEN(D471)&lt;33,"OK","Fehler")</f>
        <v>OK</v>
      </c>
      <c r="I471" s="222" t="str">
        <f>IF(LEN(E471)&lt;33,"OK","Fehler")</f>
        <v>OK</v>
      </c>
      <c r="J471" s="222" t="str">
        <f>IF(LEN(F471)&lt;33,"OK","Fehler")</f>
        <v>OK</v>
      </c>
      <c r="K471" s="222" t="str">
        <f>IF(LEN(G471)&lt;33,"OK","Fehler")</f>
        <v>OK</v>
      </c>
    </row>
    <row r="472" spans="1:11">
      <c r="A472" s="220"/>
      <c r="B472" s="167"/>
      <c r="C472" s="189" t="str">
        <f t="shared" si="15"/>
        <v>Selezioni SÌ, se il sistema d'emissione del calore (corpi riscaldanti ecc.) viene in buona parte sostituito o è nuovo.</v>
      </c>
      <c r="D472" s="21" t="s">
        <v>466</v>
      </c>
      <c r="E472" s="21" t="s">
        <v>1334</v>
      </c>
      <c r="F472" s="71" t="s">
        <v>1098</v>
      </c>
      <c r="G472" s="21" t="s">
        <v>1435</v>
      </c>
      <c r="H472" s="222" t="str">
        <f>IF(LEN(D472)&lt;256,"OK","Fehler")</f>
        <v>OK</v>
      </c>
      <c r="I472" s="222" t="str">
        <f>IF(LEN(E472)&lt;256,"OK","Fehler")</f>
        <v>OK</v>
      </c>
      <c r="J472" s="222" t="str">
        <f>IF(LEN(F472)&lt;256,"OK","Fehler")</f>
        <v>OK</v>
      </c>
      <c r="K472" s="222" t="str">
        <f>IF(LEN(G472)&lt;256,"OK","Fehler")</f>
        <v>OK</v>
      </c>
    </row>
    <row r="473" spans="1:11">
      <c r="A473" s="220"/>
      <c r="B473" s="167"/>
      <c r="C473" s="189" t="str">
        <f t="shared" si="15"/>
        <v>Errore</v>
      </c>
      <c r="D473" s="21" t="s">
        <v>120</v>
      </c>
      <c r="E473" s="21" t="s">
        <v>135</v>
      </c>
      <c r="F473" s="71" t="s">
        <v>124</v>
      </c>
      <c r="G473" s="21" t="s">
        <v>131</v>
      </c>
      <c r="H473" s="222" t="str">
        <f>IF(LEN(D473)&lt;33,"OK","Fehler")</f>
        <v>OK</v>
      </c>
      <c r="I473" s="222" t="str">
        <f>IF(LEN(E473)&lt;33,"OK","Fehler")</f>
        <v>OK</v>
      </c>
      <c r="J473" s="222" t="str">
        <f>IF(LEN(F473)&lt;33,"OK","Fehler")</f>
        <v>OK</v>
      </c>
      <c r="K473" s="222" t="str">
        <f>IF(LEN(G473)&lt;33,"OK","Fehler")</f>
        <v>OK</v>
      </c>
    </row>
    <row r="474" spans="1:11">
      <c r="A474" s="220"/>
      <c r="B474" s="167"/>
      <c r="C474" s="189" t="str">
        <f t="shared" si="15"/>
        <v>È necessario selezionare una voce dall'elenco.</v>
      </c>
      <c r="D474" s="21" t="s">
        <v>12</v>
      </c>
      <c r="E474" s="21" t="s">
        <v>1312</v>
      </c>
      <c r="F474" s="71" t="s">
        <v>1062</v>
      </c>
      <c r="G474" s="21" t="s">
        <v>1398</v>
      </c>
      <c r="H474" s="222" t="str">
        <f>IF(LEN(D474)&lt;256,"OK","Fehler")</f>
        <v>OK</v>
      </c>
      <c r="I474" s="222" t="str">
        <f>IF(LEN(E474)&lt;256,"OK","Fehler")</f>
        <v>OK</v>
      </c>
      <c r="J474" s="222" t="str">
        <f>IF(LEN(F474)&lt;256,"OK","Fehler")</f>
        <v>OK</v>
      </c>
      <c r="K474" s="222" t="str">
        <f>IF(LEN(G474)&lt;256,"OK","Fehler")</f>
        <v>OK</v>
      </c>
    </row>
    <row r="475" spans="1:11">
      <c r="A475" s="220">
        <v>2</v>
      </c>
      <c r="B475" s="167" t="s">
        <v>2399</v>
      </c>
      <c r="C475" s="189" t="str">
        <f t="shared" si="15"/>
        <v>Impianti sanitari</v>
      </c>
      <c r="D475" s="21" t="s">
        <v>369</v>
      </c>
      <c r="E475" s="21" t="s">
        <v>1335</v>
      </c>
      <c r="F475" s="71" t="s">
        <v>1099</v>
      </c>
      <c r="G475" s="21" t="s">
        <v>1436</v>
      </c>
      <c r="H475" s="222" t="str">
        <f>IF(LEN(D475)&lt;33,"OK","Fehler")</f>
        <v>OK</v>
      </c>
      <c r="I475" s="222" t="str">
        <f>IF(LEN(E475)&lt;33,"OK","Fehler")</f>
        <v>OK</v>
      </c>
      <c r="J475" s="222" t="str">
        <f>IF(LEN(F475)&lt;33,"OK","Fehler")</f>
        <v>OK</v>
      </c>
      <c r="K475" s="222" t="str">
        <f>IF(LEN(G475)&lt;33,"OK","Fehler")</f>
        <v>OK</v>
      </c>
    </row>
    <row r="476" spans="1:11">
      <c r="A476" s="220"/>
      <c r="B476" s="167"/>
      <c r="C476" s="189" t="str">
        <f t="shared" si="15"/>
        <v>Selezioni SÌ, se gli impianti sanitari vengono in buona parte sostituiti o sono nuovi.</v>
      </c>
      <c r="D476" s="21" t="s">
        <v>467</v>
      </c>
      <c r="E476" s="21" t="s">
        <v>1336</v>
      </c>
      <c r="F476" s="71" t="s">
        <v>1100</v>
      </c>
      <c r="G476" s="21" t="s">
        <v>1437</v>
      </c>
      <c r="H476" s="222" t="str">
        <f>IF(LEN(D476)&lt;256,"OK","Fehler")</f>
        <v>OK</v>
      </c>
      <c r="I476" s="222" t="str">
        <f>IF(LEN(E476)&lt;256,"OK","Fehler")</f>
        <v>OK</v>
      </c>
      <c r="J476" s="222" t="str">
        <f>IF(LEN(F476)&lt;256,"OK","Fehler")</f>
        <v>OK</v>
      </c>
      <c r="K476" s="222" t="str">
        <f>IF(LEN(G476)&lt;256,"OK","Fehler")</f>
        <v>OK</v>
      </c>
    </row>
    <row r="477" spans="1:11">
      <c r="A477" s="220"/>
      <c r="B477" s="167"/>
      <c r="C477" s="189" t="str">
        <f t="shared" si="15"/>
        <v>Errore</v>
      </c>
      <c r="D477" s="21" t="s">
        <v>120</v>
      </c>
      <c r="E477" s="21" t="s">
        <v>135</v>
      </c>
      <c r="F477" s="71" t="s">
        <v>124</v>
      </c>
      <c r="G477" s="21" t="s">
        <v>131</v>
      </c>
      <c r="H477" s="222" t="str">
        <f>IF(LEN(D477)&lt;33,"OK","Fehler")</f>
        <v>OK</v>
      </c>
      <c r="I477" s="222" t="str">
        <f>IF(LEN(E477)&lt;33,"OK","Fehler")</f>
        <v>OK</v>
      </c>
      <c r="J477" s="222" t="str">
        <f>IF(LEN(F477)&lt;33,"OK","Fehler")</f>
        <v>OK</v>
      </c>
      <c r="K477" s="222" t="str">
        <f>IF(LEN(G477)&lt;33,"OK","Fehler")</f>
        <v>OK</v>
      </c>
    </row>
    <row r="478" spans="1:11">
      <c r="A478" s="220"/>
      <c r="B478" s="167"/>
      <c r="C478" s="189" t="str">
        <f t="shared" si="15"/>
        <v>È necessario selezionare una voce dall'elenco.</v>
      </c>
      <c r="D478" s="21" t="s">
        <v>12</v>
      </c>
      <c r="E478" s="21" t="s">
        <v>1312</v>
      </c>
      <c r="F478" s="71" t="s">
        <v>1062</v>
      </c>
      <c r="G478" s="21" t="s">
        <v>1398</v>
      </c>
      <c r="H478" s="222" t="str">
        <f>IF(LEN(D478)&lt;256,"OK","Fehler")</f>
        <v>OK</v>
      </c>
      <c r="I478" s="222" t="str">
        <f>IF(LEN(E478)&lt;256,"OK","Fehler")</f>
        <v>OK</v>
      </c>
      <c r="J478" s="222" t="str">
        <f>IF(LEN(F478)&lt;256,"OK","Fehler")</f>
        <v>OK</v>
      </c>
      <c r="K478" s="222" t="str">
        <f>IF(LEN(G478)&lt;256,"OK","Fehler")</f>
        <v>OK</v>
      </c>
    </row>
    <row r="479" spans="1:11">
      <c r="A479" s="220">
        <v>2</v>
      </c>
      <c r="B479" s="167" t="s">
        <v>434</v>
      </c>
      <c r="C479" s="189" t="str">
        <f t="shared" si="15"/>
        <v>eCCC-E</v>
      </c>
      <c r="D479" s="21" t="s">
        <v>189</v>
      </c>
      <c r="E479" s="71" t="s">
        <v>1337</v>
      </c>
      <c r="F479" s="71" t="s">
        <v>911</v>
      </c>
      <c r="G479" s="21" t="s">
        <v>189</v>
      </c>
      <c r="H479" s="222" t="str">
        <f>IF(LEN(D479)&lt;33,"OK","Fehler")</f>
        <v>OK</v>
      </c>
      <c r="I479" s="222" t="str">
        <f>IF(LEN(E479)&lt;33,"OK","Fehler")</f>
        <v>OK</v>
      </c>
      <c r="J479" s="222" t="str">
        <f>IF(LEN(F479)&lt;33,"OK","Fehler")</f>
        <v>OK</v>
      </c>
      <c r="K479" s="222" t="str">
        <f>IF(LEN(G479)&lt;33,"OK","Fehler")</f>
        <v>OK</v>
      </c>
    </row>
    <row r="480" spans="1:11">
      <c r="A480" s="220"/>
      <c r="B480" s="167"/>
      <c r="C480" s="189" t="str">
        <f t="shared" si="15"/>
        <v>Selezioni dalla lista la rispettiva categoria del eCCC-E.</v>
      </c>
      <c r="D480" s="21" t="s">
        <v>468</v>
      </c>
      <c r="E480" s="21" t="s">
        <v>1338</v>
      </c>
      <c r="F480" s="71" t="s">
        <v>1101</v>
      </c>
      <c r="G480" s="21" t="s">
        <v>1438</v>
      </c>
      <c r="H480" s="222" t="str">
        <f>IF(LEN(D480)&lt;256,"OK","Fehler")</f>
        <v>OK</v>
      </c>
      <c r="I480" s="222" t="str">
        <f>IF(LEN(E480)&lt;256,"OK","Fehler")</f>
        <v>OK</v>
      </c>
      <c r="J480" s="222" t="str">
        <f>IF(LEN(F480)&lt;256,"OK","Fehler")</f>
        <v>OK</v>
      </c>
      <c r="K480" s="222" t="str">
        <f>IF(LEN(G480)&lt;256,"OK","Fehler")</f>
        <v>OK</v>
      </c>
    </row>
    <row r="481" spans="1:11">
      <c r="A481" s="220"/>
      <c r="B481" s="167"/>
      <c r="C481" s="189" t="str">
        <f t="shared" si="15"/>
        <v>Errore</v>
      </c>
      <c r="D481" s="21" t="s">
        <v>120</v>
      </c>
      <c r="E481" s="21" t="s">
        <v>135</v>
      </c>
      <c r="F481" s="71" t="s">
        <v>124</v>
      </c>
      <c r="G481" s="21" t="s">
        <v>131</v>
      </c>
      <c r="H481" s="222" t="str">
        <f>IF(LEN(D481)&lt;33,"OK","Fehler")</f>
        <v>OK</v>
      </c>
      <c r="I481" s="222" t="str">
        <f>IF(LEN(E481)&lt;33,"OK","Fehler")</f>
        <v>OK</v>
      </c>
      <c r="J481" s="222" t="str">
        <f>IF(LEN(F481)&lt;33,"OK","Fehler")</f>
        <v>OK</v>
      </c>
      <c r="K481" s="222" t="str">
        <f>IF(LEN(G481)&lt;33,"OK","Fehler")</f>
        <v>OK</v>
      </c>
    </row>
    <row r="482" spans="1:11">
      <c r="A482" s="220"/>
      <c r="B482" s="167"/>
      <c r="C482" s="189" t="str">
        <f t="shared" si="15"/>
        <v>È necessario selezionare una voce dall'elenco.</v>
      </c>
      <c r="D482" s="21" t="s">
        <v>12</v>
      </c>
      <c r="E482" s="21" t="s">
        <v>1312</v>
      </c>
      <c r="F482" s="71" t="s">
        <v>1062</v>
      </c>
      <c r="G482" s="21" t="s">
        <v>1398</v>
      </c>
      <c r="H482" s="222" t="str">
        <f>IF(LEN(D482)&lt;256,"OK","Fehler")</f>
        <v>OK</v>
      </c>
      <c r="I482" s="222" t="str">
        <f>IF(LEN(E482)&lt;256,"OK","Fehler")</f>
        <v>OK</v>
      </c>
      <c r="J482" s="222" t="str">
        <f>IF(LEN(F482)&lt;256,"OK","Fehler")</f>
        <v>OK</v>
      </c>
      <c r="K482" s="222" t="str">
        <f>IF(LEN(G482)&lt;256,"OK","Fehler")</f>
        <v>OK</v>
      </c>
    </row>
    <row r="483" spans="1:11">
      <c r="A483" s="220">
        <v>2</v>
      </c>
      <c r="B483" s="167" t="s">
        <v>1688</v>
      </c>
      <c r="C483" s="189" t="str">
        <f t="shared" si="15"/>
        <v>Elemento costruttivo</v>
      </c>
      <c r="D483" s="21" t="s">
        <v>368</v>
      </c>
      <c r="E483" s="21" t="s">
        <v>1339</v>
      </c>
      <c r="F483" s="71" t="s">
        <v>1102</v>
      </c>
      <c r="G483" s="21" t="s">
        <v>1439</v>
      </c>
      <c r="H483" s="222" t="str">
        <f>IF(LEN(D483)&lt;33,"OK","Fehler")</f>
        <v>OK</v>
      </c>
      <c r="I483" s="222" t="str">
        <f>IF(LEN(E483)&lt;33,"OK","Fehler")</f>
        <v>OK</v>
      </c>
      <c r="J483" s="222" t="str">
        <f>IF(LEN(F483)&lt;33,"OK","Fehler")</f>
        <v>OK</v>
      </c>
      <c r="K483" s="222" t="str">
        <f>IF(LEN(G483)&lt;33,"OK","Fehler")</f>
        <v>OK</v>
      </c>
    </row>
    <row r="484" spans="1:11">
      <c r="A484" s="220"/>
      <c r="B484" s="167"/>
      <c r="C484" s="189" t="str">
        <f t="shared" si="15"/>
        <v>Selezionare una voce dall' elenco. Attenzione: se il campo è giallo, è necessario selezionare nuovamente il componente.</v>
      </c>
      <c r="D484" s="21" t="s">
        <v>1709</v>
      </c>
      <c r="E484" s="21" t="s">
        <v>1710</v>
      </c>
      <c r="F484" s="71" t="s">
        <v>1106</v>
      </c>
      <c r="G484" s="21" t="s">
        <v>2468</v>
      </c>
      <c r="H484" s="222" t="str">
        <f>IF(LEN(D484)&lt;256,"OK","Fehler")</f>
        <v>OK</v>
      </c>
      <c r="I484" s="222" t="str">
        <f>IF(LEN(E484)&lt;256,"OK","Fehler")</f>
        <v>OK</v>
      </c>
      <c r="J484" s="222" t="str">
        <f>IF(LEN(F484)&lt;256,"OK","Fehler")</f>
        <v>OK</v>
      </c>
      <c r="K484" s="222" t="str">
        <f>IF(LEN(G484)&lt;256,"OK","Fehler")</f>
        <v>OK</v>
      </c>
    </row>
    <row r="485" spans="1:11">
      <c r="A485" s="220"/>
      <c r="B485" s="167"/>
      <c r="C485" s="189" t="str">
        <f t="shared" si="15"/>
        <v>Errore</v>
      </c>
      <c r="D485" s="21" t="s">
        <v>120</v>
      </c>
      <c r="E485" s="21" t="s">
        <v>135</v>
      </c>
      <c r="F485" s="71" t="s">
        <v>124</v>
      </c>
      <c r="G485" s="21" t="s">
        <v>131</v>
      </c>
      <c r="H485" s="222" t="str">
        <f>IF(LEN(D485)&lt;33,"OK","Fehler")</f>
        <v>OK</v>
      </c>
      <c r="I485" s="222" t="str">
        <f>IF(LEN(E485)&lt;33,"OK","Fehler")</f>
        <v>OK</v>
      </c>
      <c r="J485" s="222" t="str">
        <f>IF(LEN(F485)&lt;33,"OK","Fehler")</f>
        <v>OK</v>
      </c>
      <c r="K485" s="222" t="str">
        <f>IF(LEN(G485)&lt;33,"OK","Fehler")</f>
        <v>OK</v>
      </c>
    </row>
    <row r="486" spans="1:11">
      <c r="A486" s="220"/>
      <c r="B486" s="167"/>
      <c r="C486" s="189" t="str">
        <f t="shared" si="15"/>
        <v>È necessario selezionare una voce dall' elenco.</v>
      </c>
      <c r="D486" s="21" t="s">
        <v>12</v>
      </c>
      <c r="E486" s="21" t="s">
        <v>1296</v>
      </c>
      <c r="F486" s="71" t="s">
        <v>125</v>
      </c>
      <c r="G486" s="21" t="s">
        <v>137</v>
      </c>
      <c r="H486" s="222" t="str">
        <f>IF(LEN(D486)&lt;256,"OK","Fehler")</f>
        <v>OK</v>
      </c>
      <c r="I486" s="222" t="str">
        <f>IF(LEN(E486)&lt;256,"OK","Fehler")</f>
        <v>OK</v>
      </c>
      <c r="J486" s="222" t="str">
        <f>IF(LEN(F486)&lt;256,"OK","Fehler")</f>
        <v>OK</v>
      </c>
      <c r="K486" s="222" t="str">
        <f>IF(LEN(G486)&lt;256,"OK","Fehler")</f>
        <v>OK</v>
      </c>
    </row>
    <row r="487" spans="1:11">
      <c r="A487" s="220">
        <v>2</v>
      </c>
      <c r="B487" s="167" t="s">
        <v>435</v>
      </c>
      <c r="C487" s="189" t="str">
        <f t="shared" si="15"/>
        <v>Standard energetico</v>
      </c>
      <c r="D487" s="21" t="s">
        <v>227</v>
      </c>
      <c r="E487" s="21" t="s">
        <v>1144</v>
      </c>
      <c r="F487" s="71" t="s">
        <v>913</v>
      </c>
      <c r="G487" s="21" t="s">
        <v>1396</v>
      </c>
      <c r="H487" s="222" t="str">
        <f>IF(LEN(D487)&lt;33,"OK","Fehler")</f>
        <v>OK</v>
      </c>
      <c r="I487" s="222" t="str">
        <f>IF(LEN(E487)&lt;33,"OK","Fehler")</f>
        <v>OK</v>
      </c>
      <c r="J487" s="222" t="str">
        <f>IF(LEN(F487)&lt;33,"OK","Fehler")</f>
        <v>OK</v>
      </c>
      <c r="K487" s="222" t="str">
        <f>IF(LEN(G487)&lt;33,"OK","Fehler")</f>
        <v>OK</v>
      </c>
    </row>
    <row r="488" spans="1:11">
      <c r="A488" s="220"/>
      <c r="B488" s="167"/>
      <c r="C488" s="189" t="str">
        <f t="shared" si="15"/>
        <v>Selezioni dalla lista lo standard energetico desiderato.</v>
      </c>
      <c r="D488" s="21" t="s">
        <v>469</v>
      </c>
      <c r="E488" s="21" t="s">
        <v>1340</v>
      </c>
      <c r="F488" s="71" t="s">
        <v>1103</v>
      </c>
      <c r="G488" s="21" t="s">
        <v>1440</v>
      </c>
      <c r="H488" s="222" t="str">
        <f>IF(LEN(D488)&lt;256,"OK","Fehler")</f>
        <v>OK</v>
      </c>
      <c r="I488" s="222" t="str">
        <f>IF(LEN(E488)&lt;256,"OK","Fehler")</f>
        <v>OK</v>
      </c>
      <c r="J488" s="222" t="str">
        <f>IF(LEN(F488)&lt;256,"OK","Fehler")</f>
        <v>OK</v>
      </c>
      <c r="K488" s="222" t="str">
        <f>IF(LEN(G488)&lt;256,"OK","Fehler")</f>
        <v>OK</v>
      </c>
    </row>
    <row r="489" spans="1:11">
      <c r="A489" s="220"/>
      <c r="B489" s="167"/>
      <c r="C489" s="189" t="str">
        <f t="shared" si="15"/>
        <v>Errore</v>
      </c>
      <c r="D489" s="21" t="s">
        <v>120</v>
      </c>
      <c r="E489" s="21" t="s">
        <v>135</v>
      </c>
      <c r="F489" s="71" t="s">
        <v>124</v>
      </c>
      <c r="G489" s="21" t="s">
        <v>131</v>
      </c>
      <c r="H489" s="222" t="str">
        <f>IF(LEN(D489)&lt;33,"OK","Fehler")</f>
        <v>OK</v>
      </c>
      <c r="I489" s="222" t="str">
        <f>IF(LEN(E489)&lt;33,"OK","Fehler")</f>
        <v>OK</v>
      </c>
      <c r="J489" s="222" t="str">
        <f>IF(LEN(F489)&lt;33,"OK","Fehler")</f>
        <v>OK</v>
      </c>
      <c r="K489" s="222" t="str">
        <f>IF(LEN(G489)&lt;33,"OK","Fehler")</f>
        <v>OK</v>
      </c>
    </row>
    <row r="490" spans="1:11">
      <c r="A490" s="220"/>
      <c r="B490" s="167"/>
      <c r="C490" s="189" t="str">
        <f t="shared" si="15"/>
        <v>È necessario selezionare una voce dall' elenco.</v>
      </c>
      <c r="D490" s="21" t="s">
        <v>12</v>
      </c>
      <c r="E490" s="21" t="s">
        <v>1312</v>
      </c>
      <c r="F490" s="71" t="s">
        <v>125</v>
      </c>
      <c r="G490" s="21" t="s">
        <v>1398</v>
      </c>
      <c r="H490" s="222" t="str">
        <f>IF(LEN(D490)&lt;256,"OK","Fehler")</f>
        <v>OK</v>
      </c>
      <c r="I490" s="222" t="str">
        <f>IF(LEN(E490)&lt;256,"OK","Fehler")</f>
        <v>OK</v>
      </c>
      <c r="J490" s="222" t="str">
        <f>IF(LEN(F490)&lt;256,"OK","Fehler")</f>
        <v>OK</v>
      </c>
      <c r="K490" s="222" t="str">
        <f>IF(LEN(G490)&lt;256,"OK","Fehler")</f>
        <v>OK</v>
      </c>
    </row>
    <row r="491" spans="1:11">
      <c r="A491" s="220">
        <v>2</v>
      </c>
      <c r="B491" s="167" t="s">
        <v>436</v>
      </c>
      <c r="C491" s="189" t="str">
        <f t="shared" si="15"/>
        <v>Superficie</v>
      </c>
      <c r="D491" s="21" t="s">
        <v>117</v>
      </c>
      <c r="E491" s="21" t="s">
        <v>136</v>
      </c>
      <c r="F491" s="71" t="s">
        <v>126</v>
      </c>
      <c r="G491" s="21" t="s">
        <v>138</v>
      </c>
      <c r="H491" s="222" t="str">
        <f>IF(LEN(D491)&lt;33,"OK","Fehler")</f>
        <v>OK</v>
      </c>
      <c r="I491" s="222" t="str">
        <f>IF(LEN(E491)&lt;33,"OK","Fehler")</f>
        <v>OK</v>
      </c>
      <c r="J491" s="222" t="str">
        <f>IF(LEN(F491)&lt;33,"OK","Fehler")</f>
        <v>OK</v>
      </c>
      <c r="K491" s="222" t="str">
        <f>IF(LEN(G491)&lt;33,"OK","Fehler")</f>
        <v>OK</v>
      </c>
    </row>
    <row r="492" spans="1:11">
      <c r="A492" s="220"/>
      <c r="B492" s="167"/>
      <c r="C492" s="189" t="str">
        <f t="shared" si="15"/>
        <v>Indicare la superficie dell'elemento costruttivo. Se il campo di imput è marcato in rosso, non deve inserire nessun valore (calcolato automaticamente).</v>
      </c>
      <c r="D492" s="21" t="s">
        <v>787</v>
      </c>
      <c r="E492" s="21" t="s">
        <v>1341</v>
      </c>
      <c r="F492" s="214" t="s">
        <v>1104</v>
      </c>
      <c r="G492" s="21" t="s">
        <v>1441</v>
      </c>
      <c r="H492" s="222" t="str">
        <f>IF(LEN(D492)&lt;256,"OK","Fehler")</f>
        <v>OK</v>
      </c>
      <c r="I492" s="222" t="str">
        <f>IF(LEN(E492)&lt;256,"OK","Fehler")</f>
        <v>OK</v>
      </c>
      <c r="J492" s="222" t="str">
        <f>IF(LEN(F492)&lt;256,"OK","Fehler")</f>
        <v>OK</v>
      </c>
      <c r="K492" s="222" t="str">
        <f>IF(LEN(G492)&lt;256,"OK","Fehler")</f>
        <v>OK</v>
      </c>
    </row>
    <row r="493" spans="1:11">
      <c r="A493" s="220"/>
      <c r="B493" s="167"/>
      <c r="C493" s="189" t="str">
        <f t="shared" si="15"/>
        <v>Errore</v>
      </c>
      <c r="D493" s="21" t="s">
        <v>120</v>
      </c>
      <c r="E493" s="21" t="s">
        <v>135</v>
      </c>
      <c r="F493" s="71" t="s">
        <v>124</v>
      </c>
      <c r="G493" s="21" t="s">
        <v>131</v>
      </c>
      <c r="H493" s="222" t="str">
        <f>IF(LEN(D493)&lt;33,"OK","Fehler")</f>
        <v>OK</v>
      </c>
      <c r="I493" s="222" t="str">
        <f>IF(LEN(E493)&lt;33,"OK","Fehler")</f>
        <v>OK</v>
      </c>
      <c r="J493" s="222" t="str">
        <f>IF(LEN(F493)&lt;33,"OK","Fehler")</f>
        <v>OK</v>
      </c>
      <c r="K493" s="222" t="str">
        <f>IF(LEN(G493)&lt;33,"OK","Fehler")</f>
        <v>OK</v>
      </c>
    </row>
    <row r="494" spans="1:11">
      <c r="A494" s="220"/>
      <c r="B494" s="167"/>
      <c r="C494" s="189" t="str">
        <f t="shared" si="15"/>
        <v>È necessario immettere un valore intero compreso tra 0 e 99'999.</v>
      </c>
      <c r="D494" s="21" t="s">
        <v>470</v>
      </c>
      <c r="E494" s="21" t="s">
        <v>1342</v>
      </c>
      <c r="F494" s="71" t="s">
        <v>1105</v>
      </c>
      <c r="G494" s="21" t="s">
        <v>471</v>
      </c>
      <c r="H494" s="222" t="str">
        <f>IF(LEN(D494)&lt;256,"OK","Fehler")</f>
        <v>OK</v>
      </c>
      <c r="I494" s="222" t="str">
        <f>IF(LEN(E494)&lt;256,"OK","Fehler")</f>
        <v>OK</v>
      </c>
      <c r="J494" s="222" t="str">
        <f>IF(LEN(F494)&lt;256,"OK","Fehler")</f>
        <v>OK</v>
      </c>
      <c r="K494" s="222" t="str">
        <f>IF(LEN(G494)&lt;256,"OK","Fehler")</f>
        <v>OK</v>
      </c>
    </row>
    <row r="495" spans="1:11">
      <c r="A495" s="220">
        <v>2</v>
      </c>
      <c r="B495" s="167" t="s">
        <v>1870</v>
      </c>
      <c r="C495" s="189" t="str">
        <f t="shared" si="15"/>
        <v>Link</v>
      </c>
      <c r="D495" s="8" t="s">
        <v>195</v>
      </c>
      <c r="E495" s="8" t="s">
        <v>1874</v>
      </c>
      <c r="F495" s="10" t="s">
        <v>195</v>
      </c>
      <c r="G495" s="8" t="s">
        <v>195</v>
      </c>
      <c r="H495" s="222" t="str">
        <f>IF(LEN(D495)&lt;33,"OK","Fehler")</f>
        <v>OK</v>
      </c>
      <c r="I495" s="222" t="str">
        <f>IF(LEN(E495)&lt;33,"OK","Fehler")</f>
        <v>OK</v>
      </c>
      <c r="J495" s="222" t="str">
        <f>IF(LEN(F495)&lt;33,"OK","Fehler")</f>
        <v>OK</v>
      </c>
      <c r="K495" s="222" t="str">
        <f>IF(LEN(G495)&lt;33,"OK","Fehler")</f>
        <v>OK</v>
      </c>
    </row>
    <row r="496" spans="1:11">
      <c r="A496" s="220"/>
      <c r="B496" s="167"/>
      <c r="C496" s="189" t="str">
        <f t="shared" si="15"/>
        <v>Cliccare sul link per saperne di più sul componente selezionato.</v>
      </c>
      <c r="D496" s="8" t="s">
        <v>1872</v>
      </c>
      <c r="E496" s="8" t="s">
        <v>1875</v>
      </c>
      <c r="F496" s="10" t="s">
        <v>1878</v>
      </c>
      <c r="G496" s="8" t="s">
        <v>1881</v>
      </c>
      <c r="H496" s="222" t="str">
        <f>IF(LEN(D496)&lt;256,"OK","Fehler")</f>
        <v>OK</v>
      </c>
      <c r="I496" s="222" t="str">
        <f>IF(LEN(E496)&lt;256,"OK","Fehler")</f>
        <v>OK</v>
      </c>
      <c r="J496" s="222" t="str">
        <f>IF(LEN(F496)&lt;256,"OK","Fehler")</f>
        <v>OK</v>
      </c>
      <c r="K496" s="222" t="str">
        <f>IF(LEN(G496)&lt;256,"OK","Fehler")</f>
        <v>OK</v>
      </c>
    </row>
    <row r="497" spans="1:11">
      <c r="A497" s="220"/>
      <c r="B497" s="167"/>
      <c r="C497" s="189" t="str">
        <f t="shared" si="15"/>
        <v>Nessun campo di ingresso</v>
      </c>
      <c r="D497" s="8" t="s">
        <v>1873</v>
      </c>
      <c r="E497" s="8" t="s">
        <v>1876</v>
      </c>
      <c r="F497" s="10" t="s">
        <v>1879</v>
      </c>
      <c r="G497" s="8" t="s">
        <v>1882</v>
      </c>
      <c r="H497" s="222" t="str">
        <f>IF(LEN(D497)&lt;33,"OK","Fehler")</f>
        <v>OK</v>
      </c>
      <c r="I497" s="222" t="str">
        <f>IF(LEN(E497)&lt;33,"OK","Fehler")</f>
        <v>OK</v>
      </c>
      <c r="J497" s="222" t="str">
        <f>IF(LEN(F497)&lt;33,"OK","Fehler")</f>
        <v>OK</v>
      </c>
      <c r="K497" s="222" t="str">
        <f>IF(LEN(G497)&lt;33,"OK","Fehler")</f>
        <v>OK</v>
      </c>
    </row>
    <row r="498" spans="1:11">
      <c r="A498" s="220"/>
      <c r="B498" s="167"/>
      <c r="C498" s="189" t="str">
        <f t="shared" si="15"/>
        <v>Questo campo viene utilizzato per visualizzare i link e non consente alcuna immissione.</v>
      </c>
      <c r="D498" s="8" t="s">
        <v>1871</v>
      </c>
      <c r="E498" s="8" t="s">
        <v>1877</v>
      </c>
      <c r="F498" s="10" t="s">
        <v>1880</v>
      </c>
      <c r="G498" s="8" t="s">
        <v>1883</v>
      </c>
      <c r="H498" s="222" t="str">
        <f>IF(LEN(D498)&lt;256,"OK","Fehler")</f>
        <v>OK</v>
      </c>
      <c r="I498" s="222" t="str">
        <f>IF(LEN(E498)&lt;256,"OK","Fehler")</f>
        <v>OK</v>
      </c>
      <c r="J498" s="222" t="str">
        <f>IF(LEN(F498)&lt;256,"OK","Fehler")</f>
        <v>OK</v>
      </c>
      <c r="K498" s="222" t="str">
        <f>IF(LEN(G498)&lt;256,"OK","Fehler")</f>
        <v>OK</v>
      </c>
    </row>
    <row r="499" spans="1:11">
      <c r="A499" s="166"/>
      <c r="B499" s="167"/>
      <c r="C499" s="189"/>
      <c r="F499" s="10"/>
      <c r="H499" s="222" t="str">
        <f>IF(LEN(D499)&lt;33,"OK","Fehler")</f>
        <v>OK</v>
      </c>
      <c r="I499" s="222" t="str">
        <f>IF(LEN(E499)&lt;33,"OK","Fehler")</f>
        <v>OK</v>
      </c>
      <c r="J499" s="222" t="str">
        <f>IF(LEN(F499)&lt;33,"OK","Fehler")</f>
        <v>OK</v>
      </c>
      <c r="K499" s="222" t="str">
        <f>IF(LEN(G499)&lt;33,"OK","Fehler")</f>
        <v>OK</v>
      </c>
    </row>
    <row r="500" spans="1:11">
      <c r="A500" s="166"/>
      <c r="B500" s="167"/>
      <c r="C500" s="189"/>
      <c r="F500" s="10"/>
      <c r="H500" s="222" t="str">
        <f>IF(LEN(D500)&lt;256,"OK","Fehler")</f>
        <v>OK</v>
      </c>
      <c r="I500" s="222" t="str">
        <f>IF(LEN(E500)&lt;256,"OK","Fehler")</f>
        <v>OK</v>
      </c>
      <c r="J500" s="222" t="str">
        <f>IF(LEN(F500)&lt;256,"OK","Fehler")</f>
        <v>OK</v>
      </c>
      <c r="K500" s="222" t="str">
        <f>IF(LEN(G500)&lt;256,"OK","Fehler")</f>
        <v>OK</v>
      </c>
    </row>
    <row r="501" spans="1:11">
      <c r="A501" s="166"/>
      <c r="B501" s="167"/>
      <c r="C501" s="189"/>
      <c r="F501" s="10"/>
      <c r="H501" s="222" t="str">
        <f>IF(LEN(D501)&lt;33,"OK","Fehler")</f>
        <v>OK</v>
      </c>
      <c r="I501" s="222" t="str">
        <f>IF(LEN(E501)&lt;33,"OK","Fehler")</f>
        <v>OK</v>
      </c>
      <c r="J501" s="222" t="str">
        <f>IF(LEN(F501)&lt;33,"OK","Fehler")</f>
        <v>OK</v>
      </c>
      <c r="K501" s="222" t="str">
        <f>IF(LEN(G501)&lt;33,"OK","Fehler")</f>
        <v>OK</v>
      </c>
    </row>
    <row r="502" spans="1:11">
      <c r="A502" s="166"/>
      <c r="B502" s="167"/>
      <c r="C502" s="189"/>
      <c r="F502" s="10"/>
      <c r="H502" s="222" t="str">
        <f>IF(LEN(D502)&lt;256,"OK","Fehler")</f>
        <v>OK</v>
      </c>
      <c r="I502" s="222" t="str">
        <f>IF(LEN(E502)&lt;256,"OK","Fehler")</f>
        <v>OK</v>
      </c>
      <c r="J502" s="222" t="str">
        <f>IF(LEN(F502)&lt;256,"OK","Fehler")</f>
        <v>OK</v>
      </c>
      <c r="K502" s="222" t="str">
        <f>IF(LEN(G502)&lt;256,"OK","Fehler")</f>
        <v>OK</v>
      </c>
    </row>
    <row r="503" spans="1:11">
      <c r="A503" s="166"/>
      <c r="B503" s="167"/>
      <c r="C503" s="189"/>
      <c r="F503" s="10"/>
      <c r="H503" s="222" t="str">
        <f>IF(LEN(D503)&lt;33,"OK","Fehler")</f>
        <v>OK</v>
      </c>
      <c r="I503" s="222" t="str">
        <f>IF(LEN(E503)&lt;33,"OK","Fehler")</f>
        <v>OK</v>
      </c>
      <c r="J503" s="222" t="str">
        <f>IF(LEN(F503)&lt;33,"OK","Fehler")</f>
        <v>OK</v>
      </c>
      <c r="K503" s="222" t="str">
        <f>IF(LEN(G503)&lt;33,"OK","Fehler")</f>
        <v>OK</v>
      </c>
    </row>
    <row r="504" spans="1:11">
      <c r="A504" s="166"/>
      <c r="B504" s="167"/>
      <c r="C504" s="189"/>
      <c r="F504" s="10"/>
      <c r="H504" s="222" t="str">
        <f>IF(LEN(D504)&lt;256,"OK","Fehler")</f>
        <v>OK</v>
      </c>
      <c r="I504" s="222" t="str">
        <f>IF(LEN(E504)&lt;256,"OK","Fehler")</f>
        <v>OK</v>
      </c>
      <c r="J504" s="222" t="str">
        <f>IF(LEN(F504)&lt;256,"OK","Fehler")</f>
        <v>OK</v>
      </c>
      <c r="K504" s="222" t="str">
        <f>IF(LEN(G504)&lt;256,"OK","Fehler")</f>
        <v>OK</v>
      </c>
    </row>
    <row r="505" spans="1:11">
      <c r="A505" s="166"/>
      <c r="B505" s="167"/>
      <c r="C505" s="189"/>
      <c r="F505" s="10"/>
      <c r="H505" s="222" t="str">
        <f>IF(LEN(D505)&lt;33,"OK","Fehler")</f>
        <v>OK</v>
      </c>
      <c r="I505" s="222" t="str">
        <f>IF(LEN(E505)&lt;33,"OK","Fehler")</f>
        <v>OK</v>
      </c>
      <c r="J505" s="222" t="str">
        <f>IF(LEN(F505)&lt;33,"OK","Fehler")</f>
        <v>OK</v>
      </c>
      <c r="K505" s="222" t="str">
        <f>IF(LEN(G505)&lt;33,"OK","Fehler")</f>
        <v>OK</v>
      </c>
    </row>
    <row r="506" spans="1:11">
      <c r="A506" s="166"/>
      <c r="B506" s="167"/>
      <c r="C506" s="189"/>
      <c r="F506" s="10"/>
      <c r="H506" s="222" t="str">
        <f>IF(LEN(D506)&lt;256,"OK","Fehler")</f>
        <v>OK</v>
      </c>
      <c r="I506" s="222" t="str">
        <f>IF(LEN(E506)&lt;256,"OK","Fehler")</f>
        <v>OK</v>
      </c>
      <c r="J506" s="222" t="str">
        <f>IF(LEN(F506)&lt;256,"OK","Fehler")</f>
        <v>OK</v>
      </c>
      <c r="K506" s="222" t="str">
        <f>IF(LEN(G506)&lt;256,"OK","Fehler")</f>
        <v>OK</v>
      </c>
    </row>
    <row r="507" spans="1:11">
      <c r="A507" s="166"/>
      <c r="B507" s="167"/>
      <c r="C507" s="189"/>
      <c r="F507" s="10"/>
      <c r="H507" s="222" t="str">
        <f>IF(LEN(D507)&lt;33,"OK","Fehler")</f>
        <v>OK</v>
      </c>
      <c r="I507" s="222" t="str">
        <f>IF(LEN(E507)&lt;33,"OK","Fehler")</f>
        <v>OK</v>
      </c>
      <c r="J507" s="222" t="str">
        <f>IF(LEN(F507)&lt;33,"OK","Fehler")</f>
        <v>OK</v>
      </c>
      <c r="K507" s="222" t="str">
        <f>IF(LEN(G507)&lt;33,"OK","Fehler")</f>
        <v>OK</v>
      </c>
    </row>
    <row r="508" spans="1:11">
      <c r="A508" s="166"/>
      <c r="B508" s="167"/>
      <c r="C508" s="189"/>
      <c r="F508" s="10"/>
      <c r="H508" s="222" t="str">
        <f>IF(LEN(D508)&lt;256,"OK","Fehler")</f>
        <v>OK</v>
      </c>
      <c r="I508" s="222" t="str">
        <f>IF(LEN(E508)&lt;256,"OK","Fehler")</f>
        <v>OK</v>
      </c>
      <c r="J508" s="222" t="str">
        <f>IF(LEN(F508)&lt;256,"OK","Fehler")</f>
        <v>OK</v>
      </c>
      <c r="K508" s="222" t="str">
        <f>IF(LEN(G508)&lt;256,"OK","Fehler")</f>
        <v>OK</v>
      </c>
    </row>
    <row r="509" spans="1:11">
      <c r="A509" s="166"/>
      <c r="B509" s="167"/>
      <c r="C509" s="189"/>
      <c r="F509" s="10"/>
      <c r="H509" s="222" t="str">
        <f>IF(LEN(D509)&lt;33,"OK","Fehler")</f>
        <v>OK</v>
      </c>
      <c r="I509" s="222" t="str">
        <f>IF(LEN(E509)&lt;33,"OK","Fehler")</f>
        <v>OK</v>
      </c>
      <c r="J509" s="222" t="str">
        <f>IF(LEN(F509)&lt;33,"OK","Fehler")</f>
        <v>OK</v>
      </c>
      <c r="K509" s="222" t="str">
        <f>IF(LEN(G509)&lt;33,"OK","Fehler")</f>
        <v>OK</v>
      </c>
    </row>
    <row r="510" spans="1:11">
      <c r="A510" s="166"/>
      <c r="B510" s="167"/>
      <c r="C510" s="189"/>
      <c r="F510" s="10"/>
      <c r="H510" s="222" t="str">
        <f>IF(LEN(D510)&lt;256,"OK","Fehler")</f>
        <v>OK</v>
      </c>
      <c r="I510" s="222" t="str">
        <f>IF(LEN(E510)&lt;256,"OK","Fehler")</f>
        <v>OK</v>
      </c>
      <c r="J510" s="222" t="str">
        <f>IF(LEN(F510)&lt;256,"OK","Fehler")</f>
        <v>OK</v>
      </c>
      <c r="K510" s="222" t="str">
        <f>IF(LEN(G510)&lt;256,"OK","Fehler")</f>
        <v>OK</v>
      </c>
    </row>
    <row r="511" spans="1:11">
      <c r="A511" s="166"/>
      <c r="B511" s="167"/>
      <c r="C511" s="189"/>
      <c r="F511" s="10"/>
      <c r="H511" s="222" t="str">
        <f>IF(LEN(D511)&lt;33,"OK","Fehler")</f>
        <v>OK</v>
      </c>
      <c r="I511" s="222" t="str">
        <f>IF(LEN(E511)&lt;33,"OK","Fehler")</f>
        <v>OK</v>
      </c>
      <c r="J511" s="222" t="str">
        <f>IF(LEN(F511)&lt;33,"OK","Fehler")</f>
        <v>OK</v>
      </c>
      <c r="K511" s="222" t="str">
        <f>IF(LEN(G511)&lt;33,"OK","Fehler")</f>
        <v>OK</v>
      </c>
    </row>
    <row r="512" spans="1:11">
      <c r="A512" s="166"/>
      <c r="B512" s="167"/>
      <c r="C512" s="189"/>
      <c r="F512" s="10"/>
      <c r="H512" s="222" t="str">
        <f>IF(LEN(D512)&lt;256,"OK","Fehler")</f>
        <v>OK</v>
      </c>
      <c r="I512" s="222" t="str">
        <f>IF(LEN(E512)&lt;256,"OK","Fehler")</f>
        <v>OK</v>
      </c>
      <c r="J512" s="222" t="str">
        <f>IF(LEN(F512)&lt;256,"OK","Fehler")</f>
        <v>OK</v>
      </c>
      <c r="K512" s="222" t="str">
        <f>IF(LEN(G512)&lt;256,"OK","Fehler")</f>
        <v>OK</v>
      </c>
    </row>
    <row r="513" spans="1:11">
      <c r="A513" s="166"/>
      <c r="B513" s="167"/>
      <c r="C513" s="189"/>
      <c r="F513" s="10"/>
      <c r="H513" s="222" t="str">
        <f>IF(LEN(D513)&lt;33,"OK","Fehler")</f>
        <v>OK</v>
      </c>
      <c r="I513" s="222" t="str">
        <f>IF(LEN(E513)&lt;33,"OK","Fehler")</f>
        <v>OK</v>
      </c>
      <c r="J513" s="222" t="str">
        <f>IF(LEN(F513)&lt;33,"OK","Fehler")</f>
        <v>OK</v>
      </c>
      <c r="K513" s="222" t="str">
        <f>IF(LEN(G513)&lt;33,"OK","Fehler")</f>
        <v>OK</v>
      </c>
    </row>
    <row r="514" spans="1:11">
      <c r="A514" s="166"/>
      <c r="B514" s="167"/>
      <c r="C514" s="189"/>
      <c r="F514" s="10"/>
      <c r="H514" s="222" t="str">
        <f>IF(LEN(D514)&lt;256,"OK","Fehler")</f>
        <v>OK</v>
      </c>
      <c r="I514" s="222" t="str">
        <f>IF(LEN(E514)&lt;256,"OK","Fehler")</f>
        <v>OK</v>
      </c>
      <c r="J514" s="222" t="str">
        <f>IF(LEN(F514)&lt;256,"OK","Fehler")</f>
        <v>OK</v>
      </c>
      <c r="K514" s="222" t="str">
        <f>IF(LEN(G514)&lt;256,"OK","Fehler")</f>
        <v>OK</v>
      </c>
    </row>
    <row r="515" spans="1:11">
      <c r="A515" s="166"/>
      <c r="B515" s="167"/>
      <c r="C515" s="189"/>
      <c r="F515" s="10"/>
      <c r="H515" s="222" t="str">
        <f>IF(LEN(D515)&lt;33,"OK","Fehler")</f>
        <v>OK</v>
      </c>
      <c r="I515" s="222" t="str">
        <f>IF(LEN(E515)&lt;33,"OK","Fehler")</f>
        <v>OK</v>
      </c>
      <c r="J515" s="222" t="str">
        <f>IF(LEN(F515)&lt;33,"OK","Fehler")</f>
        <v>OK</v>
      </c>
      <c r="K515" s="222" t="str">
        <f>IF(LEN(G515)&lt;33,"OK","Fehler")</f>
        <v>OK</v>
      </c>
    </row>
    <row r="516" spans="1:11">
      <c r="A516" s="166"/>
      <c r="B516" s="167"/>
      <c r="C516" s="189"/>
      <c r="F516" s="10"/>
      <c r="H516" s="222" t="str">
        <f>IF(LEN(D516)&lt;256,"OK","Fehler")</f>
        <v>OK</v>
      </c>
      <c r="I516" s="222" t="str">
        <f>IF(LEN(E516)&lt;256,"OK","Fehler")</f>
        <v>OK</v>
      </c>
      <c r="J516" s="222" t="str">
        <f>IF(LEN(F516)&lt;256,"OK","Fehler")</f>
        <v>OK</v>
      </c>
      <c r="K516" s="222" t="str">
        <f>IF(LEN(G516)&lt;256,"OK","Fehler")</f>
        <v>OK</v>
      </c>
    </row>
    <row r="517" spans="1:11">
      <c r="A517" s="166"/>
      <c r="B517" s="167"/>
      <c r="C517" s="189"/>
      <c r="F517" s="10"/>
      <c r="H517" s="222" t="str">
        <f>IF(LEN(D517)&lt;33,"OK","Fehler")</f>
        <v>OK</v>
      </c>
      <c r="I517" s="222" t="str">
        <f>IF(LEN(E517)&lt;33,"OK","Fehler")</f>
        <v>OK</v>
      </c>
      <c r="J517" s="222" t="str">
        <f>IF(LEN(F517)&lt;33,"OK","Fehler")</f>
        <v>OK</v>
      </c>
      <c r="K517" s="222" t="str">
        <f>IF(LEN(G517)&lt;33,"OK","Fehler")</f>
        <v>OK</v>
      </c>
    </row>
    <row r="518" spans="1:11">
      <c r="A518" s="166"/>
      <c r="B518" s="167"/>
      <c r="C518" s="189"/>
      <c r="F518" s="10"/>
      <c r="H518" s="222" t="str">
        <f>IF(LEN(D518)&lt;256,"OK","Fehler")</f>
        <v>OK</v>
      </c>
      <c r="I518" s="222" t="str">
        <f>IF(LEN(E518)&lt;256,"OK","Fehler")</f>
        <v>OK</v>
      </c>
      <c r="J518" s="222" t="str">
        <f>IF(LEN(F518)&lt;256,"OK","Fehler")</f>
        <v>OK</v>
      </c>
      <c r="K518" s="222" t="str">
        <f>IF(LEN(G518)&lt;256,"OK","Fehler")</f>
        <v>OK</v>
      </c>
    </row>
  </sheetData>
  <sheetProtection selectLockedCells="1" selectUnlockedCells="1"/>
  <mergeCells count="1">
    <mergeCell ref="H385:K385"/>
  </mergeCells>
  <conditionalFormatting sqref="C88:C109 C44:C50 C113:C161 C328:C360 C12:C40 C62:C71 C74:C84 C5:C9 F6:F8 F88:F109 E81:F84 F11:F40 F328:F360 E113:F161 D186:D326 E185:F326 F363:F383 C363:C383">
    <cfRule type="expression" dxfId="166" priority="33" stopIfTrue="1">
      <formula>C5=""</formula>
    </cfRule>
  </conditionalFormatting>
  <conditionalFormatting sqref="C10:C11">
    <cfRule type="expression" dxfId="165" priority="32" stopIfTrue="1">
      <formula>C10=""</formula>
    </cfRule>
  </conditionalFormatting>
  <conditionalFormatting sqref="C73">
    <cfRule type="expression" dxfId="164" priority="31" stopIfTrue="1">
      <formula>C73=""</formula>
    </cfRule>
  </conditionalFormatting>
  <conditionalFormatting sqref="D495:G518 G407:G494">
    <cfRule type="expression" dxfId="163" priority="30">
      <formula>D407=""</formula>
    </cfRule>
  </conditionalFormatting>
  <conditionalFormatting sqref="E5:E8 E11:E22 E24:E26 E28:E40">
    <cfRule type="expression" dxfId="162" priority="26" stopIfTrue="1">
      <formula>E5=""</formula>
    </cfRule>
  </conditionalFormatting>
  <conditionalFormatting sqref="F44:F71 F73:F80">
    <cfRule type="expression" dxfId="161" priority="28" stopIfTrue="1">
      <formula>F44=""</formula>
    </cfRule>
  </conditionalFormatting>
  <conditionalFormatting sqref="F5">
    <cfRule type="expression" dxfId="160" priority="27" stopIfTrue="1">
      <formula>F5=""</formula>
    </cfRule>
  </conditionalFormatting>
  <conditionalFormatting sqref="E44:E68 E70:E71 E73:E80">
    <cfRule type="expression" dxfId="159" priority="25" stopIfTrue="1">
      <formula>E44=""</formula>
    </cfRule>
  </conditionalFormatting>
  <conditionalFormatting sqref="E88:E109">
    <cfRule type="expression" dxfId="158" priority="24" stopIfTrue="1">
      <formula>E88=""</formula>
    </cfRule>
  </conditionalFormatting>
  <conditionalFormatting sqref="E328:E360 E363:E383">
    <cfRule type="expression" dxfId="157" priority="23" stopIfTrue="1">
      <formula>E328=""</formula>
    </cfRule>
  </conditionalFormatting>
  <conditionalFormatting sqref="F407:F494">
    <cfRule type="expression" dxfId="156" priority="22">
      <formula>F407=""</formula>
    </cfRule>
  </conditionalFormatting>
  <conditionalFormatting sqref="D5:D8 D44:D71 D113:D161 D88:D109 D10:D40 E69 D73:D84 D328:D360 D363:D383">
    <cfRule type="expression" dxfId="155" priority="21" stopIfTrue="1">
      <formula>D5=""</formula>
    </cfRule>
  </conditionalFormatting>
  <conditionalFormatting sqref="E407:E494">
    <cfRule type="expression" dxfId="154" priority="20" stopIfTrue="1">
      <formula>E407=""</formula>
    </cfRule>
  </conditionalFormatting>
  <conditionalFormatting sqref="D407:D494">
    <cfRule type="expression" dxfId="153" priority="19" stopIfTrue="1">
      <formula>D407=""</formula>
    </cfRule>
  </conditionalFormatting>
  <conditionalFormatting sqref="H387:K518">
    <cfRule type="expression" dxfId="152" priority="18">
      <formula>H387="OK"</formula>
    </cfRule>
  </conditionalFormatting>
  <conditionalFormatting sqref="C72 F72">
    <cfRule type="expression" dxfId="151" priority="17" stopIfTrue="1">
      <formula>C72=""</formula>
    </cfRule>
  </conditionalFormatting>
  <conditionalFormatting sqref="E72">
    <cfRule type="expression" dxfId="150" priority="16" stopIfTrue="1">
      <formula>E72=""</formula>
    </cfRule>
  </conditionalFormatting>
  <conditionalFormatting sqref="D72">
    <cfRule type="expression" dxfId="149" priority="15" stopIfTrue="1">
      <formula>D72=""</formula>
    </cfRule>
  </conditionalFormatting>
  <conditionalFormatting sqref="F327">
    <cfRule type="expression" dxfId="148" priority="14" stopIfTrue="1">
      <formula>F327=""</formula>
    </cfRule>
  </conditionalFormatting>
  <conditionalFormatting sqref="E327">
    <cfRule type="expression" dxfId="147" priority="13" stopIfTrue="1">
      <formula>E327=""</formula>
    </cfRule>
  </conditionalFormatting>
  <conditionalFormatting sqref="D327">
    <cfRule type="expression" dxfId="146" priority="12" stopIfTrue="1">
      <formula>D327=""</formula>
    </cfRule>
  </conditionalFormatting>
  <conditionalFormatting sqref="G185:G326">
    <cfRule type="expression" dxfId="145" priority="11" stopIfTrue="1">
      <formula>G185=""</formula>
    </cfRule>
  </conditionalFormatting>
  <conditionalFormatting sqref="G327">
    <cfRule type="expression" dxfId="144" priority="10" stopIfTrue="1">
      <formula>G327=""</formula>
    </cfRule>
  </conditionalFormatting>
  <conditionalFormatting sqref="G330:G344">
    <cfRule type="expression" dxfId="143" priority="9" stopIfTrue="1">
      <formula>G330=""</formula>
    </cfRule>
  </conditionalFormatting>
  <conditionalFormatting sqref="D164:F164">
    <cfRule type="expression" dxfId="142" priority="8" stopIfTrue="1">
      <formula>D164=""</formula>
    </cfRule>
  </conditionalFormatting>
  <conditionalFormatting sqref="D165:F165">
    <cfRule type="expression" dxfId="141" priority="7" stopIfTrue="1">
      <formula>D165=""</formula>
    </cfRule>
  </conditionalFormatting>
  <conditionalFormatting sqref="D166:F166">
    <cfRule type="expression" dxfId="140" priority="6" stopIfTrue="1">
      <formula>D166=""</formula>
    </cfRule>
  </conditionalFormatting>
  <conditionalFormatting sqref="D167:F167">
    <cfRule type="expression" dxfId="139" priority="5" stopIfTrue="1">
      <formula>D167=""</formula>
    </cfRule>
  </conditionalFormatting>
  <conditionalFormatting sqref="D168:F168">
    <cfRule type="expression" dxfId="138" priority="4" stopIfTrue="1">
      <formula>D168=""</formula>
    </cfRule>
  </conditionalFormatting>
  <conditionalFormatting sqref="D169:F169">
    <cfRule type="expression" dxfId="137" priority="3" stopIfTrue="1">
      <formula>D169=""</formula>
    </cfRule>
  </conditionalFormatting>
  <conditionalFormatting sqref="D170:F170">
    <cfRule type="expression" dxfId="136" priority="2" stopIfTrue="1">
      <formula>D170=""</formula>
    </cfRule>
  </conditionalFormatting>
  <conditionalFormatting sqref="D171:F171">
    <cfRule type="expression" dxfId="135" priority="1" stopIfTrue="1">
      <formula>D171=""</formula>
    </cfRule>
  </conditionalFormatting>
  <pageMargins left="0.7" right="0.7" top="0.78740157499999996" bottom="0.78740157499999996"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A1:AF523"/>
  <sheetViews>
    <sheetView zoomScale="90" zoomScaleNormal="90" workbookViewId="0">
      <pane xSplit="2" ySplit="8" topLeftCell="C9" activePane="bottomRight" state="frozen"/>
      <selection activeCell="B23" sqref="B23"/>
      <selection pane="topRight" activeCell="B23" sqref="B23"/>
      <selection pane="bottomLeft" activeCell="B23" sqref="B23"/>
      <selection pane="bottomRight" activeCell="B23" sqref="B23"/>
    </sheetView>
  </sheetViews>
  <sheetFormatPr baseColWidth="10" defaultRowHeight="15"/>
  <cols>
    <col min="1" max="1" width="9.88671875" customWidth="1"/>
    <col min="2" max="2" width="56.44140625" customWidth="1"/>
    <col min="3" max="3" width="7.77734375" bestFit="1" customWidth="1"/>
    <col min="5" max="5" width="13.21875" bestFit="1" customWidth="1"/>
    <col min="6" max="6" width="5.6640625" bestFit="1" customWidth="1"/>
    <col min="7" max="7" width="7.21875" bestFit="1" customWidth="1"/>
    <col min="17" max="17" width="8.44140625" customWidth="1"/>
    <col min="19" max="19" width="6.44140625" customWidth="1"/>
    <col min="20" max="20" width="8.77734375" customWidth="1"/>
    <col min="21" max="21" width="7.77734375" customWidth="1"/>
  </cols>
  <sheetData>
    <row r="1" spans="1:29" ht="18">
      <c r="A1" s="92" t="s">
        <v>214</v>
      </c>
    </row>
    <row r="2" spans="1:29" ht="8.25" customHeight="1">
      <c r="A2" s="92"/>
    </row>
    <row r="3" spans="1:29">
      <c r="A3" s="8" t="s">
        <v>512</v>
      </c>
    </row>
    <row r="4" spans="1:29">
      <c r="A4" s="8" t="s">
        <v>422</v>
      </c>
    </row>
    <row r="5" spans="1:29">
      <c r="A5" s="8" t="s">
        <v>511</v>
      </c>
    </row>
    <row r="6" spans="1:29" ht="9" customHeight="1"/>
    <row r="7" spans="1:29">
      <c r="A7" s="90" t="s">
        <v>213</v>
      </c>
      <c r="B7" s="90" t="s">
        <v>23</v>
      </c>
      <c r="C7" s="90" t="s">
        <v>212</v>
      </c>
      <c r="D7" s="90" t="s">
        <v>195</v>
      </c>
      <c r="E7" s="90" t="s">
        <v>245</v>
      </c>
      <c r="F7" s="90" t="s">
        <v>246</v>
      </c>
      <c r="G7" s="90" t="s">
        <v>293</v>
      </c>
      <c r="H7" s="302" t="s">
        <v>247</v>
      </c>
      <c r="I7" s="302"/>
      <c r="J7" s="302"/>
      <c r="K7" s="302" t="s">
        <v>1791</v>
      </c>
      <c r="L7" s="302"/>
      <c r="M7" s="302"/>
      <c r="N7" s="302" t="s">
        <v>251</v>
      </c>
      <c r="O7" s="302"/>
      <c r="P7" s="302"/>
      <c r="Q7" s="90" t="s">
        <v>472</v>
      </c>
      <c r="R7" s="90" t="s">
        <v>242</v>
      </c>
      <c r="S7" s="90" t="s">
        <v>246</v>
      </c>
      <c r="T7" s="90" t="s">
        <v>2405</v>
      </c>
      <c r="U7" s="90" t="s">
        <v>569</v>
      </c>
    </row>
    <row r="8" spans="1:29" ht="28.5">
      <c r="A8" s="90"/>
      <c r="B8" s="90"/>
      <c r="C8" s="90"/>
      <c r="D8" s="90"/>
      <c r="E8" s="90"/>
      <c r="F8" s="90"/>
      <c r="G8" s="93" t="s">
        <v>294</v>
      </c>
      <c r="H8" s="91" t="s">
        <v>289</v>
      </c>
      <c r="I8" s="91" t="s">
        <v>249</v>
      </c>
      <c r="J8" s="91" t="s">
        <v>250</v>
      </c>
      <c r="K8" s="91" t="s">
        <v>290</v>
      </c>
      <c r="L8" s="91" t="s">
        <v>291</v>
      </c>
      <c r="M8" s="91" t="s">
        <v>292</v>
      </c>
      <c r="N8" s="91" t="s">
        <v>252</v>
      </c>
      <c r="O8" s="91" t="s">
        <v>253</v>
      </c>
      <c r="P8" s="91" t="s">
        <v>254</v>
      </c>
      <c r="Q8" s="91" t="s">
        <v>473</v>
      </c>
      <c r="R8" s="91"/>
      <c r="S8" s="91"/>
      <c r="T8" s="91"/>
      <c r="U8" s="91"/>
    </row>
    <row r="9" spans="1:29">
      <c r="A9" s="245" t="s">
        <v>262</v>
      </c>
      <c r="B9" s="251" t="str">
        <f>Texte!$B$270</f>
        <v>Scavo (SIA 2032)</v>
      </c>
      <c r="C9" s="245"/>
      <c r="D9" s="245"/>
      <c r="E9" s="245" t="s">
        <v>797</v>
      </c>
      <c r="F9" s="245" t="s">
        <v>256</v>
      </c>
      <c r="G9" s="8">
        <v>60</v>
      </c>
      <c r="H9" s="196">
        <v>2.7833333333333331E-2</v>
      </c>
      <c r="I9" s="207">
        <v>1.67</v>
      </c>
      <c r="J9" s="207">
        <v>0</v>
      </c>
      <c r="K9" s="200">
        <f>(L9+M9)/$G9</f>
        <v>6.8666666666666659E-3</v>
      </c>
      <c r="L9" s="206">
        <v>0.41199999999999998</v>
      </c>
      <c r="M9" s="206">
        <v>0</v>
      </c>
      <c r="N9" s="198">
        <f>(O9+P9)/$G9</f>
        <v>8.15</v>
      </c>
      <c r="O9" s="198">
        <v>489</v>
      </c>
      <c r="P9" s="198">
        <v>0</v>
      </c>
      <c r="Q9" s="8" t="s">
        <v>19</v>
      </c>
      <c r="R9" s="8" t="s">
        <v>281</v>
      </c>
      <c r="S9" s="8" t="s">
        <v>256</v>
      </c>
      <c r="T9" s="8" t="s">
        <v>2406</v>
      </c>
      <c r="U9" s="191" t="s">
        <v>796</v>
      </c>
      <c r="W9">
        <v>1</v>
      </c>
      <c r="X9" t="s">
        <v>1973</v>
      </c>
      <c r="Y9">
        <f>RIGHT(X9,3)*1</f>
        <v>248</v>
      </c>
      <c r="Z9" t="str">
        <f>RIGHT(A9,LEN(A9)-SEARCH("_",A9,3))&amp;"-"&amp;W9</f>
        <v>B-1</v>
      </c>
      <c r="AB9">
        <v>163</v>
      </c>
      <c r="AC9" t="s">
        <v>2120</v>
      </c>
    </row>
    <row r="10" spans="1:29">
      <c r="A10" s="245" t="s">
        <v>262</v>
      </c>
      <c r="B10" s="251" t="str">
        <f>Texte!$B$272</f>
        <v>Chiusura della fossa dell'edificio, parete del diaframma (SIA 2032)</v>
      </c>
      <c r="C10" s="245"/>
      <c r="D10" s="245"/>
      <c r="E10" s="245" t="s">
        <v>255</v>
      </c>
      <c r="F10" s="245" t="s">
        <v>30</v>
      </c>
      <c r="G10" s="8">
        <v>60</v>
      </c>
      <c r="H10" s="196">
        <v>20.833333333333332</v>
      </c>
      <c r="I10" s="207">
        <v>1120</v>
      </c>
      <c r="J10" s="207">
        <v>130</v>
      </c>
      <c r="K10" s="200">
        <f>(L10+M10)/$G10</f>
        <v>6.7866666666666662</v>
      </c>
      <c r="L10" s="206">
        <v>382</v>
      </c>
      <c r="M10" s="206">
        <v>25.2</v>
      </c>
      <c r="N10" s="198">
        <f>(O10+P10)/$G10</f>
        <v>10808.333333333334</v>
      </c>
      <c r="O10" s="202">
        <v>583000</v>
      </c>
      <c r="P10" s="202">
        <v>65500</v>
      </c>
      <c r="Q10" s="8" t="s">
        <v>19</v>
      </c>
      <c r="R10" s="8"/>
      <c r="S10" s="8" t="s">
        <v>30</v>
      </c>
      <c r="T10" s="8" t="s">
        <v>2406</v>
      </c>
      <c r="U10" s="191" t="s">
        <v>796</v>
      </c>
      <c r="W10">
        <v>2</v>
      </c>
      <c r="X10" t="s">
        <v>1974</v>
      </c>
      <c r="Y10">
        <f t="shared" ref="Y10:Y73" si="0">RIGHT(X10,3)*1</f>
        <v>250</v>
      </c>
      <c r="Z10" t="str">
        <f t="shared" ref="Z10:Z73" si="1">RIGHT(A10,LEN(A10)-SEARCH("_",A10,3))&amp;"-"&amp;W10</f>
        <v>B-2</v>
      </c>
      <c r="AB10">
        <v>164</v>
      </c>
      <c r="AC10" t="s">
        <v>2121</v>
      </c>
    </row>
    <row r="11" spans="1:29">
      <c r="A11" s="245" t="s">
        <v>262</v>
      </c>
      <c r="B11" s="251" t="str">
        <f>Texte!$B$271</f>
        <v>Chiusura della fossa dell'edificio, parete berlinese (SIA 2032)</v>
      </c>
      <c r="C11" s="245"/>
      <c r="D11" s="245"/>
      <c r="E11" s="245" t="s">
        <v>255</v>
      </c>
      <c r="F11" s="245" t="s">
        <v>30</v>
      </c>
      <c r="G11" s="8">
        <v>60</v>
      </c>
      <c r="H11" s="196">
        <v>11.286666666666667</v>
      </c>
      <c r="I11" s="207">
        <v>642</v>
      </c>
      <c r="J11" s="207">
        <v>35.200000000000003</v>
      </c>
      <c r="K11" s="200">
        <f>(L11+M11)/$G11</f>
        <v>3.0640000000000001</v>
      </c>
      <c r="L11" s="206">
        <v>177</v>
      </c>
      <c r="M11" s="206">
        <v>6.84</v>
      </c>
      <c r="N11" s="198">
        <f>(O11+P11)/$G11</f>
        <v>3996.6666666666665</v>
      </c>
      <c r="O11" s="202">
        <v>222000</v>
      </c>
      <c r="P11" s="202">
        <v>17800</v>
      </c>
      <c r="Q11" s="8" t="s">
        <v>19</v>
      </c>
      <c r="R11" s="8"/>
      <c r="S11" s="8" t="s">
        <v>30</v>
      </c>
      <c r="T11" s="8" t="s">
        <v>2406</v>
      </c>
      <c r="U11" s="191" t="s">
        <v>796</v>
      </c>
      <c r="W11">
        <v>3</v>
      </c>
      <c r="X11" t="s">
        <v>1975</v>
      </c>
      <c r="Y11">
        <f t="shared" si="0"/>
        <v>249</v>
      </c>
      <c r="Z11" t="str">
        <f t="shared" si="1"/>
        <v>B-3</v>
      </c>
      <c r="AB11">
        <v>165</v>
      </c>
      <c r="AC11" t="s">
        <v>2127</v>
      </c>
    </row>
    <row r="12" spans="1:29">
      <c r="A12" s="245" t="s">
        <v>262</v>
      </c>
      <c r="B12" s="251" t="str">
        <f>Texte!$B$273</f>
        <v>Chiusura della fossa dell'edificio, parete di palancole (SIA 2032)</v>
      </c>
      <c r="C12" s="245"/>
      <c r="D12" s="245"/>
      <c r="E12" s="245" t="s">
        <v>255</v>
      </c>
      <c r="F12" s="245" t="s">
        <v>30</v>
      </c>
      <c r="G12" s="8">
        <v>60</v>
      </c>
      <c r="H12" s="196">
        <v>12.45</v>
      </c>
      <c r="I12" s="207">
        <v>747</v>
      </c>
      <c r="J12" s="207">
        <v>0</v>
      </c>
      <c r="K12" s="200">
        <f>(L12+M12)/$G12</f>
        <v>2.7166666666666668</v>
      </c>
      <c r="L12" s="206">
        <v>163</v>
      </c>
      <c r="M12" s="206">
        <v>0</v>
      </c>
      <c r="N12" s="198">
        <f>(O12+P12)/$G12</f>
        <v>3800</v>
      </c>
      <c r="O12" s="202">
        <v>228000</v>
      </c>
      <c r="P12" s="202">
        <v>0</v>
      </c>
      <c r="Q12" s="8" t="s">
        <v>19</v>
      </c>
      <c r="R12" s="8"/>
      <c r="S12" s="8" t="s">
        <v>30</v>
      </c>
      <c r="T12" s="8" t="s">
        <v>2406</v>
      </c>
      <c r="U12" s="191" t="s">
        <v>796</v>
      </c>
      <c r="W12">
        <v>4</v>
      </c>
      <c r="X12" t="s">
        <v>1976</v>
      </c>
      <c r="Y12">
        <f t="shared" si="0"/>
        <v>251</v>
      </c>
      <c r="Z12" t="str">
        <f t="shared" si="1"/>
        <v>B-4</v>
      </c>
      <c r="AB12">
        <v>166</v>
      </c>
      <c r="AC12" t="s">
        <v>2128</v>
      </c>
    </row>
    <row r="13" spans="1:29">
      <c r="A13" s="248" t="s">
        <v>262</v>
      </c>
      <c r="B13" s="251" t="str">
        <f>Texte!$B$185</f>
        <v>Deposito in discarica del materiale di scavo (BTK)</v>
      </c>
      <c r="C13" s="248" t="s">
        <v>645</v>
      </c>
      <c r="D13" s="248" t="s">
        <v>647</v>
      </c>
      <c r="E13" s="248" t="s">
        <v>688</v>
      </c>
      <c r="F13" s="248" t="s">
        <v>256</v>
      </c>
      <c r="G13" s="193">
        <f>(I13+J13)/H13</f>
        <v>60.303030303030305</v>
      </c>
      <c r="H13" s="195">
        <v>0.27499999999999997</v>
      </c>
      <c r="I13" s="195">
        <v>16.583333333333332</v>
      </c>
      <c r="J13" s="195">
        <v>0</v>
      </c>
      <c r="K13" s="199">
        <v>0.06</v>
      </c>
      <c r="L13" s="199">
        <v>3.63</v>
      </c>
      <c r="M13" s="199">
        <v>0</v>
      </c>
      <c r="N13" s="202">
        <v>68</v>
      </c>
      <c r="O13" s="202">
        <v>4104</v>
      </c>
      <c r="P13" s="202">
        <v>0</v>
      </c>
      <c r="Q13" s="191" t="s">
        <v>19</v>
      </c>
      <c r="R13" s="191" t="s">
        <v>281</v>
      </c>
      <c r="S13" s="191" t="s">
        <v>256</v>
      </c>
      <c r="T13" s="8" t="s">
        <v>2406</v>
      </c>
      <c r="U13" s="191" t="s">
        <v>686</v>
      </c>
      <c r="W13">
        <v>5</v>
      </c>
      <c r="X13" t="s">
        <v>1977</v>
      </c>
      <c r="Y13">
        <f t="shared" si="0"/>
        <v>163</v>
      </c>
      <c r="Z13" t="str">
        <f t="shared" si="1"/>
        <v>B-5</v>
      </c>
      <c r="AB13">
        <v>167</v>
      </c>
      <c r="AC13" t="s">
        <v>2129</v>
      </c>
    </row>
    <row r="14" spans="1:29">
      <c r="A14" s="248" t="s">
        <v>262</v>
      </c>
      <c r="B14" s="251" t="str">
        <f>Texte!$B$186</f>
        <v>Deposito a lato del materiale di scavo (BTK)</v>
      </c>
      <c r="C14" s="248" t="s">
        <v>644</v>
      </c>
      <c r="D14" s="248" t="s">
        <v>646</v>
      </c>
      <c r="E14" s="248" t="s">
        <v>688</v>
      </c>
      <c r="F14" s="248" t="s">
        <v>256</v>
      </c>
      <c r="G14" s="193">
        <v>60</v>
      </c>
      <c r="H14" s="195">
        <v>3.6111111111111115E-2</v>
      </c>
      <c r="I14" s="195">
        <v>2.2305555555555552</v>
      </c>
      <c r="J14" s="195">
        <v>0</v>
      </c>
      <c r="K14" s="199">
        <v>0.01</v>
      </c>
      <c r="L14" s="199">
        <v>0.53</v>
      </c>
      <c r="M14" s="199">
        <v>0</v>
      </c>
      <c r="N14" s="202">
        <v>11</v>
      </c>
      <c r="O14" s="202">
        <v>665</v>
      </c>
      <c r="P14" s="202">
        <v>0</v>
      </c>
      <c r="Q14" s="191" t="s">
        <v>19</v>
      </c>
      <c r="R14" s="191" t="s">
        <v>281</v>
      </c>
      <c r="S14" s="191" t="s">
        <v>256</v>
      </c>
      <c r="T14" s="8" t="s">
        <v>2406</v>
      </c>
      <c r="U14" s="191" t="s">
        <v>686</v>
      </c>
      <c r="W14">
        <v>6</v>
      </c>
      <c r="X14" t="s">
        <v>1978</v>
      </c>
      <c r="Y14">
        <f t="shared" si="0"/>
        <v>164</v>
      </c>
      <c r="Z14" t="str">
        <f t="shared" si="1"/>
        <v>B-6</v>
      </c>
      <c r="AB14">
        <v>168</v>
      </c>
      <c r="AC14" t="s">
        <v>2132</v>
      </c>
    </row>
    <row r="15" spans="1:29">
      <c r="A15" s="245" t="s">
        <v>262</v>
      </c>
      <c r="B15" s="251" t="str">
        <f>Texte!$B$274</f>
        <v>Pali, micropali (SIA 2032)</v>
      </c>
      <c r="C15" s="245"/>
      <c r="D15" s="245"/>
      <c r="E15" s="245" t="s">
        <v>798</v>
      </c>
      <c r="F15" s="245" t="s">
        <v>30</v>
      </c>
      <c r="G15" s="8">
        <v>60</v>
      </c>
      <c r="H15" s="196">
        <v>2.9</v>
      </c>
      <c r="I15" s="207">
        <v>174</v>
      </c>
      <c r="J15" s="207">
        <v>0</v>
      </c>
      <c r="K15" s="200">
        <f>(L15+M15)/$G15</f>
        <v>0.76500000000000012</v>
      </c>
      <c r="L15" s="206">
        <v>45.900000000000006</v>
      </c>
      <c r="M15" s="206">
        <v>0</v>
      </c>
      <c r="N15" s="198">
        <f>(O15+P15)/$G15</f>
        <v>1215</v>
      </c>
      <c r="O15" s="202">
        <v>72900</v>
      </c>
      <c r="P15" s="202">
        <v>0</v>
      </c>
      <c r="Q15" s="8" t="s">
        <v>19</v>
      </c>
      <c r="R15" s="8"/>
      <c r="S15" s="8" t="s">
        <v>30</v>
      </c>
      <c r="T15" s="8" t="s">
        <v>368</v>
      </c>
      <c r="U15" s="191" t="s">
        <v>796</v>
      </c>
      <c r="W15">
        <v>7</v>
      </c>
      <c r="X15" t="s">
        <v>1979</v>
      </c>
      <c r="Y15">
        <f t="shared" si="0"/>
        <v>252</v>
      </c>
      <c r="Z15" t="str">
        <f t="shared" si="1"/>
        <v>B-7</v>
      </c>
      <c r="AB15">
        <v>169</v>
      </c>
      <c r="AC15" t="s">
        <v>2133</v>
      </c>
    </row>
    <row r="16" spans="1:29">
      <c r="A16" s="245" t="s">
        <v>262</v>
      </c>
      <c r="B16" s="251" t="str">
        <f>Texte!$B$275</f>
        <v>Palo, palo dislocante in calcestruzzo gettato in opera (SIA 2032)</v>
      </c>
      <c r="C16" s="245"/>
      <c r="D16" s="245"/>
      <c r="E16" s="245" t="s">
        <v>798</v>
      </c>
      <c r="F16" s="245" t="s">
        <v>30</v>
      </c>
      <c r="G16" s="8">
        <v>60</v>
      </c>
      <c r="H16" s="196">
        <v>6.8250000000000002</v>
      </c>
      <c r="I16" s="207">
        <v>409.5</v>
      </c>
      <c r="J16" s="207">
        <v>0</v>
      </c>
      <c r="K16" s="200">
        <f>(L16+M16)/$G16</f>
        <v>2.2824999999999998</v>
      </c>
      <c r="L16" s="206">
        <v>136.94999999999999</v>
      </c>
      <c r="M16" s="206">
        <v>0</v>
      </c>
      <c r="N16" s="198">
        <f>(O16+P16)/$G16</f>
        <v>3800</v>
      </c>
      <c r="O16" s="202">
        <v>228000</v>
      </c>
      <c r="P16" s="202">
        <v>0</v>
      </c>
      <c r="Q16" s="8" t="s">
        <v>19</v>
      </c>
      <c r="R16" s="8"/>
      <c r="S16" s="8" t="s">
        <v>30</v>
      </c>
      <c r="T16" s="8" t="s">
        <v>368</v>
      </c>
      <c r="U16" s="191" t="s">
        <v>796</v>
      </c>
      <c r="W16">
        <v>8</v>
      </c>
      <c r="X16" t="s">
        <v>1980</v>
      </c>
      <c r="Y16">
        <f t="shared" si="0"/>
        <v>253</v>
      </c>
      <c r="Z16" t="str">
        <f t="shared" si="1"/>
        <v>B-8</v>
      </c>
      <c r="AB16">
        <v>170</v>
      </c>
      <c r="AC16" t="s">
        <v>2134</v>
      </c>
    </row>
    <row r="17" spans="1:29">
      <c r="A17" s="245" t="s">
        <v>262</v>
      </c>
      <c r="B17" s="251" t="str">
        <f>Texte!$B$276</f>
        <v>Pali, palo prefabbricato in calcestruzzo (SIA 2032)</v>
      </c>
      <c r="C17" s="245"/>
      <c r="D17" s="245"/>
      <c r="E17" s="245" t="s">
        <v>798</v>
      </c>
      <c r="F17" s="245" t="s">
        <v>30</v>
      </c>
      <c r="G17" s="8">
        <v>60</v>
      </c>
      <c r="H17" s="196">
        <v>1.6524999999999999</v>
      </c>
      <c r="I17" s="196">
        <v>99.149999999999991</v>
      </c>
      <c r="J17" s="196">
        <v>0</v>
      </c>
      <c r="K17" s="200">
        <f>(L17+M17)/$G17</f>
        <v>0.71500000000000008</v>
      </c>
      <c r="L17" s="206">
        <v>42.900000000000006</v>
      </c>
      <c r="M17" s="206">
        <v>0</v>
      </c>
      <c r="N17" s="198">
        <f>(O17+P17)/$G17</f>
        <v>970</v>
      </c>
      <c r="O17" s="198">
        <v>58200</v>
      </c>
      <c r="P17" s="198">
        <v>0</v>
      </c>
      <c r="Q17" s="8" t="s">
        <v>19</v>
      </c>
      <c r="R17" s="8"/>
      <c r="S17" s="8" t="s">
        <v>30</v>
      </c>
      <c r="T17" s="8" t="s">
        <v>368</v>
      </c>
      <c r="U17" s="191" t="s">
        <v>796</v>
      </c>
      <c r="W17">
        <v>9</v>
      </c>
      <c r="X17" t="s">
        <v>1981</v>
      </c>
      <c r="Y17">
        <f t="shared" si="0"/>
        <v>254</v>
      </c>
      <c r="Z17" t="str">
        <f t="shared" si="1"/>
        <v>B-9</v>
      </c>
      <c r="AB17">
        <v>171</v>
      </c>
      <c r="AC17" t="s">
        <v>2135</v>
      </c>
    </row>
    <row r="18" spans="1:29">
      <c r="A18" s="245" t="s">
        <v>263</v>
      </c>
      <c r="B18" s="251" t="str">
        <f>Texte!$B$278</f>
        <v>Piastra di base, fondazione isolata (SIA 2032)</v>
      </c>
      <c r="C18" s="245"/>
      <c r="D18" s="245"/>
      <c r="E18" s="245" t="s">
        <v>255</v>
      </c>
      <c r="F18" s="245" t="s">
        <v>30</v>
      </c>
      <c r="G18" s="8">
        <v>60</v>
      </c>
      <c r="H18" s="196">
        <v>7.3726666666666665</v>
      </c>
      <c r="I18" s="196">
        <v>397.44</v>
      </c>
      <c r="J18" s="196">
        <v>44.92</v>
      </c>
      <c r="K18" s="200">
        <f>(L18+M18)/$G18</f>
        <v>2.7103333333333333</v>
      </c>
      <c r="L18" s="8">
        <v>143.54</v>
      </c>
      <c r="M18" s="8">
        <v>19.079999999999998</v>
      </c>
      <c r="N18" s="202">
        <f>(O18+P18)/$G18</f>
        <v>3578.1183333333333</v>
      </c>
      <c r="O18" s="202">
        <v>187110.47</v>
      </c>
      <c r="P18" s="202">
        <v>27576.63</v>
      </c>
      <c r="Q18" s="8" t="s">
        <v>20</v>
      </c>
      <c r="R18" s="8"/>
      <c r="S18" s="8" t="s">
        <v>30</v>
      </c>
      <c r="T18" s="8" t="s">
        <v>368</v>
      </c>
      <c r="U18" s="191" t="s">
        <v>796</v>
      </c>
      <c r="W18">
        <v>1</v>
      </c>
      <c r="X18" t="s">
        <v>1982</v>
      </c>
      <c r="Y18">
        <f t="shared" si="0"/>
        <v>256</v>
      </c>
      <c r="Z18" t="str">
        <f t="shared" si="1"/>
        <v>C1-1</v>
      </c>
      <c r="AB18">
        <v>172</v>
      </c>
      <c r="AC18" t="s">
        <v>2136</v>
      </c>
    </row>
    <row r="19" spans="1:29">
      <c r="A19" s="245" t="s">
        <v>263</v>
      </c>
      <c r="B19" s="251" t="str">
        <f>Texte!$B$277</f>
        <v>Piastra di base, fondazione non isolata (SIA 2032)</v>
      </c>
      <c r="C19" s="245"/>
      <c r="D19" s="245"/>
      <c r="E19" s="245" t="s">
        <v>255</v>
      </c>
      <c r="F19" s="245" t="s">
        <v>30</v>
      </c>
      <c r="G19" s="8">
        <v>60</v>
      </c>
      <c r="H19" s="196">
        <v>4.4995000000000003</v>
      </c>
      <c r="I19" s="196">
        <v>226.46</v>
      </c>
      <c r="J19" s="196">
        <v>43.51</v>
      </c>
      <c r="K19" s="200">
        <f>(L19+M19)/$G19</f>
        <v>1.6329999999999998</v>
      </c>
      <c r="L19" s="8">
        <v>89.57</v>
      </c>
      <c r="M19" s="8">
        <v>8.41</v>
      </c>
      <c r="N19" s="202">
        <f>(O19+P19)/$G19</f>
        <v>2734.7371666666668</v>
      </c>
      <c r="O19" s="202">
        <v>141955.97</v>
      </c>
      <c r="P19" s="202">
        <v>22128.26</v>
      </c>
      <c r="Q19" s="8" t="s">
        <v>19</v>
      </c>
      <c r="R19" s="8"/>
      <c r="S19" s="8" t="s">
        <v>30</v>
      </c>
      <c r="T19" s="8" t="s">
        <v>368</v>
      </c>
      <c r="U19" s="191" t="s">
        <v>796</v>
      </c>
      <c r="W19">
        <v>2</v>
      </c>
      <c r="X19" t="s">
        <v>1983</v>
      </c>
      <c r="Y19">
        <f t="shared" si="0"/>
        <v>255</v>
      </c>
      <c r="Z19" t="str">
        <f t="shared" si="1"/>
        <v>C1-2</v>
      </c>
      <c r="AB19">
        <v>173</v>
      </c>
      <c r="AC19" t="s">
        <v>2152</v>
      </c>
    </row>
    <row r="20" spans="1:29">
      <c r="A20" s="248" t="s">
        <v>263</v>
      </c>
      <c r="B20" s="251" t="str">
        <f>Texte!$B$187</f>
        <v>Platea di fondazione 25 cm in CLS</v>
      </c>
      <c r="C20" s="248" t="s">
        <v>723</v>
      </c>
      <c r="D20" s="248" t="s">
        <v>722</v>
      </c>
      <c r="E20" s="248" t="s">
        <v>255</v>
      </c>
      <c r="F20" s="248" t="s">
        <v>30</v>
      </c>
      <c r="G20" s="193">
        <v>60</v>
      </c>
      <c r="H20" s="195">
        <v>3.9416666666666664</v>
      </c>
      <c r="I20" s="195">
        <v>187</v>
      </c>
      <c r="J20" s="195">
        <v>49.555555555555557</v>
      </c>
      <c r="K20" s="199">
        <v>1.38</v>
      </c>
      <c r="L20" s="199">
        <v>73.260000000000005</v>
      </c>
      <c r="M20" s="199">
        <v>9.4700000000000006</v>
      </c>
      <c r="N20" s="202">
        <v>2215</v>
      </c>
      <c r="O20" s="202">
        <v>109237</v>
      </c>
      <c r="P20" s="202">
        <v>23653</v>
      </c>
      <c r="Q20" s="191" t="s">
        <v>19</v>
      </c>
      <c r="R20" s="191"/>
      <c r="S20" s="8" t="s">
        <v>30</v>
      </c>
      <c r="T20" s="8" t="s">
        <v>368</v>
      </c>
      <c r="U20" s="191" t="s">
        <v>686</v>
      </c>
      <c r="W20">
        <v>3</v>
      </c>
      <c r="X20" t="s">
        <v>1984</v>
      </c>
      <c r="Y20">
        <f t="shared" si="0"/>
        <v>165</v>
      </c>
      <c r="Z20" t="str">
        <f t="shared" si="1"/>
        <v>C1-3</v>
      </c>
      <c r="AB20">
        <v>174</v>
      </c>
      <c r="AC20" t="s">
        <v>2153</v>
      </c>
    </row>
    <row r="21" spans="1:29">
      <c r="A21" s="248" t="s">
        <v>263</v>
      </c>
      <c r="B21" s="251" t="str">
        <f>Texte!$B$188</f>
        <v>Platea di fondazione 25 cm in CLS con isolamento termico interno XPS e massetto (BTK)</v>
      </c>
      <c r="C21" s="248" t="s">
        <v>571</v>
      </c>
      <c r="D21" s="248" t="s">
        <v>570</v>
      </c>
      <c r="E21" s="248" t="s">
        <v>255</v>
      </c>
      <c r="F21" s="248" t="s">
        <v>30</v>
      </c>
      <c r="G21" s="193">
        <f>(I21+J21)/H21</f>
        <v>38.626891862250488</v>
      </c>
      <c r="H21" s="195">
        <v>12.66388888888889</v>
      </c>
      <c r="I21" s="195">
        <v>434.47222222222217</v>
      </c>
      <c r="J21" s="195">
        <v>54.694444444444443</v>
      </c>
      <c r="K21" s="199">
        <v>5.37</v>
      </c>
      <c r="L21" s="199">
        <v>156.91999999999999</v>
      </c>
      <c r="M21" s="199">
        <v>40.44</v>
      </c>
      <c r="N21" s="202">
        <v>4902</v>
      </c>
      <c r="O21" s="202">
        <v>163582</v>
      </c>
      <c r="P21" s="202">
        <v>45456</v>
      </c>
      <c r="Q21" s="191" t="s">
        <v>20</v>
      </c>
      <c r="R21" s="191"/>
      <c r="S21" s="8" t="s">
        <v>30</v>
      </c>
      <c r="T21" s="8" t="s">
        <v>368</v>
      </c>
      <c r="U21" s="191" t="s">
        <v>686</v>
      </c>
      <c r="W21">
        <v>4</v>
      </c>
      <c r="X21" t="s">
        <v>1985</v>
      </c>
      <c r="Y21">
        <f t="shared" si="0"/>
        <v>166</v>
      </c>
      <c r="Z21" t="str">
        <f t="shared" si="1"/>
        <v>C1-4</v>
      </c>
      <c r="AB21">
        <v>175</v>
      </c>
      <c r="AC21" t="s">
        <v>2154</v>
      </c>
    </row>
    <row r="22" spans="1:29">
      <c r="A22" s="248" t="s">
        <v>263</v>
      </c>
      <c r="B22" s="251" t="str">
        <f>Texte!$B$189</f>
        <v>Isolamento termico, platea di fondazione 25 cm CLS, rivestimento in cemento (BTK)</v>
      </c>
      <c r="C22" s="248" t="s">
        <v>572</v>
      </c>
      <c r="D22" s="248" t="s">
        <v>573</v>
      </c>
      <c r="E22" s="248" t="s">
        <v>255</v>
      </c>
      <c r="F22" s="248" t="s">
        <v>30</v>
      </c>
      <c r="G22" s="193">
        <f>(I22+J22)/H22</f>
        <v>59.996379435191884</v>
      </c>
      <c r="H22" s="195">
        <v>7.6722222222222225</v>
      </c>
      <c r="I22" s="195">
        <v>409.55555555555554</v>
      </c>
      <c r="J22" s="195">
        <v>50.749999999999993</v>
      </c>
      <c r="K22" s="199">
        <v>3.05</v>
      </c>
      <c r="L22" s="199">
        <v>143.81</v>
      </c>
      <c r="M22" s="199">
        <v>39.25</v>
      </c>
      <c r="N22" s="202">
        <v>3270</v>
      </c>
      <c r="O22" s="202">
        <v>153114</v>
      </c>
      <c r="P22" s="202">
        <v>43099</v>
      </c>
      <c r="Q22" s="191" t="s">
        <v>20</v>
      </c>
      <c r="R22" s="191"/>
      <c r="S22" s="8" t="s">
        <v>30</v>
      </c>
      <c r="T22" s="8" t="s">
        <v>368</v>
      </c>
      <c r="U22" s="191" t="s">
        <v>686</v>
      </c>
      <c r="W22">
        <v>5</v>
      </c>
      <c r="X22" t="s">
        <v>1986</v>
      </c>
      <c r="Y22">
        <f t="shared" si="0"/>
        <v>167</v>
      </c>
      <c r="Z22" t="str">
        <f t="shared" si="1"/>
        <v>C1-5</v>
      </c>
      <c r="AB22">
        <v>176</v>
      </c>
      <c r="AC22" t="s">
        <v>2155</v>
      </c>
    </row>
    <row r="23" spans="1:29">
      <c r="A23" s="245" t="s">
        <v>264</v>
      </c>
      <c r="B23" s="251" t="str">
        <f>Texte!$B$280</f>
        <v>Parete esterna isolata sotto il terreno (SIA 2032)</v>
      </c>
      <c r="C23" s="245"/>
      <c r="D23" s="245"/>
      <c r="E23" s="245" t="s">
        <v>255</v>
      </c>
      <c r="F23" s="245" t="s">
        <v>30</v>
      </c>
      <c r="G23" s="8">
        <v>60</v>
      </c>
      <c r="H23" s="196">
        <v>8.2651666666666657</v>
      </c>
      <c r="I23" s="196">
        <v>462.78</v>
      </c>
      <c r="J23" s="196">
        <v>33.130000000000003</v>
      </c>
      <c r="K23" s="200">
        <f>(L23+M23)/$G23</f>
        <v>2.7371666666666665</v>
      </c>
      <c r="L23" s="8">
        <v>131.26</v>
      </c>
      <c r="M23" s="8">
        <v>32.97</v>
      </c>
      <c r="N23" s="202">
        <f>(O23+P23)/$G23</f>
        <v>3298.7833333333333</v>
      </c>
      <c r="O23" s="202">
        <v>168941.86</v>
      </c>
      <c r="P23" s="202">
        <v>28985.14</v>
      </c>
      <c r="Q23" s="8" t="s">
        <v>20</v>
      </c>
      <c r="R23" s="8"/>
      <c r="S23" s="8" t="s">
        <v>30</v>
      </c>
      <c r="T23" s="8" t="s">
        <v>368</v>
      </c>
      <c r="U23" s="191" t="s">
        <v>796</v>
      </c>
      <c r="W23">
        <v>1</v>
      </c>
      <c r="X23" t="s">
        <v>1987</v>
      </c>
      <c r="Y23">
        <f t="shared" si="0"/>
        <v>258</v>
      </c>
      <c r="Z23" t="str">
        <f t="shared" si="1"/>
        <v>C211-1</v>
      </c>
      <c r="AB23">
        <v>177</v>
      </c>
      <c r="AC23" t="s">
        <v>2156</v>
      </c>
    </row>
    <row r="24" spans="1:29">
      <c r="A24" s="245" t="s">
        <v>264</v>
      </c>
      <c r="B24" s="251" t="str">
        <f>Texte!$B$279</f>
        <v>Muro esterno sotto il terreno non isolato (SIA 2032)</v>
      </c>
      <c r="C24" s="245"/>
      <c r="D24" s="245"/>
      <c r="E24" s="245" t="s">
        <v>255</v>
      </c>
      <c r="F24" s="245" t="s">
        <v>30</v>
      </c>
      <c r="G24" s="8">
        <v>60</v>
      </c>
      <c r="H24" s="196">
        <v>4.6161666666666674</v>
      </c>
      <c r="I24" s="196">
        <v>245.9</v>
      </c>
      <c r="J24" s="196">
        <v>31.07</v>
      </c>
      <c r="K24" s="200">
        <f>(L24+M24)/$G24</f>
        <v>1.5068333333333332</v>
      </c>
      <c r="L24" s="8">
        <v>75.22</v>
      </c>
      <c r="M24" s="8">
        <v>15.19</v>
      </c>
      <c r="N24" s="202">
        <f>(O24+P24)/$G24</f>
        <v>2323.402</v>
      </c>
      <c r="O24" s="202">
        <v>119407.36</v>
      </c>
      <c r="P24" s="202">
        <v>19996.759999999998</v>
      </c>
      <c r="Q24" s="8" t="s">
        <v>19</v>
      </c>
      <c r="R24" s="8"/>
      <c r="S24" s="8" t="s">
        <v>30</v>
      </c>
      <c r="T24" s="8" t="s">
        <v>368</v>
      </c>
      <c r="U24" s="191" t="s">
        <v>796</v>
      </c>
      <c r="W24">
        <v>2</v>
      </c>
      <c r="X24" t="s">
        <v>1988</v>
      </c>
      <c r="Y24">
        <f t="shared" si="0"/>
        <v>257</v>
      </c>
      <c r="Z24" t="str">
        <f t="shared" si="1"/>
        <v>C211-2</v>
      </c>
      <c r="AB24">
        <v>178</v>
      </c>
      <c r="AC24" t="s">
        <v>2157</v>
      </c>
    </row>
    <row r="25" spans="1:29">
      <c r="A25" s="248" t="s">
        <v>264</v>
      </c>
      <c r="B25" s="251" t="str">
        <f>Texte!$B$190</f>
        <v>Parete in CLS 25 cm, non isolata, elementi drenanti (BTK)</v>
      </c>
      <c r="C25" s="248" t="s">
        <v>602</v>
      </c>
      <c r="D25" s="248" t="s">
        <v>603</v>
      </c>
      <c r="E25" s="248" t="s">
        <v>255</v>
      </c>
      <c r="F25" s="248" t="s">
        <v>30</v>
      </c>
      <c r="G25" s="193">
        <f>(I25+J25)/H25</f>
        <v>59.988016776512879</v>
      </c>
      <c r="H25" s="195">
        <v>4.6361111111111111</v>
      </c>
      <c r="I25" s="195">
        <v>244.9722222222222</v>
      </c>
      <c r="J25" s="195">
        <v>33.138888888888886</v>
      </c>
      <c r="K25" s="199">
        <v>1.75</v>
      </c>
      <c r="L25" s="199">
        <v>87.05</v>
      </c>
      <c r="M25" s="199">
        <v>18.010000000000002</v>
      </c>
      <c r="N25" s="202">
        <v>2110</v>
      </c>
      <c r="O25" s="202">
        <v>102726</v>
      </c>
      <c r="P25" s="202">
        <v>23895</v>
      </c>
      <c r="Q25" s="191" t="s">
        <v>19</v>
      </c>
      <c r="R25" s="191"/>
      <c r="S25" s="8" t="s">
        <v>30</v>
      </c>
      <c r="T25" s="8" t="s">
        <v>368</v>
      </c>
      <c r="U25" s="191" t="s">
        <v>686</v>
      </c>
      <c r="W25">
        <v>3</v>
      </c>
      <c r="X25" t="s">
        <v>1989</v>
      </c>
      <c r="Y25">
        <f t="shared" si="0"/>
        <v>168</v>
      </c>
      <c r="Z25" t="str">
        <f t="shared" si="1"/>
        <v>C211-3</v>
      </c>
      <c r="AB25">
        <v>179</v>
      </c>
      <c r="AC25" t="s">
        <v>2158</v>
      </c>
    </row>
    <row r="26" spans="1:29">
      <c r="A26" s="248" t="s">
        <v>264</v>
      </c>
      <c r="B26" s="251" t="str">
        <f>Texte!$B$191</f>
        <v>Parete in CLS 25 cm, isolamento esterno, elementi drenanti (BTK)</v>
      </c>
      <c r="C26" s="248" t="s">
        <v>604</v>
      </c>
      <c r="D26" s="248" t="s">
        <v>605</v>
      </c>
      <c r="E26" s="248" t="s">
        <v>255</v>
      </c>
      <c r="F26" s="248" t="s">
        <v>30</v>
      </c>
      <c r="G26" s="193">
        <f>(I26+J26)/H26</f>
        <v>60.003753753753742</v>
      </c>
      <c r="H26" s="195">
        <v>7.4</v>
      </c>
      <c r="I26" s="195">
        <v>410.4444444444444</v>
      </c>
      <c r="J26" s="195">
        <v>33.583333333333336</v>
      </c>
      <c r="K26" s="199">
        <v>3.18</v>
      </c>
      <c r="L26" s="199">
        <v>153.76</v>
      </c>
      <c r="M26" s="199">
        <v>36.92</v>
      </c>
      <c r="N26" s="202">
        <v>2959</v>
      </c>
      <c r="O26" s="202">
        <v>141658</v>
      </c>
      <c r="P26" s="202">
        <v>35893</v>
      </c>
      <c r="Q26" s="191" t="s">
        <v>20</v>
      </c>
      <c r="R26" s="191"/>
      <c r="S26" s="8" t="s">
        <v>30</v>
      </c>
      <c r="T26" s="8" t="s">
        <v>368</v>
      </c>
      <c r="U26" s="191" t="s">
        <v>686</v>
      </c>
      <c r="W26">
        <v>4</v>
      </c>
      <c r="X26" t="s">
        <v>1990</v>
      </c>
      <c r="Y26">
        <f t="shared" si="0"/>
        <v>169</v>
      </c>
      <c r="Z26" t="str">
        <f t="shared" si="1"/>
        <v>C211-4</v>
      </c>
      <c r="AB26">
        <v>180</v>
      </c>
      <c r="AC26" t="s">
        <v>2159</v>
      </c>
    </row>
    <row r="27" spans="1:29">
      <c r="A27" s="248" t="s">
        <v>264</v>
      </c>
      <c r="B27" s="251" t="str">
        <f>Texte!$B$192</f>
        <v>Parete in CLS 25 cm, isolamento interno rivestito, elementi drenanti (BTK)</v>
      </c>
      <c r="C27" s="248" t="s">
        <v>606</v>
      </c>
      <c r="D27" s="248" t="s">
        <v>607</v>
      </c>
      <c r="E27" s="248" t="s">
        <v>255</v>
      </c>
      <c r="F27" s="248" t="s">
        <v>30</v>
      </c>
      <c r="G27" s="193">
        <f>(I27+J27)/H27</f>
        <v>42.345244086562651</v>
      </c>
      <c r="H27" s="195">
        <v>11.03888888888889</v>
      </c>
      <c r="I27" s="195">
        <v>432.91666666666663</v>
      </c>
      <c r="J27" s="195">
        <v>34.527777777777779</v>
      </c>
      <c r="K27" s="199">
        <v>4.8099999999999996</v>
      </c>
      <c r="L27" s="199">
        <v>158.35</v>
      </c>
      <c r="M27" s="199">
        <v>38.42</v>
      </c>
      <c r="N27" s="202">
        <v>4012</v>
      </c>
      <c r="O27" s="202">
        <v>146436</v>
      </c>
      <c r="P27" s="202">
        <v>37240</v>
      </c>
      <c r="Q27" s="191" t="s">
        <v>20</v>
      </c>
      <c r="R27" s="191"/>
      <c r="S27" s="8" t="s">
        <v>30</v>
      </c>
      <c r="T27" s="8" t="s">
        <v>368</v>
      </c>
      <c r="U27" s="191" t="s">
        <v>686</v>
      </c>
      <c r="W27">
        <v>5</v>
      </c>
      <c r="X27" t="s">
        <v>1991</v>
      </c>
      <c r="Y27">
        <f t="shared" si="0"/>
        <v>170</v>
      </c>
      <c r="Z27" t="str">
        <f t="shared" si="1"/>
        <v>C211-5</v>
      </c>
      <c r="AB27">
        <v>181</v>
      </c>
      <c r="AC27" t="s">
        <v>2160</v>
      </c>
    </row>
    <row r="28" spans="1:29">
      <c r="A28" s="248" t="s">
        <v>265</v>
      </c>
      <c r="B28" s="251" t="str">
        <f>Texte!$B$193</f>
        <v>Parete esterna massiccia in legno, rivestimento interno a uno strato (Lignum)</v>
      </c>
      <c r="C28" s="248" t="s">
        <v>540</v>
      </c>
      <c r="D28" s="248" t="s">
        <v>532</v>
      </c>
      <c r="E28" s="248" t="s">
        <v>255</v>
      </c>
      <c r="F28" s="248" t="s">
        <v>30</v>
      </c>
      <c r="G28" s="191">
        <v>60</v>
      </c>
      <c r="H28" s="195">
        <v>4.4537037037037042</v>
      </c>
      <c r="I28" s="195">
        <v>0</v>
      </c>
      <c r="J28" s="195">
        <v>0</v>
      </c>
      <c r="K28" s="199">
        <v>0.8829999999999999</v>
      </c>
      <c r="L28" s="199"/>
      <c r="M28" s="199"/>
      <c r="N28" s="202">
        <v>1514.7333333333333</v>
      </c>
      <c r="O28" s="202"/>
      <c r="P28" s="202"/>
      <c r="Q28" s="191" t="s">
        <v>20</v>
      </c>
      <c r="R28" s="191"/>
      <c r="S28" s="8" t="s">
        <v>30</v>
      </c>
      <c r="T28" s="8" t="s">
        <v>368</v>
      </c>
      <c r="U28" s="191" t="s">
        <v>687</v>
      </c>
      <c r="W28">
        <v>1</v>
      </c>
      <c r="X28" t="s">
        <v>1992</v>
      </c>
      <c r="Y28">
        <f t="shared" si="0"/>
        <v>171</v>
      </c>
      <c r="Z28" t="str">
        <f t="shared" si="1"/>
        <v>C212-1</v>
      </c>
      <c r="AB28">
        <v>182</v>
      </c>
      <c r="AC28" t="s">
        <v>2161</v>
      </c>
    </row>
    <row r="29" spans="1:29">
      <c r="A29" s="248" t="s">
        <v>265</v>
      </c>
      <c r="B29" s="251" t="str">
        <f>Texte!$B$194</f>
        <v>Parete esterna intelaiata in legno, rivestimento interno a uno strato (Lignum)</v>
      </c>
      <c r="C29" s="248" t="s">
        <v>539</v>
      </c>
      <c r="D29" s="248" t="s">
        <v>531</v>
      </c>
      <c r="E29" s="248" t="s">
        <v>255</v>
      </c>
      <c r="F29" s="248" t="s">
        <v>30</v>
      </c>
      <c r="G29" s="191">
        <v>60</v>
      </c>
      <c r="H29" s="195">
        <v>2.7870370370370368</v>
      </c>
      <c r="I29" s="195">
        <v>0</v>
      </c>
      <c r="J29" s="195">
        <v>0</v>
      </c>
      <c r="K29" s="199">
        <v>0.59733333333333338</v>
      </c>
      <c r="L29" s="199"/>
      <c r="M29" s="199"/>
      <c r="N29" s="202">
        <v>783.9</v>
      </c>
      <c r="O29" s="202"/>
      <c r="P29" s="202"/>
      <c r="Q29" s="191" t="s">
        <v>20</v>
      </c>
      <c r="R29" s="191"/>
      <c r="S29" s="8" t="s">
        <v>30</v>
      </c>
      <c r="T29" s="8" t="s">
        <v>368</v>
      </c>
      <c r="U29" s="191" t="s">
        <v>687</v>
      </c>
      <c r="W29">
        <v>2</v>
      </c>
      <c r="X29" t="s">
        <v>1993</v>
      </c>
      <c r="Y29">
        <f t="shared" si="0"/>
        <v>172</v>
      </c>
      <c r="Z29" t="str">
        <f t="shared" si="1"/>
        <v>C212-2</v>
      </c>
      <c r="AB29">
        <v>183</v>
      </c>
      <c r="AC29" t="s">
        <v>2164</v>
      </c>
    </row>
    <row r="30" spans="1:29">
      <c r="A30" s="245" t="s">
        <v>265</v>
      </c>
      <c r="B30" s="251" t="str">
        <f>Texte!$B$287</f>
        <v>Muro in mattoni con intonaco interno, parete a doppio guscio (SIA 2032)</v>
      </c>
      <c r="C30" s="245"/>
      <c r="D30" s="245"/>
      <c r="E30" s="245" t="s">
        <v>255</v>
      </c>
      <c r="F30" s="245" t="s">
        <v>30</v>
      </c>
      <c r="G30" s="8">
        <v>42</v>
      </c>
      <c r="H30" s="196">
        <v>10.063867033333331</v>
      </c>
      <c r="I30" s="196">
        <v>409.21360000000004</v>
      </c>
      <c r="J30" s="196">
        <v>20.152518000000004</v>
      </c>
      <c r="K30" s="200">
        <v>3.17469716</v>
      </c>
      <c r="L30" s="206">
        <v>132.6225</v>
      </c>
      <c r="M30" s="206">
        <v>4.1059374000000002</v>
      </c>
      <c r="N30" s="202">
        <v>2884.3068666666672</v>
      </c>
      <c r="O30" s="202">
        <v>113364.70000000001</v>
      </c>
      <c r="P30" s="202">
        <v>9763.9480000000003</v>
      </c>
      <c r="Q30" s="8" t="s">
        <v>20</v>
      </c>
      <c r="R30" s="8"/>
      <c r="S30" s="8" t="s">
        <v>30</v>
      </c>
      <c r="T30" s="8" t="s">
        <v>368</v>
      </c>
      <c r="U30" s="191" t="s">
        <v>796</v>
      </c>
      <c r="W30">
        <v>3</v>
      </c>
      <c r="X30" t="s">
        <v>1994</v>
      </c>
      <c r="Y30">
        <f t="shared" si="0"/>
        <v>265</v>
      </c>
      <c r="Z30" t="str">
        <f t="shared" si="1"/>
        <v>C212-3</v>
      </c>
      <c r="AB30">
        <v>184</v>
      </c>
      <c r="AC30" t="s">
        <v>2165</v>
      </c>
    </row>
    <row r="31" spans="1:29">
      <c r="A31" s="245" t="s">
        <v>265</v>
      </c>
      <c r="B31" s="251" t="str">
        <f>Texte!$B$288</f>
        <v>Muro in mattoni con intonaco interno, rivest. in fibrocemento/pietra (SIA 2032)</v>
      </c>
      <c r="C31" s="245"/>
      <c r="D31" s="245"/>
      <c r="E31" s="245" t="s">
        <v>255</v>
      </c>
      <c r="F31" s="245" t="s">
        <v>30</v>
      </c>
      <c r="G31" s="8">
        <v>42</v>
      </c>
      <c r="H31" s="196">
        <v>8.1597471624999969</v>
      </c>
      <c r="I31" s="196">
        <v>339.05445416666669</v>
      </c>
      <c r="J31" s="196">
        <v>14.146869000000002</v>
      </c>
      <c r="K31" s="200">
        <v>2.1583820344337603</v>
      </c>
      <c r="L31" s="206">
        <v>93.025331677350437</v>
      </c>
      <c r="M31" s="206">
        <v>3.0505007000000002</v>
      </c>
      <c r="N31" s="202">
        <v>2200.1420107905988</v>
      </c>
      <c r="O31" s="202">
        <v>89038.869764957271</v>
      </c>
      <c r="P31" s="202">
        <v>6723.1840000000002</v>
      </c>
      <c r="Q31" s="8" t="s">
        <v>20</v>
      </c>
      <c r="R31" s="8"/>
      <c r="S31" s="8" t="s">
        <v>30</v>
      </c>
      <c r="T31" s="8" t="s">
        <v>368</v>
      </c>
      <c r="U31" s="191" t="s">
        <v>796</v>
      </c>
      <c r="W31">
        <v>4</v>
      </c>
      <c r="X31" t="s">
        <v>1995</v>
      </c>
      <c r="Y31">
        <f t="shared" si="0"/>
        <v>266</v>
      </c>
      <c r="Z31" t="str">
        <f t="shared" si="1"/>
        <v>C212-4</v>
      </c>
      <c r="AB31">
        <v>185</v>
      </c>
      <c r="AC31" t="s">
        <v>2166</v>
      </c>
    </row>
    <row r="32" spans="1:29">
      <c r="A32" s="245" t="s">
        <v>265</v>
      </c>
      <c r="B32" s="251" t="str">
        <f>Texte!$B$289</f>
        <v>Muro in mattoni con intonaco interno, rivest. in legno (SIA 2032)</v>
      </c>
      <c r="C32" s="245"/>
      <c r="D32" s="245"/>
      <c r="E32" s="245" t="s">
        <v>255</v>
      </c>
      <c r="F32" s="245" t="s">
        <v>30</v>
      </c>
      <c r="G32" s="8">
        <v>42</v>
      </c>
      <c r="H32" s="196">
        <v>5.9280046608333308</v>
      </c>
      <c r="I32" s="196">
        <v>251.62047000000001</v>
      </c>
      <c r="J32" s="196">
        <v>12.311153100000002</v>
      </c>
      <c r="K32" s="200">
        <v>1.5775585087499999</v>
      </c>
      <c r="L32" s="206">
        <v>69.307242500000001</v>
      </c>
      <c r="M32" s="206">
        <v>3.5356488500000003</v>
      </c>
      <c r="N32" s="202">
        <v>1847.8339741666668</v>
      </c>
      <c r="O32" s="202">
        <v>75287.156000000003</v>
      </c>
      <c r="P32" s="202">
        <v>6382.5763000000006</v>
      </c>
      <c r="Q32" s="8" t="s">
        <v>20</v>
      </c>
      <c r="R32" s="8"/>
      <c r="S32" s="8" t="s">
        <v>30</v>
      </c>
      <c r="T32" s="8" t="s">
        <v>368</v>
      </c>
      <c r="U32" s="191" t="s">
        <v>796</v>
      </c>
      <c r="W32">
        <v>5</v>
      </c>
      <c r="X32" t="s">
        <v>1996</v>
      </c>
      <c r="Y32">
        <f t="shared" si="0"/>
        <v>267</v>
      </c>
      <c r="Z32" t="str">
        <f t="shared" si="1"/>
        <v>C212-5</v>
      </c>
      <c r="AB32">
        <v>186</v>
      </c>
      <c r="AC32" t="s">
        <v>2167</v>
      </c>
    </row>
    <row r="33" spans="1:29">
      <c r="A33" s="245" t="s">
        <v>265</v>
      </c>
      <c r="B33" s="251" t="str">
        <f>Texte!$B$290</f>
        <v>Muro in mattoni con intonaco interno, rivest. in metallo/vetro (SIA 2032)</v>
      </c>
      <c r="C33" s="245"/>
      <c r="D33" s="245"/>
      <c r="E33" s="245" t="s">
        <v>255</v>
      </c>
      <c r="F33" s="245" t="s">
        <v>30</v>
      </c>
      <c r="G33" s="8">
        <v>42</v>
      </c>
      <c r="H33" s="196">
        <v>11.582977287499997</v>
      </c>
      <c r="I33" s="196">
        <v>477.09785416666659</v>
      </c>
      <c r="J33" s="196">
        <v>13.032674000000002</v>
      </c>
      <c r="K33" s="200">
        <v>2.9094727001388883</v>
      </c>
      <c r="L33" s="206">
        <v>119.06726180555555</v>
      </c>
      <c r="M33" s="206">
        <v>7.0521972000000002</v>
      </c>
      <c r="N33" s="202">
        <v>3015.1850652777775</v>
      </c>
      <c r="O33" s="202">
        <v>120445.23194444443</v>
      </c>
      <c r="P33" s="202">
        <v>7918.5439999999999</v>
      </c>
      <c r="Q33" s="8" t="s">
        <v>20</v>
      </c>
      <c r="R33" s="8"/>
      <c r="S33" s="8" t="s">
        <v>30</v>
      </c>
      <c r="T33" s="8" t="s">
        <v>368</v>
      </c>
      <c r="U33" s="191" t="s">
        <v>796</v>
      </c>
      <c r="W33">
        <v>6</v>
      </c>
      <c r="X33" t="s">
        <v>1997</v>
      </c>
      <c r="Y33">
        <f t="shared" si="0"/>
        <v>268</v>
      </c>
      <c r="Z33" t="str">
        <f t="shared" si="1"/>
        <v>C212-6</v>
      </c>
      <c r="AB33">
        <v>187</v>
      </c>
      <c r="AC33" t="s">
        <v>2168</v>
      </c>
    </row>
    <row r="34" spans="1:29">
      <c r="A34" s="245" t="s">
        <v>265</v>
      </c>
      <c r="B34" s="251" t="str">
        <f>Texte!$B$291</f>
        <v>Muro in mattoni con intonaco interno, isolamento esterno intonacato (SIA 2032)</v>
      </c>
      <c r="C34" s="245"/>
      <c r="D34" s="245"/>
      <c r="E34" s="245" t="s">
        <v>255</v>
      </c>
      <c r="F34" s="245" t="s">
        <v>30</v>
      </c>
      <c r="G34" s="8">
        <v>39</v>
      </c>
      <c r="H34" s="196">
        <v>7.7843524166666604</v>
      </c>
      <c r="I34" s="196">
        <v>280.75422500000002</v>
      </c>
      <c r="J34" s="196">
        <v>13.403352500000002</v>
      </c>
      <c r="K34" s="200">
        <v>2.2586531916666663</v>
      </c>
      <c r="L34" s="206">
        <v>80.51155</v>
      </c>
      <c r="M34" s="206">
        <v>8.185167250000001</v>
      </c>
      <c r="N34" s="202">
        <v>1979.0583333333334</v>
      </c>
      <c r="O34" s="202">
        <v>68374.8</v>
      </c>
      <c r="P34" s="202">
        <v>8642.8100000000013</v>
      </c>
      <c r="Q34" s="8" t="s">
        <v>20</v>
      </c>
      <c r="R34" s="8"/>
      <c r="S34" s="8" t="s">
        <v>30</v>
      </c>
      <c r="T34" s="8" t="s">
        <v>368</v>
      </c>
      <c r="U34" s="191" t="s">
        <v>796</v>
      </c>
      <c r="W34">
        <v>7</v>
      </c>
      <c r="X34" t="s">
        <v>1998</v>
      </c>
      <c r="Y34">
        <f t="shared" si="0"/>
        <v>269</v>
      </c>
      <c r="Z34" t="str">
        <f t="shared" si="1"/>
        <v>C212-7</v>
      </c>
      <c r="AB34">
        <v>188</v>
      </c>
      <c r="AC34" t="s">
        <v>2169</v>
      </c>
    </row>
    <row r="35" spans="1:29">
      <c r="A35" s="245" t="s">
        <v>265</v>
      </c>
      <c r="B35" s="251" t="str">
        <f>Texte!$B$283</f>
        <v>Parete in calcestruzzo con intonaco interno, parete esterna in mattoni (SIA 2032)</v>
      </c>
      <c r="C35" s="245"/>
      <c r="D35" s="245"/>
      <c r="E35" s="245" t="s">
        <v>255</v>
      </c>
      <c r="F35" s="245" t="s">
        <v>30</v>
      </c>
      <c r="G35" s="8">
        <v>49</v>
      </c>
      <c r="H35" s="196">
        <v>10.276493946284502</v>
      </c>
      <c r="I35" s="196">
        <v>427.68462038216563</v>
      </c>
      <c r="J35" s="196">
        <v>34.848962394904461</v>
      </c>
      <c r="K35" s="200">
        <v>3.2803793063906586</v>
      </c>
      <c r="L35" s="206">
        <v>141.02148089171976</v>
      </c>
      <c r="M35" s="206">
        <v>8.3741802917197461</v>
      </c>
      <c r="N35" s="202">
        <v>3845.7318443736731</v>
      </c>
      <c r="O35" s="202">
        <v>168531.38980891719</v>
      </c>
      <c r="P35" s="202">
        <v>18294.056853503185</v>
      </c>
      <c r="Q35" s="8" t="s">
        <v>20</v>
      </c>
      <c r="R35" s="8"/>
      <c r="S35" s="8" t="s">
        <v>30</v>
      </c>
      <c r="T35" s="8" t="s">
        <v>368</v>
      </c>
      <c r="U35" s="191" t="s">
        <v>796</v>
      </c>
      <c r="W35">
        <v>8</v>
      </c>
      <c r="X35" t="s">
        <v>1999</v>
      </c>
      <c r="Y35">
        <f t="shared" si="0"/>
        <v>261</v>
      </c>
      <c r="Z35" t="str">
        <f t="shared" si="1"/>
        <v>C212-8</v>
      </c>
      <c r="AB35">
        <v>189</v>
      </c>
      <c r="AC35" t="s">
        <v>2170</v>
      </c>
    </row>
    <row r="36" spans="1:29">
      <c r="A36" s="245" t="s">
        <v>265</v>
      </c>
      <c r="B36" s="251" t="str">
        <f>Texte!$B$284</f>
        <v>Parete in calcestruzzo con intonaco interno, rivest. in fibrocemento/pietra (SIA 2032)</v>
      </c>
      <c r="C36" s="245"/>
      <c r="D36" s="245"/>
      <c r="E36" s="245" t="s">
        <v>255</v>
      </c>
      <c r="F36" s="245" t="s">
        <v>30</v>
      </c>
      <c r="G36" s="8">
        <v>50</v>
      </c>
      <c r="H36" s="196">
        <v>8.372374075451166</v>
      </c>
      <c r="I36" s="196">
        <v>357.52547454883228</v>
      </c>
      <c r="J36" s="196">
        <v>28.843313394904463</v>
      </c>
      <c r="K36" s="200">
        <v>2.2640641808244188</v>
      </c>
      <c r="L36" s="206">
        <v>101.42431256907017</v>
      </c>
      <c r="M36" s="206">
        <v>7.3187435917197465</v>
      </c>
      <c r="N36" s="202">
        <v>3161.5669884976051</v>
      </c>
      <c r="O36" s="202">
        <v>144205.55957387446</v>
      </c>
      <c r="P36" s="202">
        <v>15253.292853503186</v>
      </c>
      <c r="Q36" s="8" t="s">
        <v>20</v>
      </c>
      <c r="R36" s="8"/>
      <c r="S36" s="8" t="s">
        <v>30</v>
      </c>
      <c r="T36" s="8" t="s">
        <v>368</v>
      </c>
      <c r="U36" s="191" t="s">
        <v>796</v>
      </c>
      <c r="W36">
        <v>9</v>
      </c>
      <c r="X36" t="s">
        <v>2000</v>
      </c>
      <c r="Y36">
        <f t="shared" si="0"/>
        <v>262</v>
      </c>
      <c r="Z36" t="str">
        <f t="shared" si="1"/>
        <v>C212-9</v>
      </c>
      <c r="AB36">
        <v>190</v>
      </c>
      <c r="AC36" t="s">
        <v>2171</v>
      </c>
    </row>
    <row r="37" spans="1:29">
      <c r="A37" s="245" t="s">
        <v>265</v>
      </c>
      <c r="B37" s="251" t="str">
        <f>Texte!$B$285</f>
        <v>Parete in calcestruzzo con intonaco interno, rivest. in metallo/vetro (SIA 2032)</v>
      </c>
      <c r="C37" s="245"/>
      <c r="D37" s="245"/>
      <c r="E37" s="245" t="s">
        <v>255</v>
      </c>
      <c r="F37" s="245" t="s">
        <v>30</v>
      </c>
      <c r="G37" s="8">
        <v>48</v>
      </c>
      <c r="H37" s="196">
        <v>11.795604200451166</v>
      </c>
      <c r="I37" s="196">
        <v>495.56887454883224</v>
      </c>
      <c r="J37" s="196">
        <v>27.729118394904461</v>
      </c>
      <c r="K37" s="200">
        <v>3.0151548465295468</v>
      </c>
      <c r="L37" s="206">
        <v>127.46624269727529</v>
      </c>
      <c r="M37" s="206">
        <v>11.320440091719746</v>
      </c>
      <c r="N37" s="202">
        <v>3976.6100429847838</v>
      </c>
      <c r="O37" s="202">
        <v>175611.92175336162</v>
      </c>
      <c r="P37" s="202">
        <v>16448.652853503187</v>
      </c>
      <c r="Q37" s="8" t="s">
        <v>20</v>
      </c>
      <c r="R37" s="8"/>
      <c r="S37" s="8" t="s">
        <v>30</v>
      </c>
      <c r="T37" s="8" t="s">
        <v>368</v>
      </c>
      <c r="U37" s="191" t="s">
        <v>796</v>
      </c>
      <c r="W37">
        <v>10</v>
      </c>
      <c r="X37" t="s">
        <v>2001</v>
      </c>
      <c r="Y37">
        <f t="shared" si="0"/>
        <v>263</v>
      </c>
      <c r="Z37" t="str">
        <f t="shared" si="1"/>
        <v>C212-10</v>
      </c>
      <c r="AB37">
        <v>191</v>
      </c>
      <c r="AC37" t="s">
        <v>2172</v>
      </c>
    </row>
    <row r="38" spans="1:29">
      <c r="A38" s="245" t="s">
        <v>265</v>
      </c>
      <c r="B38" s="251" t="str">
        <f>Texte!$B$286</f>
        <v>Parete in calcestruzzo con intonaco interno, isolamento esterno intonacato (SIA 2032)</v>
      </c>
      <c r="C38" s="245"/>
      <c r="D38" s="245"/>
      <c r="E38" s="245" t="s">
        <v>255</v>
      </c>
      <c r="F38" s="245" t="s">
        <v>30</v>
      </c>
      <c r="G38" s="8">
        <v>48</v>
      </c>
      <c r="H38" s="196">
        <v>7.9969793296178313</v>
      </c>
      <c r="I38" s="196">
        <v>299.22524538216561</v>
      </c>
      <c r="J38" s="196">
        <v>28.099796894904465</v>
      </c>
      <c r="K38" s="200">
        <v>2.3643353380573249</v>
      </c>
      <c r="L38" s="206">
        <v>88.910530891719745</v>
      </c>
      <c r="M38" s="206">
        <v>12.453410141719747</v>
      </c>
      <c r="N38" s="202">
        <v>2940.4833110403397</v>
      </c>
      <c r="O38" s="202">
        <v>123541.48980891719</v>
      </c>
      <c r="P38" s="202">
        <v>17172.918853503186</v>
      </c>
      <c r="Q38" s="8" t="s">
        <v>20</v>
      </c>
      <c r="R38" s="8"/>
      <c r="S38" s="8" t="s">
        <v>30</v>
      </c>
      <c r="T38" s="8" t="s">
        <v>368</v>
      </c>
      <c r="U38" s="191" t="s">
        <v>796</v>
      </c>
      <c r="W38">
        <v>11</v>
      </c>
      <c r="X38" t="s">
        <v>2002</v>
      </c>
      <c r="Y38">
        <f t="shared" si="0"/>
        <v>264</v>
      </c>
      <c r="Z38" t="str">
        <f t="shared" si="1"/>
        <v>C212-11</v>
      </c>
      <c r="AB38">
        <v>192</v>
      </c>
      <c r="AC38" t="s">
        <v>2173</v>
      </c>
    </row>
    <row r="39" spans="1:29">
      <c r="A39" s="245" t="s">
        <v>265</v>
      </c>
      <c r="B39" s="251" t="str">
        <f>Texte!$B$295</f>
        <v>Muratura monoblocco isolante, con intonaco interno e esterno (SIA 2032)</v>
      </c>
      <c r="C39" s="245"/>
      <c r="D39" s="245"/>
      <c r="E39" s="245" t="s">
        <v>255</v>
      </c>
      <c r="F39" s="245" t="s">
        <v>30</v>
      </c>
      <c r="G39" s="8">
        <v>56</v>
      </c>
      <c r="H39" s="196">
        <v>7.6175259666666646</v>
      </c>
      <c r="I39" s="196">
        <v>382.0262249999999</v>
      </c>
      <c r="J39" s="196">
        <v>16.925525499999999</v>
      </c>
      <c r="K39" s="200">
        <v>2.183743363333333</v>
      </c>
      <c r="L39" s="206">
        <v>108.65345999999998</v>
      </c>
      <c r="M39" s="206">
        <v>3.6094595499999991</v>
      </c>
      <c r="N39" s="202">
        <v>1947.7177333333329</v>
      </c>
      <c r="O39" s="202">
        <v>90515.98</v>
      </c>
      <c r="P39" s="202">
        <v>8587.3939999999984</v>
      </c>
      <c r="Q39" s="8" t="s">
        <v>20</v>
      </c>
      <c r="R39" s="8"/>
      <c r="S39" s="8" t="s">
        <v>30</v>
      </c>
      <c r="T39" s="8" t="s">
        <v>368</v>
      </c>
      <c r="U39" s="191" t="s">
        <v>796</v>
      </c>
      <c r="W39">
        <v>12</v>
      </c>
      <c r="X39" t="s">
        <v>2110</v>
      </c>
      <c r="Y39">
        <f t="shared" si="0"/>
        <v>273</v>
      </c>
      <c r="Z39" t="str">
        <f t="shared" si="1"/>
        <v>C212-12</v>
      </c>
      <c r="AB39">
        <v>193</v>
      </c>
      <c r="AC39" t="s">
        <v>2174</v>
      </c>
    </row>
    <row r="40" spans="1:29">
      <c r="A40" s="245" t="s">
        <v>265</v>
      </c>
      <c r="B40" s="251" t="str">
        <f>Texte!$B$296</f>
        <v>Muratura monoblocco isolante, con intonaco int., isolamento est. intonacato  (SIA 2032)</v>
      </c>
      <c r="C40" s="245"/>
      <c r="D40" s="245"/>
      <c r="E40" s="245" t="s">
        <v>255</v>
      </c>
      <c r="F40" s="245" t="s">
        <v>30</v>
      </c>
      <c r="G40" s="8">
        <v>48</v>
      </c>
      <c r="H40" s="196">
        <v>11.444317966666663</v>
      </c>
      <c r="I40" s="196">
        <v>495.85622499999988</v>
      </c>
      <c r="J40" s="196">
        <v>17.899285499999998</v>
      </c>
      <c r="K40" s="200">
        <v>3.1191030966666662</v>
      </c>
      <c r="L40" s="206">
        <v>131.30415999999997</v>
      </c>
      <c r="M40" s="206">
        <v>9.0195515499999992</v>
      </c>
      <c r="N40" s="202">
        <v>2746.5910666666664</v>
      </c>
      <c r="O40" s="202">
        <v>111567.98</v>
      </c>
      <c r="P40" s="202">
        <v>11501.593999999999</v>
      </c>
      <c r="Q40" s="8" t="s">
        <v>20</v>
      </c>
      <c r="R40" s="8"/>
      <c r="S40" s="8" t="s">
        <v>30</v>
      </c>
      <c r="T40" s="8" t="s">
        <v>368</v>
      </c>
      <c r="U40" s="191" t="s">
        <v>796</v>
      </c>
      <c r="W40">
        <v>13</v>
      </c>
      <c r="X40" t="s">
        <v>2111</v>
      </c>
      <c r="Y40">
        <f t="shared" si="0"/>
        <v>274</v>
      </c>
      <c r="Z40" t="str">
        <f t="shared" si="1"/>
        <v>C212-13</v>
      </c>
      <c r="AB40">
        <v>194</v>
      </c>
      <c r="AC40" t="s">
        <v>2175</v>
      </c>
    </row>
    <row r="41" spans="1:29">
      <c r="A41" s="245" t="s">
        <v>265</v>
      </c>
      <c r="B41" s="251" t="str">
        <f>Texte!$B$292</f>
        <v>Muro in legno, rivest. interno in gesso, rivest. esterno in fibrocemento/pietra (SIA 2032)</v>
      </c>
      <c r="C41" s="245"/>
      <c r="D41" s="245"/>
      <c r="E41" s="245" t="s">
        <v>255</v>
      </c>
      <c r="F41" s="245" t="s">
        <v>30</v>
      </c>
      <c r="G41" s="8">
        <v>42</v>
      </c>
      <c r="H41" s="196">
        <v>5.9633039458333323</v>
      </c>
      <c r="I41" s="196">
        <v>233.37337416666668</v>
      </c>
      <c r="J41" s="196">
        <v>5.5393474999999999</v>
      </c>
      <c r="K41" s="200">
        <v>1.3044654144337606</v>
      </c>
      <c r="L41" s="206">
        <v>49.465459677350431</v>
      </c>
      <c r="M41" s="206">
        <v>2.4919075999999998</v>
      </c>
      <c r="N41" s="202">
        <v>1694.0468607905987</v>
      </c>
      <c r="O41" s="202">
        <v>67571.64976495727</v>
      </c>
      <c r="P41" s="202">
        <v>3769.1644999999999</v>
      </c>
      <c r="Q41" s="8" t="s">
        <v>20</v>
      </c>
      <c r="R41" s="8"/>
      <c r="S41" s="8" t="s">
        <v>30</v>
      </c>
      <c r="T41" s="8" t="s">
        <v>368</v>
      </c>
      <c r="U41" s="191" t="s">
        <v>796</v>
      </c>
      <c r="W41">
        <v>14</v>
      </c>
      <c r="X41" t="s">
        <v>2112</v>
      </c>
      <c r="Y41">
        <f t="shared" si="0"/>
        <v>270</v>
      </c>
      <c r="Z41" t="str">
        <f t="shared" si="1"/>
        <v>C212-14</v>
      </c>
      <c r="AB41">
        <v>195</v>
      </c>
      <c r="AC41" t="s">
        <v>2176</v>
      </c>
    </row>
    <row r="42" spans="1:29">
      <c r="A42" s="245" t="s">
        <v>265</v>
      </c>
      <c r="B42" s="251" t="str">
        <f>Texte!$B$293</f>
        <v>Muro in legno, rivest. interno in gesso, rivest. esterno in legno (SIA 2032)</v>
      </c>
      <c r="C42" s="245"/>
      <c r="D42" s="245"/>
      <c r="E42" s="245" t="s">
        <v>255</v>
      </c>
      <c r="F42" s="245" t="s">
        <v>30</v>
      </c>
      <c r="G42" s="8">
        <v>43</v>
      </c>
      <c r="H42" s="196">
        <v>3.7315614441666671</v>
      </c>
      <c r="I42" s="196">
        <v>145.93939</v>
      </c>
      <c r="J42" s="196">
        <v>3.7036316000000005</v>
      </c>
      <c r="K42" s="200">
        <v>0.72364188875000002</v>
      </c>
      <c r="L42" s="206">
        <v>25.747370500000002</v>
      </c>
      <c r="M42" s="206">
        <v>2.9770557499999999</v>
      </c>
      <c r="N42" s="202">
        <v>1341.7388241666667</v>
      </c>
      <c r="O42" s="202">
        <v>53819.936000000002</v>
      </c>
      <c r="P42" s="202">
        <v>3428.5568000000003</v>
      </c>
      <c r="Q42" s="8" t="s">
        <v>20</v>
      </c>
      <c r="R42" s="8"/>
      <c r="S42" s="8" t="s">
        <v>30</v>
      </c>
      <c r="T42" s="8" t="s">
        <v>368</v>
      </c>
      <c r="U42" s="191" t="s">
        <v>796</v>
      </c>
      <c r="W42">
        <v>15</v>
      </c>
      <c r="X42" t="s">
        <v>2113</v>
      </c>
      <c r="Y42">
        <f t="shared" si="0"/>
        <v>271</v>
      </c>
      <c r="Z42" t="str">
        <f t="shared" si="1"/>
        <v>C212-15</v>
      </c>
      <c r="AB42">
        <v>196</v>
      </c>
      <c r="AC42" t="s">
        <v>2177</v>
      </c>
    </row>
    <row r="43" spans="1:29">
      <c r="A43" s="245" t="s">
        <v>265</v>
      </c>
      <c r="B43" s="251" t="str">
        <f>Texte!$B$294</f>
        <v>Muro in legno, rivest. interno in gesso, rivest. esterno in metallo/vetro (SIA 2032)</v>
      </c>
      <c r="C43" s="245"/>
      <c r="D43" s="245"/>
      <c r="E43" s="245" t="s">
        <v>255</v>
      </c>
      <c r="F43" s="245" t="s">
        <v>30</v>
      </c>
      <c r="G43" s="8">
        <v>42</v>
      </c>
      <c r="H43" s="196">
        <v>9.3865340708333331</v>
      </c>
      <c r="I43" s="196">
        <v>371.41677416666664</v>
      </c>
      <c r="J43" s="196">
        <v>4.4251525000000003</v>
      </c>
      <c r="K43" s="200">
        <v>2.0555560801388886</v>
      </c>
      <c r="L43" s="206">
        <v>75.507389805555547</v>
      </c>
      <c r="M43" s="206">
        <v>6.4936040999999998</v>
      </c>
      <c r="N43" s="202">
        <v>2509.0899152777774</v>
      </c>
      <c r="O43" s="202">
        <v>98978.011944444428</v>
      </c>
      <c r="P43" s="202">
        <v>4964.5244999999995</v>
      </c>
      <c r="Q43" s="8" t="s">
        <v>20</v>
      </c>
      <c r="R43" s="8"/>
      <c r="S43" s="8" t="s">
        <v>30</v>
      </c>
      <c r="T43" s="8" t="s">
        <v>368</v>
      </c>
      <c r="U43" s="191" t="s">
        <v>796</v>
      </c>
      <c r="W43">
        <v>16</v>
      </c>
      <c r="X43" t="s">
        <v>2114</v>
      </c>
      <c r="Y43">
        <f t="shared" si="0"/>
        <v>272</v>
      </c>
      <c r="Z43" t="str">
        <f t="shared" si="1"/>
        <v>C212-16</v>
      </c>
      <c r="AB43">
        <v>197</v>
      </c>
      <c r="AC43" t="s">
        <v>2179</v>
      </c>
    </row>
    <row r="44" spans="1:29">
      <c r="A44" s="245" t="s">
        <v>265</v>
      </c>
      <c r="B44" s="251" t="str">
        <f>Texte!$B$297</f>
        <v>Griglia a colonna con sistema di facciata alluminio/vetro (SIA 2032)</v>
      </c>
      <c r="C44" s="245"/>
      <c r="D44" s="245"/>
      <c r="E44" s="245" t="s">
        <v>255</v>
      </c>
      <c r="F44" s="245" t="s">
        <v>30</v>
      </c>
      <c r="G44" s="8">
        <v>50</v>
      </c>
      <c r="H44" s="196">
        <v>26.550826305590945</v>
      </c>
      <c r="I44" s="196">
        <v>1067.9082078556264</v>
      </c>
      <c r="J44" s="196">
        <v>5.1458704798301493</v>
      </c>
      <c r="K44" s="200">
        <v>6.0838588280254777</v>
      </c>
      <c r="L44" s="206">
        <v>231.00473847133759</v>
      </c>
      <c r="M44" s="206">
        <v>15.179291210191083</v>
      </c>
      <c r="N44" s="202">
        <v>9751.6586996461428</v>
      </c>
      <c r="O44" s="202">
        <v>388757.2518046709</v>
      </c>
      <c r="P44" s="202">
        <v>8851.2701740976645</v>
      </c>
      <c r="Q44" s="8" t="s">
        <v>19</v>
      </c>
      <c r="R44" s="8"/>
      <c r="S44" s="8" t="s">
        <v>30</v>
      </c>
      <c r="T44" s="8" t="s">
        <v>368</v>
      </c>
      <c r="U44" s="191" t="s">
        <v>796</v>
      </c>
      <c r="W44">
        <v>17</v>
      </c>
      <c r="X44" t="s">
        <v>2115</v>
      </c>
      <c r="Y44">
        <f t="shared" si="0"/>
        <v>275</v>
      </c>
      <c r="Z44" t="str">
        <f t="shared" si="1"/>
        <v>C212-17</v>
      </c>
      <c r="AB44">
        <v>198</v>
      </c>
      <c r="AC44" t="s">
        <v>2180</v>
      </c>
    </row>
    <row r="45" spans="1:29">
      <c r="A45" s="248" t="s">
        <v>265</v>
      </c>
      <c r="B45" s="251" t="str">
        <f>Texte!$B$195</f>
        <v>Muratura in cotto, isolamento termico esterno ventilato (BTK)</v>
      </c>
      <c r="C45" s="248" t="s">
        <v>616</v>
      </c>
      <c r="D45" s="248" t="s">
        <v>617</v>
      </c>
      <c r="E45" s="248" t="s">
        <v>255</v>
      </c>
      <c r="F45" s="248" t="s">
        <v>30</v>
      </c>
      <c r="G45" s="193">
        <f t="shared" ref="G45:G54" si="2">(I45+J45)/H45</f>
        <v>50.434201736806948</v>
      </c>
      <c r="H45" s="195">
        <v>4.1583333333333332</v>
      </c>
      <c r="I45" s="195">
        <v>197.94444444444446</v>
      </c>
      <c r="J45" s="195">
        <v>11.777777777777777</v>
      </c>
      <c r="K45" s="199">
        <v>1.2</v>
      </c>
      <c r="L45" s="199">
        <v>60.9</v>
      </c>
      <c r="M45" s="199">
        <v>2.11</v>
      </c>
      <c r="N45" s="194">
        <v>1302</v>
      </c>
      <c r="O45" s="194">
        <v>50142</v>
      </c>
      <c r="P45" s="194">
        <v>12528</v>
      </c>
      <c r="Q45" s="191" t="s">
        <v>20</v>
      </c>
      <c r="R45" s="191"/>
      <c r="S45" s="8" t="s">
        <v>30</v>
      </c>
      <c r="T45" s="8" t="s">
        <v>368</v>
      </c>
      <c r="U45" s="191" t="s">
        <v>686</v>
      </c>
      <c r="W45">
        <v>18</v>
      </c>
      <c r="X45" t="s">
        <v>2003</v>
      </c>
      <c r="Y45">
        <f t="shared" si="0"/>
        <v>173</v>
      </c>
      <c r="Z45" t="str">
        <f t="shared" si="1"/>
        <v>C212-18</v>
      </c>
      <c r="AB45">
        <v>199</v>
      </c>
      <c r="AC45" t="s">
        <v>2181</v>
      </c>
    </row>
    <row r="46" spans="1:29">
      <c r="A46" s="248" t="s">
        <v>265</v>
      </c>
      <c r="B46" s="251" t="str">
        <f>Texte!$B$196</f>
        <v>Parete 20 cm  CLS, isolamento esterno EPS intonacato (BTK)</v>
      </c>
      <c r="C46" s="248" t="s">
        <v>614</v>
      </c>
      <c r="D46" s="248" t="s">
        <v>615</v>
      </c>
      <c r="E46" s="248" t="s">
        <v>255</v>
      </c>
      <c r="F46" s="248" t="s">
        <v>30</v>
      </c>
      <c r="G46" s="193">
        <f t="shared" si="2"/>
        <v>39.989680082559339</v>
      </c>
      <c r="H46" s="195">
        <v>8.0749999999999993</v>
      </c>
      <c r="I46" s="195">
        <v>296.11111111111109</v>
      </c>
      <c r="J46" s="195">
        <v>26.805555555555554</v>
      </c>
      <c r="K46" s="199">
        <v>2.42</v>
      </c>
      <c r="L46" s="199">
        <v>91.95</v>
      </c>
      <c r="M46" s="199">
        <v>14.85</v>
      </c>
      <c r="N46" s="194">
        <v>2605</v>
      </c>
      <c r="O46" s="194">
        <v>103640</v>
      </c>
      <c r="P46" s="194">
        <v>19526</v>
      </c>
      <c r="Q46" s="191" t="s">
        <v>20</v>
      </c>
      <c r="R46" s="191"/>
      <c r="S46" s="8" t="s">
        <v>30</v>
      </c>
      <c r="T46" s="8" t="s">
        <v>368</v>
      </c>
      <c r="U46" s="191" t="s">
        <v>686</v>
      </c>
      <c r="W46">
        <v>19</v>
      </c>
      <c r="X46" t="s">
        <v>2004</v>
      </c>
      <c r="Y46">
        <f t="shared" si="0"/>
        <v>174</v>
      </c>
      <c r="Z46" t="str">
        <f t="shared" si="1"/>
        <v>C212-19</v>
      </c>
      <c r="AB46">
        <v>200</v>
      </c>
      <c r="AC46" t="s">
        <v>2182</v>
      </c>
    </row>
    <row r="47" spans="1:29">
      <c r="A47" s="248" t="s">
        <v>265</v>
      </c>
      <c r="B47" s="251" t="str">
        <f>Texte!$B$197</f>
        <v>Parete in cotto monostrato,  isolamento esterno EPS intonacato (BTK)</v>
      </c>
      <c r="C47" s="248" t="s">
        <v>612</v>
      </c>
      <c r="D47" s="249" t="s">
        <v>613</v>
      </c>
      <c r="E47" s="248" t="s">
        <v>255</v>
      </c>
      <c r="F47" s="248" t="s">
        <v>30</v>
      </c>
      <c r="G47" s="193">
        <f t="shared" si="2"/>
        <v>39.006574141709272</v>
      </c>
      <c r="H47" s="195">
        <v>7.6055555555555552</v>
      </c>
      <c r="I47" s="195">
        <v>285.58333333333331</v>
      </c>
      <c r="J47" s="195">
        <v>11.083333333333332</v>
      </c>
      <c r="K47" s="199">
        <v>2.0099999999999998</v>
      </c>
      <c r="L47" s="199">
        <v>72.92</v>
      </c>
      <c r="M47" s="199">
        <v>10.54</v>
      </c>
      <c r="N47" s="202">
        <v>1701</v>
      </c>
      <c r="O47" s="202">
        <v>57317</v>
      </c>
      <c r="P47" s="202">
        <v>10817</v>
      </c>
      <c r="Q47" s="191" t="s">
        <v>20</v>
      </c>
      <c r="R47" s="191"/>
      <c r="S47" s="8" t="s">
        <v>30</v>
      </c>
      <c r="T47" s="8" t="s">
        <v>368</v>
      </c>
      <c r="U47" s="191" t="s">
        <v>686</v>
      </c>
      <c r="W47">
        <v>20</v>
      </c>
      <c r="X47" t="s">
        <v>2005</v>
      </c>
      <c r="Y47">
        <f t="shared" si="0"/>
        <v>175</v>
      </c>
      <c r="Z47" t="str">
        <f t="shared" si="1"/>
        <v>C212-20</v>
      </c>
      <c r="AB47">
        <v>201</v>
      </c>
      <c r="AC47" t="s">
        <v>2184</v>
      </c>
    </row>
    <row r="48" spans="1:29">
      <c r="A48" s="248" t="s">
        <v>265</v>
      </c>
      <c r="B48" s="251" t="str">
        <f>Texte!$B$198</f>
        <v>Parete in legno isolata (BTK)</v>
      </c>
      <c r="C48" s="248" t="s">
        <v>620</v>
      </c>
      <c r="D48" s="248" t="s">
        <v>621</v>
      </c>
      <c r="E48" s="248" t="s">
        <v>255</v>
      </c>
      <c r="F48" s="248" t="s">
        <v>30</v>
      </c>
      <c r="G48" s="193">
        <f t="shared" si="2"/>
        <v>39.310924369747895</v>
      </c>
      <c r="H48" s="195">
        <v>3.3055555555555554</v>
      </c>
      <c r="I48" s="195">
        <v>127.6111111111111</v>
      </c>
      <c r="J48" s="195">
        <v>2.3333333333333335</v>
      </c>
      <c r="K48" s="199">
        <v>0.67</v>
      </c>
      <c r="L48" s="199">
        <v>23.44</v>
      </c>
      <c r="M48" s="199">
        <v>3</v>
      </c>
      <c r="N48" s="202">
        <v>1491</v>
      </c>
      <c r="O48" s="202">
        <v>35667</v>
      </c>
      <c r="P48" s="202">
        <v>22135</v>
      </c>
      <c r="Q48" s="191" t="s">
        <v>20</v>
      </c>
      <c r="R48" s="191"/>
      <c r="S48" s="8" t="s">
        <v>30</v>
      </c>
      <c r="T48" s="8" t="s">
        <v>368</v>
      </c>
      <c r="U48" s="191" t="s">
        <v>686</v>
      </c>
      <c r="W48">
        <v>21</v>
      </c>
      <c r="X48" t="s">
        <v>2006</v>
      </c>
      <c r="Y48">
        <f t="shared" si="0"/>
        <v>176</v>
      </c>
      <c r="Z48" t="str">
        <f t="shared" si="1"/>
        <v>C212-21</v>
      </c>
      <c r="AB48">
        <v>202</v>
      </c>
      <c r="AC48" t="s">
        <v>2186</v>
      </c>
    </row>
    <row r="49" spans="1:29">
      <c r="A49" s="248" t="s">
        <v>265</v>
      </c>
      <c r="B49" s="251" t="str">
        <f>Texte!$B$199</f>
        <v>Pannello sandwich in lamiera d'acciaio (BTK)</v>
      </c>
      <c r="C49" s="248" t="s">
        <v>611</v>
      </c>
      <c r="D49" s="248" t="s">
        <v>610</v>
      </c>
      <c r="E49" s="248" t="s">
        <v>255</v>
      </c>
      <c r="F49" s="248" t="s">
        <v>30</v>
      </c>
      <c r="G49" s="193">
        <f t="shared" si="2"/>
        <v>41.57379518072289</v>
      </c>
      <c r="H49" s="195">
        <v>7.3777777777777773</v>
      </c>
      <c r="I49" s="195">
        <v>304.74999999999994</v>
      </c>
      <c r="J49" s="195">
        <v>1.9722222222222221</v>
      </c>
      <c r="K49" s="199">
        <v>1.73</v>
      </c>
      <c r="L49" s="199">
        <v>58.17</v>
      </c>
      <c r="M49" s="199">
        <v>13.35</v>
      </c>
      <c r="N49" s="202">
        <v>3602</v>
      </c>
      <c r="O49" s="202">
        <v>141584</v>
      </c>
      <c r="P49" s="202">
        <v>9698</v>
      </c>
      <c r="Q49" s="191" t="s">
        <v>20</v>
      </c>
      <c r="R49" s="191"/>
      <c r="S49" s="8" t="s">
        <v>30</v>
      </c>
      <c r="T49" s="8" t="s">
        <v>368</v>
      </c>
      <c r="U49" s="191" t="s">
        <v>686</v>
      </c>
      <c r="W49">
        <v>22</v>
      </c>
      <c r="X49" t="s">
        <v>2007</v>
      </c>
      <c r="Y49">
        <f t="shared" si="0"/>
        <v>177</v>
      </c>
      <c r="Z49" t="str">
        <f t="shared" si="1"/>
        <v>C212-22</v>
      </c>
      <c r="AB49">
        <v>203</v>
      </c>
      <c r="AC49" t="s">
        <v>2187</v>
      </c>
    </row>
    <row r="50" spans="1:29">
      <c r="A50" s="248" t="s">
        <v>265</v>
      </c>
      <c r="B50" s="251" t="str">
        <f>Texte!$B$200</f>
        <v>Cassette in lamiera con isol. aggiuntivo, rivest. in lamiera d'acciaio (BTK)</v>
      </c>
      <c r="C50" s="248" t="s">
        <v>608</v>
      </c>
      <c r="D50" s="248" t="s">
        <v>609</v>
      </c>
      <c r="E50" s="248" t="s">
        <v>255</v>
      </c>
      <c r="F50" s="248" t="s">
        <v>30</v>
      </c>
      <c r="G50" s="193">
        <f t="shared" si="2"/>
        <v>41.336636828644508</v>
      </c>
      <c r="H50" s="195">
        <v>8.6888888888888882</v>
      </c>
      <c r="I50" s="195">
        <v>358.16666666666669</v>
      </c>
      <c r="J50" s="195">
        <v>1.0027777777777778</v>
      </c>
      <c r="K50" s="199">
        <v>1.96</v>
      </c>
      <c r="L50" s="199">
        <v>79.900000000000006</v>
      </c>
      <c r="M50" s="199">
        <v>0.78</v>
      </c>
      <c r="N50" s="202">
        <v>6513</v>
      </c>
      <c r="O50" s="202">
        <v>266164</v>
      </c>
      <c r="P50" s="202">
        <v>1560</v>
      </c>
      <c r="Q50" s="191" t="s">
        <v>20</v>
      </c>
      <c r="R50" s="191"/>
      <c r="S50" s="8" t="s">
        <v>30</v>
      </c>
      <c r="T50" s="8" t="s">
        <v>368</v>
      </c>
      <c r="U50" s="191" t="s">
        <v>686</v>
      </c>
      <c r="W50">
        <v>23</v>
      </c>
      <c r="X50" t="s">
        <v>2008</v>
      </c>
      <c r="Y50">
        <f t="shared" si="0"/>
        <v>178</v>
      </c>
      <c r="Z50" t="str">
        <f t="shared" si="1"/>
        <v>C212-23</v>
      </c>
      <c r="AB50">
        <v>204</v>
      </c>
      <c r="AC50" t="s">
        <v>2188</v>
      </c>
    </row>
    <row r="51" spans="1:29">
      <c r="A51" s="248" t="s">
        <v>265</v>
      </c>
      <c r="B51" s="251" t="str">
        <f>Texte!$B$201</f>
        <v>Muratura doppia in cotto con isolamento termico interposto (BTK)</v>
      </c>
      <c r="C51" s="248" t="s">
        <v>618</v>
      </c>
      <c r="D51" s="248" t="s">
        <v>619</v>
      </c>
      <c r="E51" s="248" t="s">
        <v>255</v>
      </c>
      <c r="F51" s="248" t="s">
        <v>30</v>
      </c>
      <c r="G51" s="193">
        <f t="shared" si="2"/>
        <v>44.572062084257198</v>
      </c>
      <c r="H51" s="195">
        <v>6.2638888888888893</v>
      </c>
      <c r="I51" s="195">
        <v>261.1944444444444</v>
      </c>
      <c r="J51" s="195">
        <v>18</v>
      </c>
      <c r="K51" s="199">
        <v>2.2400000000000002</v>
      </c>
      <c r="L51" s="199">
        <v>94.47</v>
      </c>
      <c r="M51" s="199">
        <v>3.18</v>
      </c>
      <c r="N51" s="202">
        <v>1702</v>
      </c>
      <c r="O51" s="202">
        <v>65209</v>
      </c>
      <c r="P51" s="202">
        <v>8669</v>
      </c>
      <c r="Q51" s="191" t="s">
        <v>20</v>
      </c>
      <c r="R51" s="191"/>
      <c r="S51" s="8" t="s">
        <v>30</v>
      </c>
      <c r="T51" s="8" t="s">
        <v>368</v>
      </c>
      <c r="U51" s="191" t="s">
        <v>686</v>
      </c>
      <c r="W51">
        <v>24</v>
      </c>
      <c r="X51" t="s">
        <v>2009</v>
      </c>
      <c r="Y51">
        <f t="shared" si="0"/>
        <v>179</v>
      </c>
      <c r="Z51" t="str">
        <f t="shared" si="1"/>
        <v>C212-24</v>
      </c>
      <c r="AB51">
        <v>205</v>
      </c>
      <c r="AC51" t="s">
        <v>2189</v>
      </c>
    </row>
    <row r="52" spans="1:29">
      <c r="A52" s="248" t="s">
        <v>266</v>
      </c>
      <c r="B52" s="251" t="str">
        <f>Texte!$B$202</f>
        <v>Parete interna in cotto intonacata (BKT)</v>
      </c>
      <c r="C52" s="248" t="s">
        <v>632</v>
      </c>
      <c r="D52" s="248" t="s">
        <v>633</v>
      </c>
      <c r="E52" s="248" t="s">
        <v>255</v>
      </c>
      <c r="F52" s="248" t="s">
        <v>30</v>
      </c>
      <c r="G52" s="193">
        <f t="shared" si="2"/>
        <v>52.412663755458517</v>
      </c>
      <c r="H52" s="195">
        <v>2.5444444444444443</v>
      </c>
      <c r="I52" s="195">
        <v>123.83333333333333</v>
      </c>
      <c r="J52" s="195">
        <v>9.5277777777777768</v>
      </c>
      <c r="K52" s="199">
        <v>0.76</v>
      </c>
      <c r="L52" s="199">
        <v>40.46</v>
      </c>
      <c r="M52" s="199">
        <v>1.68</v>
      </c>
      <c r="N52" s="202">
        <v>698</v>
      </c>
      <c r="O52" s="202">
        <v>30497</v>
      </c>
      <c r="P52" s="202">
        <v>4700</v>
      </c>
      <c r="Q52" s="191" t="s">
        <v>19</v>
      </c>
      <c r="R52" s="191" t="s">
        <v>282</v>
      </c>
      <c r="S52" s="8" t="s">
        <v>30</v>
      </c>
      <c r="T52" s="8" t="s">
        <v>368</v>
      </c>
      <c r="U52" s="191" t="s">
        <v>686</v>
      </c>
      <c r="W52">
        <v>1</v>
      </c>
      <c r="X52" t="s">
        <v>2010</v>
      </c>
      <c r="Y52">
        <f t="shared" si="0"/>
        <v>180</v>
      </c>
      <c r="Z52" t="str">
        <f t="shared" si="1"/>
        <v>C22-1</v>
      </c>
      <c r="AB52">
        <v>206</v>
      </c>
      <c r="AC52" t="s">
        <v>2190</v>
      </c>
    </row>
    <row r="53" spans="1:29">
      <c r="A53" s="248" t="s">
        <v>266</v>
      </c>
      <c r="B53" s="251" t="str">
        <f>Texte!$B$203</f>
        <v>Parete in CLS 20 cm (BTK)</v>
      </c>
      <c r="C53" s="248" t="s">
        <v>636</v>
      </c>
      <c r="D53" s="248" t="s">
        <v>637</v>
      </c>
      <c r="E53" s="248" t="s">
        <v>255</v>
      </c>
      <c r="F53" s="248" t="s">
        <v>30</v>
      </c>
      <c r="G53" s="193">
        <f t="shared" si="2"/>
        <v>59.97933884297521</v>
      </c>
      <c r="H53" s="195">
        <v>2.6888888888888887</v>
      </c>
      <c r="I53" s="195">
        <v>135.25</v>
      </c>
      <c r="J53" s="195">
        <v>26.027777777777779</v>
      </c>
      <c r="K53" s="199">
        <v>1.1399999999999999</v>
      </c>
      <c r="L53" s="199">
        <v>63.46</v>
      </c>
      <c r="M53" s="199">
        <v>5.21</v>
      </c>
      <c r="N53" s="202">
        <v>1501</v>
      </c>
      <c r="O53" s="202">
        <v>76973</v>
      </c>
      <c r="P53" s="202">
        <v>13082</v>
      </c>
      <c r="Q53" s="191" t="s">
        <v>19</v>
      </c>
      <c r="R53" s="191" t="s">
        <v>282</v>
      </c>
      <c r="S53" s="8" t="s">
        <v>30</v>
      </c>
      <c r="T53" s="8" t="s">
        <v>368</v>
      </c>
      <c r="U53" s="191" t="s">
        <v>686</v>
      </c>
      <c r="W53">
        <v>2</v>
      </c>
      <c r="X53" t="s">
        <v>2011</v>
      </c>
      <c r="Y53">
        <f t="shared" si="0"/>
        <v>181</v>
      </c>
      <c r="Z53" t="str">
        <f t="shared" si="1"/>
        <v>C22-2</v>
      </c>
      <c r="AB53">
        <v>207</v>
      </c>
      <c r="AC53" t="s">
        <v>2196</v>
      </c>
    </row>
    <row r="54" spans="1:29">
      <c r="A54" s="248" t="s">
        <v>266</v>
      </c>
      <c r="B54" s="251" t="str">
        <f>Texte!$B$204</f>
        <v>Parete leggera in carongesso, rivestita sui due lati (BTK)</v>
      </c>
      <c r="C54" s="248" t="s">
        <v>638</v>
      </c>
      <c r="D54" s="248" t="s">
        <v>639</v>
      </c>
      <c r="E54" s="248" t="s">
        <v>255</v>
      </c>
      <c r="F54" s="248" t="s">
        <v>30</v>
      </c>
      <c r="G54" s="193">
        <f t="shared" si="2"/>
        <v>30.340398201669878</v>
      </c>
      <c r="H54" s="195">
        <v>4.3250000000000002</v>
      </c>
      <c r="I54" s="195">
        <v>127.72222222222223</v>
      </c>
      <c r="J54" s="195">
        <v>3.5</v>
      </c>
      <c r="K54" s="199">
        <v>0.93</v>
      </c>
      <c r="L54" s="199">
        <v>27.17</v>
      </c>
      <c r="M54" s="199">
        <v>0.57999999999999996</v>
      </c>
      <c r="N54" s="202">
        <v>2025</v>
      </c>
      <c r="O54" s="202">
        <v>59064</v>
      </c>
      <c r="P54" s="202">
        <v>1698</v>
      </c>
      <c r="Q54" s="191" t="s">
        <v>19</v>
      </c>
      <c r="R54" s="191" t="s">
        <v>282</v>
      </c>
      <c r="S54" s="8" t="s">
        <v>30</v>
      </c>
      <c r="T54" s="8" t="s">
        <v>368</v>
      </c>
      <c r="U54" s="191" t="s">
        <v>686</v>
      </c>
      <c r="W54">
        <v>3</v>
      </c>
      <c r="X54" t="s">
        <v>2012</v>
      </c>
      <c r="Y54">
        <f t="shared" si="0"/>
        <v>182</v>
      </c>
      <c r="Z54" t="str">
        <f t="shared" si="1"/>
        <v>C22-3</v>
      </c>
      <c r="AB54">
        <v>208</v>
      </c>
      <c r="AC54" t="s">
        <v>2197</v>
      </c>
    </row>
    <row r="55" spans="1:29">
      <c r="A55" s="245" t="s">
        <v>266</v>
      </c>
      <c r="B55" s="251" t="str">
        <f>Texte!$B$305</f>
        <v>Valore medio parete interna non portante (con intonaco interno) (SIA 2032)</v>
      </c>
      <c r="C55" s="245"/>
      <c r="D55" s="245"/>
      <c r="E55" s="245" t="s">
        <v>255</v>
      </c>
      <c r="F55" s="245" t="s">
        <v>30</v>
      </c>
      <c r="G55" s="8">
        <v>30</v>
      </c>
      <c r="H55" s="196">
        <v>4.1233929666666667</v>
      </c>
      <c r="I55" s="196">
        <v>119.74312399999999</v>
      </c>
      <c r="J55" s="196">
        <v>3.9586650000000003</v>
      </c>
      <c r="K55" s="200">
        <v>0.92104072000000003</v>
      </c>
      <c r="L55" s="206">
        <v>25.6368796</v>
      </c>
      <c r="M55" s="206">
        <v>1.9943420000000001</v>
      </c>
      <c r="N55" s="202">
        <v>908.45949999999993</v>
      </c>
      <c r="O55" s="202">
        <v>25252.199999999997</v>
      </c>
      <c r="P55" s="208">
        <v>2001.585</v>
      </c>
      <c r="Q55" s="8" t="s">
        <v>19</v>
      </c>
      <c r="R55" s="191" t="s">
        <v>282</v>
      </c>
      <c r="S55" s="8" t="s">
        <v>30</v>
      </c>
      <c r="T55" s="8" t="s">
        <v>368</v>
      </c>
      <c r="U55" s="191" t="s">
        <v>796</v>
      </c>
      <c r="W55">
        <v>4</v>
      </c>
      <c r="X55" t="s">
        <v>2013</v>
      </c>
      <c r="Y55">
        <f t="shared" si="0"/>
        <v>283</v>
      </c>
      <c r="Z55" t="str">
        <f t="shared" si="1"/>
        <v>C22-4</v>
      </c>
      <c r="AB55">
        <v>209</v>
      </c>
      <c r="AC55" t="s">
        <v>2198</v>
      </c>
    </row>
    <row r="56" spans="1:29">
      <c r="A56" s="245" t="s">
        <v>266</v>
      </c>
      <c r="B56" s="251" t="str">
        <f>Texte!$B$304</f>
        <v>Valore medio portante della parete interna (con intonaco interno) (SIA 2032)</v>
      </c>
      <c r="C56" s="245"/>
      <c r="D56" s="245"/>
      <c r="E56" s="245" t="s">
        <v>255</v>
      </c>
      <c r="F56" s="245" t="s">
        <v>30</v>
      </c>
      <c r="G56" s="8">
        <v>56</v>
      </c>
      <c r="H56" s="196">
        <v>3.7155000993170564</v>
      </c>
      <c r="I56" s="196">
        <v>163.75522812738851</v>
      </c>
      <c r="J56" s="196">
        <v>18.355077831634819</v>
      </c>
      <c r="K56" s="200">
        <v>1.2346430856302195</v>
      </c>
      <c r="L56" s="206">
        <v>56.58724696390658</v>
      </c>
      <c r="M56" s="206">
        <v>4.8387481739065814</v>
      </c>
      <c r="N56" s="202">
        <v>1444.3141881245576</v>
      </c>
      <c r="O56" s="202">
        <v>65360.809269639059</v>
      </c>
      <c r="P56" s="208">
        <v>9275.4420178343953</v>
      </c>
      <c r="Q56" s="8" t="s">
        <v>19</v>
      </c>
      <c r="R56" s="191" t="s">
        <v>282</v>
      </c>
      <c r="S56" s="8" t="s">
        <v>30</v>
      </c>
      <c r="T56" s="8" t="s">
        <v>368</v>
      </c>
      <c r="U56" s="191" t="s">
        <v>796</v>
      </c>
      <c r="W56">
        <v>5</v>
      </c>
      <c r="X56" t="s">
        <v>2014</v>
      </c>
      <c r="Y56">
        <f t="shared" si="0"/>
        <v>282</v>
      </c>
      <c r="Z56" t="str">
        <f t="shared" si="1"/>
        <v>C22-5</v>
      </c>
      <c r="AB56">
        <v>210</v>
      </c>
      <c r="AC56" t="s">
        <v>2199</v>
      </c>
    </row>
    <row r="57" spans="1:29">
      <c r="A57" s="248" t="s">
        <v>266</v>
      </c>
      <c r="B57" s="251" t="str">
        <f>Texte!$B$205</f>
        <v>Parete divisoria monostrato, intelaiatura, cartongesso a uno strato (Lignum)</v>
      </c>
      <c r="C57" s="248" t="s">
        <v>537</v>
      </c>
      <c r="D57" s="248" t="s">
        <v>534</v>
      </c>
      <c r="E57" s="248" t="s">
        <v>255</v>
      </c>
      <c r="F57" s="248" t="s">
        <v>30</v>
      </c>
      <c r="G57" s="191">
        <v>30</v>
      </c>
      <c r="H57" s="195">
        <v>3.5833333333333335</v>
      </c>
      <c r="I57" s="195">
        <v>0</v>
      </c>
      <c r="J57" s="195">
        <v>0</v>
      </c>
      <c r="K57" s="199">
        <v>0.77333333333333332</v>
      </c>
      <c r="L57" s="199"/>
      <c r="M57" s="199"/>
      <c r="N57" s="202">
        <v>1180.9000000000001</v>
      </c>
      <c r="O57" s="202"/>
      <c r="P57" s="202"/>
      <c r="Q57" s="191" t="s">
        <v>19</v>
      </c>
      <c r="R57" s="191" t="s">
        <v>282</v>
      </c>
      <c r="S57" s="8" t="s">
        <v>30</v>
      </c>
      <c r="T57" s="8" t="s">
        <v>368</v>
      </c>
      <c r="U57" s="191" t="s">
        <v>687</v>
      </c>
      <c r="W57">
        <v>6</v>
      </c>
      <c r="X57" t="s">
        <v>2015</v>
      </c>
      <c r="Y57">
        <f t="shared" si="0"/>
        <v>183</v>
      </c>
      <c r="Z57" t="str">
        <f t="shared" si="1"/>
        <v>C22-6</v>
      </c>
      <c r="AB57">
        <v>211</v>
      </c>
      <c r="AC57" t="s">
        <v>2200</v>
      </c>
    </row>
    <row r="58" spans="1:29">
      <c r="A58" s="248" t="s">
        <v>266</v>
      </c>
      <c r="B58" s="251" t="str">
        <f>Texte!$B$206</f>
        <v>Parete divisoria bistrato, intelaiatura, cartongesso a uno strato (Lignum)</v>
      </c>
      <c r="C58" s="248" t="s">
        <v>536</v>
      </c>
      <c r="D58" s="248" t="s">
        <v>533</v>
      </c>
      <c r="E58" s="248" t="s">
        <v>255</v>
      </c>
      <c r="F58" s="248" t="s">
        <v>30</v>
      </c>
      <c r="G58" s="191">
        <v>30</v>
      </c>
      <c r="H58" s="195">
        <v>2.5925925925925926</v>
      </c>
      <c r="I58" s="195">
        <v>0</v>
      </c>
      <c r="J58" s="195">
        <v>0</v>
      </c>
      <c r="K58" s="199">
        <v>0.58666666666666667</v>
      </c>
      <c r="L58" s="199"/>
      <c r="M58" s="199"/>
      <c r="N58" s="202">
        <v>864.76666666666665</v>
      </c>
      <c r="O58" s="202"/>
      <c r="P58" s="202"/>
      <c r="Q58" s="191" t="s">
        <v>19</v>
      </c>
      <c r="R58" s="191" t="s">
        <v>282</v>
      </c>
      <c r="S58" s="8" t="s">
        <v>30</v>
      </c>
      <c r="T58" s="8" t="s">
        <v>368</v>
      </c>
      <c r="U58" s="191" t="s">
        <v>687</v>
      </c>
      <c r="W58">
        <v>7</v>
      </c>
      <c r="X58" t="s">
        <v>2016</v>
      </c>
      <c r="Y58">
        <f t="shared" si="0"/>
        <v>184</v>
      </c>
      <c r="Z58" t="str">
        <f t="shared" si="1"/>
        <v>C22-7</v>
      </c>
      <c r="AB58">
        <v>212</v>
      </c>
      <c r="AC58" t="s">
        <v>2201</v>
      </c>
    </row>
    <row r="59" spans="1:29">
      <c r="A59" s="248" t="s">
        <v>266</v>
      </c>
      <c r="B59" s="251" t="str">
        <f>Texte!$B$207</f>
        <v>Parete divisoria in legno (BTK)</v>
      </c>
      <c r="C59" s="248" t="s">
        <v>642</v>
      </c>
      <c r="D59" s="248" t="s">
        <v>643</v>
      </c>
      <c r="E59" s="248" t="s">
        <v>255</v>
      </c>
      <c r="F59" s="248" t="s">
        <v>30</v>
      </c>
      <c r="G59" s="193">
        <f>(I59+J59)/H59</f>
        <v>30.014644351464433</v>
      </c>
      <c r="H59" s="195">
        <v>2.6555555555555554</v>
      </c>
      <c r="I59" s="195">
        <v>78.305555555555543</v>
      </c>
      <c r="J59" s="195">
        <v>1.4</v>
      </c>
      <c r="K59" s="199">
        <v>0.5</v>
      </c>
      <c r="L59" s="199">
        <v>11.95</v>
      </c>
      <c r="M59" s="199">
        <v>3.01</v>
      </c>
      <c r="N59" s="202">
        <v>957</v>
      </c>
      <c r="O59" s="202">
        <v>14422</v>
      </c>
      <c r="P59" s="202">
        <v>14298</v>
      </c>
      <c r="Q59" s="191" t="s">
        <v>19</v>
      </c>
      <c r="R59" s="191" t="s">
        <v>282</v>
      </c>
      <c r="S59" s="8" t="s">
        <v>30</v>
      </c>
      <c r="T59" s="8" t="s">
        <v>368</v>
      </c>
      <c r="U59" s="191" t="s">
        <v>686</v>
      </c>
      <c r="W59">
        <v>8</v>
      </c>
      <c r="X59" t="s">
        <v>2017</v>
      </c>
      <c r="Y59">
        <f t="shared" si="0"/>
        <v>185</v>
      </c>
      <c r="Z59" t="str">
        <f t="shared" si="1"/>
        <v>C22-8</v>
      </c>
      <c r="AB59">
        <v>213</v>
      </c>
      <c r="AC59" t="s">
        <v>2202</v>
      </c>
    </row>
    <row r="60" spans="1:29">
      <c r="A60" s="248" t="s">
        <v>266</v>
      </c>
      <c r="B60" s="251" t="str">
        <f>Texte!$B$208</f>
        <v>Parete divisoria massiccia in legno, con rivestimento in cartongesso doppio strato</v>
      </c>
      <c r="C60" s="248" t="s">
        <v>538</v>
      </c>
      <c r="D60" s="248" t="s">
        <v>535</v>
      </c>
      <c r="E60" s="248" t="s">
        <v>255</v>
      </c>
      <c r="F60" s="248" t="s">
        <v>30</v>
      </c>
      <c r="G60" s="191">
        <v>30</v>
      </c>
      <c r="H60" s="195">
        <v>7.2962962962962958</v>
      </c>
      <c r="I60" s="195">
        <v>0</v>
      </c>
      <c r="J60" s="195">
        <v>0</v>
      </c>
      <c r="K60" s="199">
        <v>1.5363333333333336</v>
      </c>
      <c r="L60" s="199"/>
      <c r="M60" s="199"/>
      <c r="N60" s="202">
        <v>2293.2666666666669</v>
      </c>
      <c r="O60" s="202"/>
      <c r="P60" s="202"/>
      <c r="Q60" s="191" t="s">
        <v>19</v>
      </c>
      <c r="R60" s="191" t="s">
        <v>282</v>
      </c>
      <c r="S60" s="8" t="s">
        <v>30</v>
      </c>
      <c r="T60" s="8" t="s">
        <v>368</v>
      </c>
      <c r="U60" s="191" t="s">
        <v>687</v>
      </c>
      <c r="W60">
        <v>9</v>
      </c>
      <c r="X60" t="s">
        <v>2018</v>
      </c>
      <c r="Y60">
        <f t="shared" si="0"/>
        <v>186</v>
      </c>
      <c r="Z60" t="str">
        <f t="shared" si="1"/>
        <v>C22-9</v>
      </c>
      <c r="AB60">
        <v>214</v>
      </c>
      <c r="AC60" t="s">
        <v>2207</v>
      </c>
    </row>
    <row r="61" spans="1:29">
      <c r="A61" s="248" t="s">
        <v>266</v>
      </c>
      <c r="B61" s="251" t="str">
        <f>Texte!$B$209</f>
        <v>Parete divisoria massiccia in gesso (BTK)</v>
      </c>
      <c r="C61" s="248" t="s">
        <v>640</v>
      </c>
      <c r="D61" s="248" t="s">
        <v>641</v>
      </c>
      <c r="E61" s="248" t="s">
        <v>255</v>
      </c>
      <c r="F61" s="248" t="s">
        <v>30</v>
      </c>
      <c r="G61" s="193">
        <v>30</v>
      </c>
      <c r="H61" s="195">
        <v>4.8694444444444445</v>
      </c>
      <c r="I61" s="195">
        <v>131.5</v>
      </c>
      <c r="J61" s="195">
        <v>7.9166666666666661</v>
      </c>
      <c r="K61" s="199">
        <v>1.06</v>
      </c>
      <c r="L61" s="199">
        <v>29.34</v>
      </c>
      <c r="M61" s="199">
        <v>1.3</v>
      </c>
      <c r="N61" s="202">
        <v>1167</v>
      </c>
      <c r="O61" s="202">
        <v>29667</v>
      </c>
      <c r="P61" s="202">
        <v>3044</v>
      </c>
      <c r="Q61" s="191" t="s">
        <v>19</v>
      </c>
      <c r="R61" s="191" t="s">
        <v>282</v>
      </c>
      <c r="S61" s="8" t="s">
        <v>30</v>
      </c>
      <c r="T61" s="8" t="s">
        <v>368</v>
      </c>
      <c r="U61" s="191" t="s">
        <v>686</v>
      </c>
      <c r="W61">
        <v>10</v>
      </c>
      <c r="X61" t="s">
        <v>2019</v>
      </c>
      <c r="Y61">
        <f t="shared" si="0"/>
        <v>187</v>
      </c>
      <c r="Z61" t="str">
        <f t="shared" si="1"/>
        <v>C22-10</v>
      </c>
      <c r="AB61">
        <v>215</v>
      </c>
      <c r="AC61" t="s">
        <v>2208</v>
      </c>
    </row>
    <row r="62" spans="1:29">
      <c r="A62" s="248" t="s">
        <v>266</v>
      </c>
      <c r="B62" s="251" t="str">
        <f>Texte!$B$210</f>
        <v>Doppia parete in mattoni di cotto, intonacata (BTK)</v>
      </c>
      <c r="C62" s="248" t="s">
        <v>634</v>
      </c>
      <c r="D62" s="248" t="s">
        <v>635</v>
      </c>
      <c r="E62" s="248" t="s">
        <v>255</v>
      </c>
      <c r="F62" s="248" t="s">
        <v>30</v>
      </c>
      <c r="G62" s="193">
        <f>(I62+J62)/H62</f>
        <v>57.192285876347135</v>
      </c>
      <c r="H62" s="195">
        <v>4.8972222222222221</v>
      </c>
      <c r="I62" s="195">
        <v>260.97222222222223</v>
      </c>
      <c r="J62" s="195">
        <v>19.111111111111111</v>
      </c>
      <c r="K62" s="199">
        <v>1.53</v>
      </c>
      <c r="L62" s="199">
        <v>85.78</v>
      </c>
      <c r="M62" s="199">
        <v>3.39</v>
      </c>
      <c r="N62" s="202">
        <v>1239</v>
      </c>
      <c r="O62" s="202">
        <v>60343</v>
      </c>
      <c r="P62" s="202">
        <v>9197</v>
      </c>
      <c r="Q62" s="191" t="s">
        <v>19</v>
      </c>
      <c r="R62" s="191" t="s">
        <v>282</v>
      </c>
      <c r="S62" s="8" t="s">
        <v>30</v>
      </c>
      <c r="T62" s="8" t="s">
        <v>368</v>
      </c>
      <c r="U62" s="191" t="s">
        <v>686</v>
      </c>
      <c r="W62">
        <v>11</v>
      </c>
      <c r="X62" t="s">
        <v>2020</v>
      </c>
      <c r="Y62">
        <f t="shared" si="0"/>
        <v>188</v>
      </c>
      <c r="Z62" t="str">
        <f t="shared" si="1"/>
        <v>C22-11</v>
      </c>
      <c r="AB62">
        <v>216</v>
      </c>
      <c r="AC62" t="s">
        <v>2210</v>
      </c>
    </row>
    <row r="63" spans="1:29">
      <c r="A63" s="248" t="s">
        <v>267</v>
      </c>
      <c r="B63" s="251" t="str">
        <f>Texte!$B$211</f>
        <v>Solaio con travetti, massetto con controsoffitto sospeso (Lignum)</v>
      </c>
      <c r="C63" s="248" t="s">
        <v>542</v>
      </c>
      <c r="D63" s="248" t="s">
        <v>552</v>
      </c>
      <c r="E63" s="248" t="s">
        <v>255</v>
      </c>
      <c r="F63" s="248" t="s">
        <v>30</v>
      </c>
      <c r="G63" s="191">
        <v>60</v>
      </c>
      <c r="H63" s="195">
        <v>3.6111111111111112</v>
      </c>
      <c r="I63" s="195">
        <v>0</v>
      </c>
      <c r="J63" s="195">
        <v>0</v>
      </c>
      <c r="K63" s="199">
        <v>0.95133333333333325</v>
      </c>
      <c r="L63" s="199"/>
      <c r="M63" s="199"/>
      <c r="N63" s="202">
        <v>1397.65</v>
      </c>
      <c r="O63" s="202"/>
      <c r="P63" s="202"/>
      <c r="Q63" s="191" t="s">
        <v>19</v>
      </c>
      <c r="R63" s="191" t="s">
        <v>283</v>
      </c>
      <c r="S63" s="8" t="s">
        <v>30</v>
      </c>
      <c r="T63" s="8" t="s">
        <v>368</v>
      </c>
      <c r="U63" s="191" t="s">
        <v>687</v>
      </c>
      <c r="W63">
        <v>1</v>
      </c>
      <c r="X63" t="s">
        <v>2021</v>
      </c>
      <c r="Y63">
        <f t="shared" si="0"/>
        <v>189</v>
      </c>
      <c r="Z63" t="str">
        <f t="shared" si="1"/>
        <v>C41-1</v>
      </c>
      <c r="AB63">
        <v>217</v>
      </c>
      <c r="AC63" t="s">
        <v>2213</v>
      </c>
    </row>
    <row r="64" spans="1:29">
      <c r="A64" s="248" t="s">
        <v>267</v>
      </c>
      <c r="B64" s="251" t="str">
        <f>Texte!$B$212</f>
        <v>Solaio con travetti in vista, soffitto semplice, massetto normale (Lignum)</v>
      </c>
      <c r="C64" s="248" t="s">
        <v>541</v>
      </c>
      <c r="D64" s="248" t="s">
        <v>551</v>
      </c>
      <c r="E64" s="248" t="s">
        <v>255</v>
      </c>
      <c r="F64" s="248" t="s">
        <v>30</v>
      </c>
      <c r="G64" s="191">
        <v>60</v>
      </c>
      <c r="H64" s="195">
        <v>2.6064814814814814</v>
      </c>
      <c r="I64" s="195">
        <v>0</v>
      </c>
      <c r="J64" s="195">
        <v>0</v>
      </c>
      <c r="K64" s="199">
        <v>0.71716666666666673</v>
      </c>
      <c r="L64" s="199"/>
      <c r="M64" s="199"/>
      <c r="N64" s="202">
        <v>1173.4000000000001</v>
      </c>
      <c r="O64" s="202"/>
      <c r="P64" s="202"/>
      <c r="Q64" s="191" t="s">
        <v>19</v>
      </c>
      <c r="R64" s="191" t="s">
        <v>283</v>
      </c>
      <c r="S64" s="8" t="s">
        <v>30</v>
      </c>
      <c r="T64" s="8" t="s">
        <v>368</v>
      </c>
      <c r="U64" s="191" t="s">
        <v>687</v>
      </c>
      <c r="W64">
        <v>2</v>
      </c>
      <c r="X64" t="s">
        <v>2022</v>
      </c>
      <c r="Y64">
        <f t="shared" si="0"/>
        <v>190</v>
      </c>
      <c r="Z64" t="str">
        <f t="shared" si="1"/>
        <v>C41-2</v>
      </c>
      <c r="AB64">
        <v>218</v>
      </c>
      <c r="AC64" t="s">
        <v>2214</v>
      </c>
    </row>
    <row r="65" spans="1:29">
      <c r="A65" s="248" t="s">
        <v>267</v>
      </c>
      <c r="B65" s="251" t="str">
        <f>Texte!$B$213</f>
        <v>Solaio con travetti in vista, soffitto semplice, massetto a secco (Lignum)</v>
      </c>
      <c r="C65" s="248" t="s">
        <v>544</v>
      </c>
      <c r="D65" s="248" t="s">
        <v>554</v>
      </c>
      <c r="E65" s="248" t="s">
        <v>255</v>
      </c>
      <c r="F65" s="248" t="s">
        <v>30</v>
      </c>
      <c r="G65" s="191">
        <v>60</v>
      </c>
      <c r="H65" s="195">
        <v>2.9861111111111112</v>
      </c>
      <c r="I65" s="195">
        <v>0</v>
      </c>
      <c r="J65" s="195">
        <v>0</v>
      </c>
      <c r="K65" s="199">
        <v>0.60833333333333328</v>
      </c>
      <c r="L65" s="199"/>
      <c r="M65" s="199"/>
      <c r="N65" s="202">
        <v>1054.2833333333333</v>
      </c>
      <c r="O65" s="202"/>
      <c r="P65" s="202"/>
      <c r="Q65" s="191" t="s">
        <v>19</v>
      </c>
      <c r="R65" s="191" t="s">
        <v>283</v>
      </c>
      <c r="S65" s="8" t="s">
        <v>30</v>
      </c>
      <c r="T65" s="8" t="s">
        <v>368</v>
      </c>
      <c r="U65" s="191" t="s">
        <v>687</v>
      </c>
      <c r="W65">
        <v>3</v>
      </c>
      <c r="X65" t="s">
        <v>2023</v>
      </c>
      <c r="Y65">
        <f t="shared" si="0"/>
        <v>191</v>
      </c>
      <c r="Z65" t="str">
        <f t="shared" si="1"/>
        <v>C41-3</v>
      </c>
      <c r="AB65">
        <v>219</v>
      </c>
      <c r="AC65" t="s">
        <v>2215</v>
      </c>
    </row>
    <row r="66" spans="1:29">
      <c r="A66" s="248" t="s">
        <v>267</v>
      </c>
      <c r="B66" s="251" t="str">
        <f>Texte!$B$214</f>
        <v>Solaio con travetti, sottofondo a secco e con soffitto ribassato (Lignum)</v>
      </c>
      <c r="C66" s="248" t="s">
        <v>543</v>
      </c>
      <c r="D66" s="248" t="s">
        <v>553</v>
      </c>
      <c r="E66" s="248" t="s">
        <v>255</v>
      </c>
      <c r="F66" s="248" t="s">
        <v>30</v>
      </c>
      <c r="G66" s="191">
        <v>60</v>
      </c>
      <c r="H66" s="195">
        <v>4.5648148148148149</v>
      </c>
      <c r="I66" s="195">
        <v>0</v>
      </c>
      <c r="J66" s="195">
        <v>0</v>
      </c>
      <c r="K66" s="199">
        <v>0.97349999999999992</v>
      </c>
      <c r="L66" s="199"/>
      <c r="M66" s="199"/>
      <c r="N66" s="202">
        <v>1332.65</v>
      </c>
      <c r="O66" s="202"/>
      <c r="P66" s="202"/>
      <c r="Q66" s="191" t="s">
        <v>19</v>
      </c>
      <c r="R66" s="191" t="s">
        <v>283</v>
      </c>
      <c r="S66" s="8" t="s">
        <v>30</v>
      </c>
      <c r="T66" s="8" t="s">
        <v>368</v>
      </c>
      <c r="U66" s="191" t="s">
        <v>687</v>
      </c>
      <c r="W66">
        <v>4</v>
      </c>
      <c r="X66" t="s">
        <v>2024</v>
      </c>
      <c r="Y66">
        <f t="shared" si="0"/>
        <v>192</v>
      </c>
      <c r="Z66" t="str">
        <f t="shared" si="1"/>
        <v>C41-4</v>
      </c>
      <c r="AB66">
        <v>220</v>
      </c>
      <c r="AC66" t="s">
        <v>2217</v>
      </c>
    </row>
    <row r="67" spans="1:29">
      <c r="A67" s="248" t="s">
        <v>267</v>
      </c>
      <c r="B67" s="251" t="str">
        <f>Texte!$B$215</f>
        <v>Soletta in CLS 22 cm con isolamento termico interno EPS, strato anticalpestio, massetto (BTK)</v>
      </c>
      <c r="C67" s="248" t="s">
        <v>578</v>
      </c>
      <c r="D67" s="248" t="s">
        <v>579</v>
      </c>
      <c r="E67" s="248" t="s">
        <v>255</v>
      </c>
      <c r="F67" s="248" t="s">
        <v>30</v>
      </c>
      <c r="G67" s="193">
        <f>(I67+J67)/H67</f>
        <v>39.655571635311148</v>
      </c>
      <c r="H67" s="195">
        <v>9.5972222222222214</v>
      </c>
      <c r="I67" s="195">
        <v>344.66666666666663</v>
      </c>
      <c r="J67" s="195">
        <v>35.916666666666671</v>
      </c>
      <c r="K67" s="199">
        <v>3.22</v>
      </c>
      <c r="L67" s="199">
        <v>114.56</v>
      </c>
      <c r="M67" s="199">
        <v>20.59</v>
      </c>
      <c r="N67" s="202">
        <v>3345</v>
      </c>
      <c r="O67" s="202">
        <v>127506</v>
      </c>
      <c r="P67" s="202">
        <v>26097</v>
      </c>
      <c r="Q67" s="191" t="s">
        <v>20</v>
      </c>
      <c r="R67" s="191" t="s">
        <v>283</v>
      </c>
      <c r="S67" s="8" t="s">
        <v>30</v>
      </c>
      <c r="T67" s="8" t="s">
        <v>368</v>
      </c>
      <c r="U67" s="191" t="s">
        <v>686</v>
      </c>
      <c r="W67">
        <v>5</v>
      </c>
      <c r="X67" t="s">
        <v>2025</v>
      </c>
      <c r="Y67">
        <f t="shared" si="0"/>
        <v>193</v>
      </c>
      <c r="Z67" t="str">
        <f t="shared" si="1"/>
        <v>C41-5</v>
      </c>
      <c r="AB67">
        <v>221</v>
      </c>
      <c r="AC67" t="s">
        <v>2218</v>
      </c>
    </row>
    <row r="68" spans="1:29">
      <c r="A68" s="248" t="s">
        <v>267</v>
      </c>
      <c r="B68" s="251" t="str">
        <f>Texte!$B$216</f>
        <v>Soletta in CLS 22 cm con isolamento termico interno PUR, massetto (BTK)</v>
      </c>
      <c r="C68" s="248" t="s">
        <v>576</v>
      </c>
      <c r="D68" s="248" t="s">
        <v>577</v>
      </c>
      <c r="E68" s="248" t="s">
        <v>255</v>
      </c>
      <c r="F68" s="248" t="s">
        <v>30</v>
      </c>
      <c r="G68" s="193">
        <f>(I68+J68)/H68</f>
        <v>39.899079845651535</v>
      </c>
      <c r="H68" s="195">
        <v>9.3583333333333325</v>
      </c>
      <c r="I68" s="195">
        <v>335.19444444444446</v>
      </c>
      <c r="J68" s="195">
        <v>38.194444444444443</v>
      </c>
      <c r="K68" s="199">
        <v>3.29</v>
      </c>
      <c r="L68" s="199">
        <v>117.74</v>
      </c>
      <c r="M68" s="199">
        <v>19.38</v>
      </c>
      <c r="N68" s="202">
        <v>3576</v>
      </c>
      <c r="O68" s="202">
        <v>133795</v>
      </c>
      <c r="P68" s="202">
        <v>26727</v>
      </c>
      <c r="Q68" s="191" t="s">
        <v>20</v>
      </c>
      <c r="R68" s="191" t="s">
        <v>283</v>
      </c>
      <c r="S68" s="8" t="s">
        <v>30</v>
      </c>
      <c r="T68" s="8" t="s">
        <v>368</v>
      </c>
      <c r="U68" s="191" t="s">
        <v>686</v>
      </c>
      <c r="W68">
        <v>6</v>
      </c>
      <c r="X68" t="s">
        <v>2026</v>
      </c>
      <c r="Y68">
        <f t="shared" si="0"/>
        <v>194</v>
      </c>
      <c r="Z68" t="str">
        <f t="shared" si="1"/>
        <v>C41-6</v>
      </c>
      <c r="AB68">
        <v>222</v>
      </c>
      <c r="AC68" t="s">
        <v>2219</v>
      </c>
    </row>
    <row r="69" spans="1:29">
      <c r="A69" s="248" t="s">
        <v>267</v>
      </c>
      <c r="B69" s="251" t="str">
        <f>Texte!$B$217</f>
        <v>Soletta in CLS 22 cm con strato anticalpestio e massetto</v>
      </c>
      <c r="C69" s="248" t="s">
        <v>581</v>
      </c>
      <c r="D69" s="248" t="s">
        <v>580</v>
      </c>
      <c r="E69" s="248" t="s">
        <v>255</v>
      </c>
      <c r="F69" s="248" t="s">
        <v>30</v>
      </c>
      <c r="G69" s="193">
        <f>(I69+J69)/H69</f>
        <v>42.734912146676855</v>
      </c>
      <c r="H69" s="195">
        <v>7.2722222222222221</v>
      </c>
      <c r="I69" s="195">
        <v>274.08333333333331</v>
      </c>
      <c r="J69" s="195">
        <v>36.694444444444443</v>
      </c>
      <c r="K69" s="199">
        <v>2.71</v>
      </c>
      <c r="L69" s="199">
        <v>107.33</v>
      </c>
      <c r="M69" s="199">
        <v>12.42</v>
      </c>
      <c r="N69" s="202">
        <v>2997</v>
      </c>
      <c r="O69" s="202">
        <v>121874</v>
      </c>
      <c r="P69" s="202">
        <v>21272</v>
      </c>
      <c r="Q69" s="191" t="s">
        <v>19</v>
      </c>
      <c r="R69" s="191" t="s">
        <v>283</v>
      </c>
      <c r="S69" s="8" t="s">
        <v>30</v>
      </c>
      <c r="T69" s="8" t="s">
        <v>368</v>
      </c>
      <c r="U69" s="191" t="s">
        <v>686</v>
      </c>
      <c r="W69">
        <v>7</v>
      </c>
      <c r="X69" t="s">
        <v>2027</v>
      </c>
      <c r="Y69">
        <f t="shared" si="0"/>
        <v>195</v>
      </c>
      <c r="Z69" t="str">
        <f t="shared" si="1"/>
        <v>C41-7</v>
      </c>
      <c r="AB69">
        <v>223</v>
      </c>
      <c r="AC69" t="s">
        <v>2220</v>
      </c>
    </row>
    <row r="70" spans="1:29">
      <c r="A70" s="248" t="s">
        <v>267</v>
      </c>
      <c r="B70" s="251" t="str">
        <f>Texte!$B$218</f>
        <v>Soletta in CLS 22 cm con isolamento termico esterno intonacato (BTK)</v>
      </c>
      <c r="C70" s="248" t="s">
        <v>574</v>
      </c>
      <c r="D70" s="248" t="s">
        <v>575</v>
      </c>
      <c r="E70" s="248" t="s">
        <v>255</v>
      </c>
      <c r="F70" s="248" t="s">
        <v>30</v>
      </c>
      <c r="G70" s="193">
        <f>(I70+J70)/H70</f>
        <v>38.809272918861964</v>
      </c>
      <c r="H70" s="195">
        <v>10.544444444444444</v>
      </c>
      <c r="I70" s="195">
        <v>371.91666666666669</v>
      </c>
      <c r="J70" s="195">
        <v>37.305555555555557</v>
      </c>
      <c r="K70" s="199">
        <v>3.47</v>
      </c>
      <c r="L70" s="199">
        <v>125.9</v>
      </c>
      <c r="M70" s="199">
        <v>16.54</v>
      </c>
      <c r="N70" s="202">
        <v>3709</v>
      </c>
      <c r="O70" s="202">
        <v>140335</v>
      </c>
      <c r="P70" s="202">
        <v>24173</v>
      </c>
      <c r="Q70" s="191" t="s">
        <v>20</v>
      </c>
      <c r="R70" s="191" t="s">
        <v>283</v>
      </c>
      <c r="S70" s="8" t="s">
        <v>30</v>
      </c>
      <c r="T70" s="8" t="s">
        <v>368</v>
      </c>
      <c r="U70" s="191" t="s">
        <v>686</v>
      </c>
      <c r="W70">
        <v>8</v>
      </c>
      <c r="X70" t="s">
        <v>2028</v>
      </c>
      <c r="Y70">
        <f t="shared" si="0"/>
        <v>196</v>
      </c>
      <c r="Z70" t="str">
        <f t="shared" si="1"/>
        <v>C41-8</v>
      </c>
      <c r="AB70">
        <v>224</v>
      </c>
      <c r="AC70" t="s">
        <v>2222</v>
      </c>
    </row>
    <row r="71" spans="1:29">
      <c r="A71" s="245" t="s">
        <v>267</v>
      </c>
      <c r="B71" s="251" t="str">
        <f>Texte!$B$306</f>
        <v>Soffitto in calcestruzzo 25 cm con intonaco interno (SIA 2032)</v>
      </c>
      <c r="C71" s="245"/>
      <c r="D71" s="245"/>
      <c r="E71" s="245" t="s">
        <v>255</v>
      </c>
      <c r="F71" s="245" t="s">
        <v>30</v>
      </c>
      <c r="G71" s="8">
        <v>59</v>
      </c>
      <c r="H71" s="196">
        <v>4.1549401687898087</v>
      </c>
      <c r="I71" s="196">
        <v>196.8233312101911</v>
      </c>
      <c r="J71" s="196">
        <v>32.063228917197449</v>
      </c>
      <c r="K71" s="200">
        <v>1.448309483014862</v>
      </c>
      <c r="L71" s="206">
        <v>73.223839490445883</v>
      </c>
      <c r="M71" s="206">
        <v>7.3484344904458601</v>
      </c>
      <c r="N71" s="202">
        <v>2272.7338460721867</v>
      </c>
      <c r="O71" s="202">
        <v>113790.33439490446</v>
      </c>
      <c r="P71" s="208">
        <v>16562.396369426751</v>
      </c>
      <c r="Q71" s="8" t="s">
        <v>19</v>
      </c>
      <c r="R71" s="191" t="s">
        <v>283</v>
      </c>
      <c r="S71" s="8" t="s">
        <v>30</v>
      </c>
      <c r="T71" s="8" t="s">
        <v>368</v>
      </c>
      <c r="U71" s="191" t="s">
        <v>796</v>
      </c>
      <c r="W71">
        <v>9</v>
      </c>
      <c r="X71" t="s">
        <v>2029</v>
      </c>
      <c r="Y71">
        <f t="shared" si="0"/>
        <v>284</v>
      </c>
      <c r="Z71" t="str">
        <f t="shared" si="1"/>
        <v>C41-9</v>
      </c>
      <c r="AB71">
        <v>225</v>
      </c>
      <c r="AC71" t="s">
        <v>2224</v>
      </c>
    </row>
    <row r="72" spans="1:29">
      <c r="A72" s="248" t="s">
        <v>267</v>
      </c>
      <c r="B72" s="251" t="str">
        <f>Texte!$B$219</f>
        <v>Soletta massiccia con tavole in legno 16 cm, strato anticalpestio, massetto (BTK)</v>
      </c>
      <c r="C72" s="248" t="s">
        <v>584</v>
      </c>
      <c r="D72" s="248" t="s">
        <v>585</v>
      </c>
      <c r="E72" s="248" t="s">
        <v>255</v>
      </c>
      <c r="F72" s="248" t="s">
        <v>30</v>
      </c>
      <c r="G72" s="193">
        <f>(I72+J72)/H72</f>
        <v>46.858071505958819</v>
      </c>
      <c r="H72" s="195">
        <v>5.1277777777777782</v>
      </c>
      <c r="I72" s="195">
        <v>228.9722222222222</v>
      </c>
      <c r="J72" s="195">
        <v>11.305555555555555</v>
      </c>
      <c r="K72" s="199">
        <v>0.99</v>
      </c>
      <c r="L72" s="199">
        <v>39.86</v>
      </c>
      <c r="M72" s="199">
        <v>10.1</v>
      </c>
      <c r="N72" s="202">
        <v>2054</v>
      </c>
      <c r="O72" s="202">
        <v>69584</v>
      </c>
      <c r="P72" s="202">
        <v>36903</v>
      </c>
      <c r="Q72" s="191" t="s">
        <v>19</v>
      </c>
      <c r="R72" s="191" t="s">
        <v>283</v>
      </c>
      <c r="S72" s="8" t="s">
        <v>30</v>
      </c>
      <c r="T72" s="8" t="s">
        <v>368</v>
      </c>
      <c r="U72" s="191" t="s">
        <v>686</v>
      </c>
      <c r="W72">
        <v>10</v>
      </c>
      <c r="X72" t="s">
        <v>2030</v>
      </c>
      <c r="Y72">
        <f t="shared" si="0"/>
        <v>197</v>
      </c>
      <c r="Z72" t="str">
        <f t="shared" si="1"/>
        <v>C41-10</v>
      </c>
      <c r="AB72">
        <v>226</v>
      </c>
      <c r="AC72" t="s">
        <v>2225</v>
      </c>
    </row>
    <row r="73" spans="1:29">
      <c r="A73" s="248" t="s">
        <v>267</v>
      </c>
      <c r="B73" s="251" t="str">
        <f>Texte!$B$220</f>
        <v>Solaio a cassettoni in legno, massetto, soffitto ribassato (Lignum)</v>
      </c>
      <c r="C73" s="248" t="s">
        <v>546</v>
      </c>
      <c r="D73" s="248" t="s">
        <v>556</v>
      </c>
      <c r="E73" s="248" t="s">
        <v>255</v>
      </c>
      <c r="F73" s="248" t="s">
        <v>30</v>
      </c>
      <c r="G73" s="191">
        <v>60</v>
      </c>
      <c r="H73" s="195">
        <v>3.4722222222222223</v>
      </c>
      <c r="I73" s="195">
        <v>0</v>
      </c>
      <c r="J73" s="195">
        <v>0</v>
      </c>
      <c r="K73" s="199">
        <v>0.92500000000000004</v>
      </c>
      <c r="L73" s="199"/>
      <c r="M73" s="199"/>
      <c r="N73" s="202">
        <v>1330.7</v>
      </c>
      <c r="O73" s="202"/>
      <c r="P73" s="202"/>
      <c r="Q73" s="191" t="s">
        <v>19</v>
      </c>
      <c r="R73" s="191" t="s">
        <v>283</v>
      </c>
      <c r="S73" s="8" t="s">
        <v>30</v>
      </c>
      <c r="T73" s="8" t="s">
        <v>368</v>
      </c>
      <c r="U73" s="191" t="s">
        <v>687</v>
      </c>
      <c r="W73">
        <v>11</v>
      </c>
      <c r="X73" t="s">
        <v>2031</v>
      </c>
      <c r="Y73">
        <f t="shared" si="0"/>
        <v>198</v>
      </c>
      <c r="Z73" t="str">
        <f t="shared" si="1"/>
        <v>C41-11</v>
      </c>
      <c r="AB73">
        <v>227</v>
      </c>
      <c r="AC73" t="s">
        <v>2226</v>
      </c>
    </row>
    <row r="74" spans="1:29">
      <c r="A74" s="248" t="s">
        <v>267</v>
      </c>
      <c r="B74" s="251" t="str">
        <f>Texte!$B$221</f>
        <v>Solaio a cassettoni in legno, massetto, senza soffitto ribassato (Lignum)</v>
      </c>
      <c r="C74" s="248" t="s">
        <v>545</v>
      </c>
      <c r="D74" s="248" t="s">
        <v>555</v>
      </c>
      <c r="E74" s="248" t="s">
        <v>255</v>
      </c>
      <c r="F74" s="248" t="s">
        <v>30</v>
      </c>
      <c r="G74" s="191">
        <v>60</v>
      </c>
      <c r="H74" s="195">
        <v>2.8657407407407405</v>
      </c>
      <c r="I74" s="195">
        <v>0</v>
      </c>
      <c r="J74" s="195">
        <v>0</v>
      </c>
      <c r="K74" s="199">
        <v>0.57266666666666666</v>
      </c>
      <c r="L74" s="199"/>
      <c r="M74" s="199"/>
      <c r="N74" s="202">
        <v>1117.7</v>
      </c>
      <c r="O74" s="202"/>
      <c r="P74" s="202"/>
      <c r="Q74" s="191" t="s">
        <v>19</v>
      </c>
      <c r="R74" s="191" t="s">
        <v>283</v>
      </c>
      <c r="S74" s="8" t="s">
        <v>30</v>
      </c>
      <c r="T74" s="8" t="s">
        <v>368</v>
      </c>
      <c r="U74" s="191" t="s">
        <v>687</v>
      </c>
      <c r="W74">
        <v>12</v>
      </c>
      <c r="X74" t="s">
        <v>2032</v>
      </c>
      <c r="Y74">
        <f t="shared" ref="Y74:Y137" si="3">RIGHT(X74,3)*1</f>
        <v>199</v>
      </c>
      <c r="Z74" t="str">
        <f t="shared" ref="Z74:Z137" si="4">RIGHT(A74,LEN(A74)-SEARCH("_",A74,3))&amp;"-"&amp;W74</f>
        <v>C41-12</v>
      </c>
      <c r="AB74">
        <v>228</v>
      </c>
      <c r="AC74" t="s">
        <v>2229</v>
      </c>
    </row>
    <row r="75" spans="1:29">
      <c r="A75" s="248" t="s">
        <v>267</v>
      </c>
      <c r="B75" s="251" t="str">
        <f>Texte!$B$222</f>
        <v>Solaio con travetti con isolamento supplementare 8 cm lana di roccia, rivestimento esterno, pannello truciolare interno (BTK)</v>
      </c>
      <c r="C75" s="248" t="s">
        <v>586</v>
      </c>
      <c r="D75" s="248" t="s">
        <v>587</v>
      </c>
      <c r="E75" s="248" t="s">
        <v>255</v>
      </c>
      <c r="F75" s="248" t="s">
        <v>30</v>
      </c>
      <c r="G75" s="193">
        <f>(I75+J75)/H75</f>
        <v>31.213930348258703</v>
      </c>
      <c r="H75" s="195">
        <v>2.791666666666667</v>
      </c>
      <c r="I75" s="195">
        <v>85.305555555555557</v>
      </c>
      <c r="J75" s="195">
        <v>1.8333333333333333</v>
      </c>
      <c r="K75" s="199">
        <v>0.6</v>
      </c>
      <c r="L75" s="199">
        <v>15.98</v>
      </c>
      <c r="M75" s="199">
        <v>2.48</v>
      </c>
      <c r="N75" s="202">
        <v>1085</v>
      </c>
      <c r="O75" s="202">
        <v>20481</v>
      </c>
      <c r="P75" s="202">
        <v>16038</v>
      </c>
      <c r="Q75" s="191" t="s">
        <v>20</v>
      </c>
      <c r="R75" s="191" t="s">
        <v>283</v>
      </c>
      <c r="S75" s="8" t="s">
        <v>30</v>
      </c>
      <c r="T75" s="8" t="s">
        <v>368</v>
      </c>
      <c r="U75" s="191" t="s">
        <v>686</v>
      </c>
      <c r="W75">
        <v>13</v>
      </c>
      <c r="X75" t="s">
        <v>2033</v>
      </c>
      <c r="Y75">
        <f t="shared" si="3"/>
        <v>200</v>
      </c>
      <c r="Z75" t="str">
        <f t="shared" si="4"/>
        <v>C41-13</v>
      </c>
      <c r="AB75">
        <v>229</v>
      </c>
      <c r="AC75" t="s">
        <v>2230</v>
      </c>
    </row>
    <row r="76" spans="1:29">
      <c r="A76" s="245" t="s">
        <v>267</v>
      </c>
      <c r="B76" s="251" t="str">
        <f>Texte!$B$308</f>
        <v>Composito legno-calcestruzzo (con rivestimento inferiore in gesso) (SIA 2032)</v>
      </c>
      <c r="C76" s="245"/>
      <c r="D76" s="245"/>
      <c r="E76" s="245" t="s">
        <v>255</v>
      </c>
      <c r="F76" s="245" t="s">
        <v>30</v>
      </c>
      <c r="G76" s="8">
        <v>58</v>
      </c>
      <c r="H76" s="196">
        <v>2.1596988969214435</v>
      </c>
      <c r="I76" s="196">
        <v>69.92656974522292</v>
      </c>
      <c r="J76" s="196">
        <v>13.011947070063695</v>
      </c>
      <c r="K76" s="200">
        <v>0.66206773796178342</v>
      </c>
      <c r="L76" s="206">
        <v>25.923532738853506</v>
      </c>
      <c r="M76" s="206">
        <v>2.7284157388535029</v>
      </c>
      <c r="N76" s="202">
        <v>1019.7199481953292</v>
      </c>
      <c r="O76" s="202">
        <v>41901.960127388535</v>
      </c>
      <c r="P76" s="208">
        <v>7124.9757643312105</v>
      </c>
      <c r="Q76" s="8" t="s">
        <v>19</v>
      </c>
      <c r="R76" s="191" t="s">
        <v>283</v>
      </c>
      <c r="S76" s="8" t="s">
        <v>30</v>
      </c>
      <c r="T76" s="8" t="s">
        <v>368</v>
      </c>
      <c r="U76" s="191" t="s">
        <v>796</v>
      </c>
      <c r="W76">
        <v>14</v>
      </c>
      <c r="X76" t="s">
        <v>2034</v>
      </c>
      <c r="Y76">
        <f t="shared" si="3"/>
        <v>286</v>
      </c>
      <c r="Z76" t="str">
        <f t="shared" si="4"/>
        <v>C41-14</v>
      </c>
      <c r="AB76">
        <v>230</v>
      </c>
      <c r="AC76" t="s">
        <v>2231</v>
      </c>
    </row>
    <row r="77" spans="1:29">
      <c r="A77" s="248" t="s">
        <v>267</v>
      </c>
      <c r="B77" s="251" t="str">
        <f>Texte!$B$223</f>
        <v>Solaio misto legno-calcestruzzo, massetto, senza soffitto ribassato. Soffitto (Lignum)</v>
      </c>
      <c r="C77" s="248" t="s">
        <v>550</v>
      </c>
      <c r="D77" s="248" t="s">
        <v>560</v>
      </c>
      <c r="E77" s="248" t="s">
        <v>255</v>
      </c>
      <c r="F77" s="248" t="s">
        <v>30</v>
      </c>
      <c r="G77" s="191">
        <v>60</v>
      </c>
      <c r="H77" s="195">
        <v>2.9027777777777777</v>
      </c>
      <c r="I77" s="195">
        <v>0</v>
      </c>
      <c r="J77" s="195">
        <v>0</v>
      </c>
      <c r="K77" s="199">
        <v>0.85249999999999992</v>
      </c>
      <c r="L77" s="199"/>
      <c r="M77" s="199"/>
      <c r="N77" s="202">
        <v>1554.8</v>
      </c>
      <c r="O77" s="202"/>
      <c r="P77" s="202"/>
      <c r="Q77" s="191" t="s">
        <v>19</v>
      </c>
      <c r="R77" s="191" t="s">
        <v>283</v>
      </c>
      <c r="S77" s="8" t="s">
        <v>30</v>
      </c>
      <c r="T77" s="8" t="s">
        <v>368</v>
      </c>
      <c r="U77" s="191" t="s">
        <v>687</v>
      </c>
      <c r="W77">
        <v>15</v>
      </c>
      <c r="X77" t="s">
        <v>2035</v>
      </c>
      <c r="Y77">
        <f t="shared" si="3"/>
        <v>201</v>
      </c>
      <c r="Z77" t="str">
        <f t="shared" si="4"/>
        <v>C41-15</v>
      </c>
      <c r="AB77">
        <v>231</v>
      </c>
      <c r="AC77" t="s">
        <v>2234</v>
      </c>
    </row>
    <row r="78" spans="1:29">
      <c r="A78" s="245" t="s">
        <v>267</v>
      </c>
      <c r="B78" s="251" t="str">
        <f>Texte!$B$307</f>
        <v>Soffitto a elementi in legno (con rivestimento inferiore in gesso) (SIA 2032)</v>
      </c>
      <c r="C78" s="245"/>
      <c r="D78" s="245"/>
      <c r="E78" s="245" t="s">
        <v>255</v>
      </c>
      <c r="F78" s="245" t="s">
        <v>30</v>
      </c>
      <c r="G78" s="8">
        <v>56</v>
      </c>
      <c r="H78" s="196">
        <v>1.5354086300000001</v>
      </c>
      <c r="I78" s="196">
        <v>40.186591999999997</v>
      </c>
      <c r="J78" s="196">
        <v>5.2945088</v>
      </c>
      <c r="K78" s="200">
        <v>0.32159057000000002</v>
      </c>
      <c r="L78" s="206">
        <v>6.8233120000000005</v>
      </c>
      <c r="M78" s="206">
        <v>1.4000064000000001</v>
      </c>
      <c r="N78" s="202">
        <v>659.23981666666668</v>
      </c>
      <c r="O78" s="202">
        <v>24114.400000000001</v>
      </c>
      <c r="P78" s="208">
        <v>3283.7280000000001</v>
      </c>
      <c r="Q78" s="8" t="s">
        <v>19</v>
      </c>
      <c r="R78" s="191" t="s">
        <v>283</v>
      </c>
      <c r="S78" s="8" t="s">
        <v>30</v>
      </c>
      <c r="T78" s="8" t="s">
        <v>368</v>
      </c>
      <c r="U78" s="191" t="s">
        <v>796</v>
      </c>
      <c r="W78">
        <v>16</v>
      </c>
      <c r="X78" t="s">
        <v>2036</v>
      </c>
      <c r="Y78">
        <f t="shared" si="3"/>
        <v>285</v>
      </c>
      <c r="Z78" t="str">
        <f t="shared" si="4"/>
        <v>C41-16</v>
      </c>
      <c r="AB78">
        <v>232</v>
      </c>
      <c r="AC78" t="s">
        <v>2235</v>
      </c>
    </row>
    <row r="79" spans="1:29">
      <c r="A79" s="248" t="s">
        <v>267</v>
      </c>
      <c r="B79" s="251" t="str">
        <f>Texte!$B$224</f>
        <v>Solaio a cassettoni isolato, strato anticalpestio, pannello truciolare (BTK)</v>
      </c>
      <c r="C79" s="248" t="s">
        <v>588</v>
      </c>
      <c r="D79" s="248" t="s">
        <v>589</v>
      </c>
      <c r="E79" s="248" t="s">
        <v>255</v>
      </c>
      <c r="F79" s="248" t="s">
        <v>30</v>
      </c>
      <c r="G79" s="193">
        <f>(I79+J79)/H79</f>
        <v>45.833807626636307</v>
      </c>
      <c r="H79" s="195">
        <v>4.8805555555555555</v>
      </c>
      <c r="I79" s="195">
        <v>220.66666666666666</v>
      </c>
      <c r="J79" s="195">
        <v>3.0277777777777777</v>
      </c>
      <c r="K79" s="199">
        <v>0.97</v>
      </c>
      <c r="L79" s="199">
        <v>39.35</v>
      </c>
      <c r="M79" s="199">
        <v>7.08</v>
      </c>
      <c r="N79" s="202">
        <v>1732</v>
      </c>
      <c r="O79" s="202">
        <v>58774</v>
      </c>
      <c r="P79" s="202">
        <v>26888</v>
      </c>
      <c r="Q79" s="191" t="s">
        <v>20</v>
      </c>
      <c r="R79" s="191" t="s">
        <v>283</v>
      </c>
      <c r="S79" s="8" t="s">
        <v>30</v>
      </c>
      <c r="T79" s="8" t="s">
        <v>368</v>
      </c>
      <c r="U79" s="191" t="s">
        <v>686</v>
      </c>
      <c r="W79">
        <v>17</v>
      </c>
      <c r="X79" t="s">
        <v>2037</v>
      </c>
      <c r="Y79">
        <f t="shared" si="3"/>
        <v>202</v>
      </c>
      <c r="Z79" t="str">
        <f t="shared" si="4"/>
        <v>C41-17</v>
      </c>
      <c r="AB79">
        <v>233</v>
      </c>
      <c r="AC79" t="s">
        <v>2236</v>
      </c>
    </row>
    <row r="80" spans="1:29">
      <c r="A80" s="248" t="s">
        <v>267</v>
      </c>
      <c r="B80" s="251" t="str">
        <f>Texte!$B$225</f>
        <v>Soletta massiccia in legno, massetto, con soffitto ribassato (Lignum)</v>
      </c>
      <c r="C80" s="248" t="s">
        <v>549</v>
      </c>
      <c r="D80" s="248" t="s">
        <v>559</v>
      </c>
      <c r="E80" s="248" t="s">
        <v>255</v>
      </c>
      <c r="F80" s="248" t="s">
        <v>30</v>
      </c>
      <c r="G80" s="191">
        <v>60</v>
      </c>
      <c r="H80" s="195">
        <v>5.2268518518518521</v>
      </c>
      <c r="I80" s="195">
        <v>0</v>
      </c>
      <c r="J80" s="195">
        <v>0</v>
      </c>
      <c r="K80" s="199">
        <v>1.2495000000000001</v>
      </c>
      <c r="L80" s="199"/>
      <c r="M80" s="199"/>
      <c r="N80" s="202">
        <v>2206.4833333333331</v>
      </c>
      <c r="O80" s="202"/>
      <c r="P80" s="202"/>
      <c r="Q80" s="191" t="s">
        <v>19</v>
      </c>
      <c r="R80" s="191" t="s">
        <v>283</v>
      </c>
      <c r="S80" s="8" t="s">
        <v>30</v>
      </c>
      <c r="T80" s="8" t="s">
        <v>368</v>
      </c>
      <c r="U80" s="191" t="s">
        <v>687</v>
      </c>
      <c r="W80">
        <v>18</v>
      </c>
      <c r="X80" t="s">
        <v>2038</v>
      </c>
      <c r="Y80">
        <f t="shared" si="3"/>
        <v>203</v>
      </c>
      <c r="Z80" t="str">
        <f t="shared" si="4"/>
        <v>C41-18</v>
      </c>
      <c r="AB80">
        <v>234</v>
      </c>
      <c r="AC80" t="s">
        <v>2237</v>
      </c>
    </row>
    <row r="81" spans="1:32">
      <c r="A81" s="248" t="s">
        <v>267</v>
      </c>
      <c r="B81" s="251" t="str">
        <f>Texte!$B$226</f>
        <v>Soletta massiccia in legno, massetto, senza soffitto ribassato (Lignum)</v>
      </c>
      <c r="C81" s="248" t="s">
        <v>547</v>
      </c>
      <c r="D81" s="248" t="s">
        <v>557</v>
      </c>
      <c r="E81" s="248" t="s">
        <v>255</v>
      </c>
      <c r="F81" s="248" t="s">
        <v>30</v>
      </c>
      <c r="G81" s="191">
        <v>60</v>
      </c>
      <c r="H81" s="195">
        <v>2.4953703703703702</v>
      </c>
      <c r="I81" s="195">
        <v>0</v>
      </c>
      <c r="J81" s="195">
        <v>0</v>
      </c>
      <c r="K81" s="199">
        <v>0.5116666666666666</v>
      </c>
      <c r="L81" s="199"/>
      <c r="M81" s="199"/>
      <c r="N81" s="202">
        <v>1336.6833333333334</v>
      </c>
      <c r="O81" s="202"/>
      <c r="P81" s="202"/>
      <c r="Q81" s="191" t="s">
        <v>19</v>
      </c>
      <c r="R81" s="191" t="s">
        <v>283</v>
      </c>
      <c r="S81" s="8" t="s">
        <v>30</v>
      </c>
      <c r="T81" s="8" t="s">
        <v>368</v>
      </c>
      <c r="U81" s="191" t="s">
        <v>687</v>
      </c>
      <c r="W81">
        <v>19</v>
      </c>
      <c r="X81" t="s">
        <v>2039</v>
      </c>
      <c r="Y81">
        <f t="shared" si="3"/>
        <v>204</v>
      </c>
      <c r="Z81" t="str">
        <f t="shared" si="4"/>
        <v>C41-19</v>
      </c>
      <c r="AB81">
        <v>235</v>
      </c>
      <c r="AC81" t="s">
        <v>2238</v>
      </c>
    </row>
    <row r="82" spans="1:32">
      <c r="A82" s="248" t="s">
        <v>267</v>
      </c>
      <c r="B82" s="251" t="str">
        <f>Texte!$B$227</f>
        <v>Soletta massiccia in legno, sottofondo a secco, con soffitto ribassato (Lignum)</v>
      </c>
      <c r="C82" s="248" t="s">
        <v>548</v>
      </c>
      <c r="D82" s="248" t="s">
        <v>558</v>
      </c>
      <c r="E82" s="248" t="s">
        <v>255</v>
      </c>
      <c r="F82" s="248" t="s">
        <v>30</v>
      </c>
      <c r="G82" s="191">
        <v>60</v>
      </c>
      <c r="H82" s="195">
        <v>6.2546296296296289</v>
      </c>
      <c r="I82" s="195">
        <v>0</v>
      </c>
      <c r="J82" s="195">
        <v>0</v>
      </c>
      <c r="K82" s="199">
        <v>1.294</v>
      </c>
      <c r="L82" s="199"/>
      <c r="M82" s="199"/>
      <c r="N82" s="202">
        <v>2153.4666666666667</v>
      </c>
      <c r="O82" s="202"/>
      <c r="P82" s="202"/>
      <c r="Q82" s="191" t="s">
        <v>19</v>
      </c>
      <c r="R82" s="191" t="s">
        <v>283</v>
      </c>
      <c r="S82" s="8" t="s">
        <v>30</v>
      </c>
      <c r="T82" s="8" t="s">
        <v>368</v>
      </c>
      <c r="U82" s="191" t="s">
        <v>687</v>
      </c>
      <c r="W82">
        <v>20</v>
      </c>
      <c r="X82" t="s">
        <v>2040</v>
      </c>
      <c r="Y82">
        <f t="shared" si="3"/>
        <v>205</v>
      </c>
      <c r="Z82" t="str">
        <f t="shared" si="4"/>
        <v>C41-20</v>
      </c>
      <c r="AB82">
        <v>236</v>
      </c>
      <c r="AC82" t="s">
        <v>2239</v>
      </c>
    </row>
    <row r="83" spans="1:32">
      <c r="A83" s="248" t="s">
        <v>267</v>
      </c>
      <c r="B83" s="251" t="str">
        <f>Texte!$B$228</f>
        <v>Solaio il lamiera grecata con CLS 18 cm, strato anticalpestio, sottofondo (BTK)</v>
      </c>
      <c r="C83" s="248" t="s">
        <v>582</v>
      </c>
      <c r="D83" s="248" t="s">
        <v>583</v>
      </c>
      <c r="E83" s="248" t="s">
        <v>255</v>
      </c>
      <c r="F83" s="248" t="s">
        <v>30</v>
      </c>
      <c r="G83" s="193">
        <f>(I83+J83)/H83</f>
        <v>51.522004889975548</v>
      </c>
      <c r="H83" s="195">
        <v>9.0888888888888886</v>
      </c>
      <c r="I83" s="195">
        <v>437.83333333333331</v>
      </c>
      <c r="J83" s="195">
        <v>30.444444444444443</v>
      </c>
      <c r="K83" s="199">
        <v>2.88</v>
      </c>
      <c r="L83" s="199">
        <v>137.44999999999999</v>
      </c>
      <c r="M83" s="199">
        <v>6.83</v>
      </c>
      <c r="N83" s="202">
        <v>5806</v>
      </c>
      <c r="O83" s="202">
        <v>306475</v>
      </c>
      <c r="P83" s="202">
        <v>15756</v>
      </c>
      <c r="Q83" s="191" t="s">
        <v>19</v>
      </c>
      <c r="R83" s="191" t="s">
        <v>283</v>
      </c>
      <c r="S83" s="8" t="s">
        <v>30</v>
      </c>
      <c r="T83" s="8" t="s">
        <v>368</v>
      </c>
      <c r="U83" s="191" t="s">
        <v>686</v>
      </c>
      <c r="W83">
        <v>21</v>
      </c>
      <c r="X83" t="s">
        <v>2041</v>
      </c>
      <c r="Y83">
        <f t="shared" si="3"/>
        <v>206</v>
      </c>
      <c r="Z83" t="str">
        <f t="shared" si="4"/>
        <v>C41-21</v>
      </c>
      <c r="AB83">
        <v>237</v>
      </c>
      <c r="AC83" t="s">
        <v>2240</v>
      </c>
    </row>
    <row r="84" spans="1:32">
      <c r="A84" s="245" t="s">
        <v>836</v>
      </c>
      <c r="B84" s="251" t="str">
        <f>Texte!$B$313</f>
        <v>Balcone incl. protezione anticaduta (SIA 2032)</v>
      </c>
      <c r="C84" s="245"/>
      <c r="D84" s="245"/>
      <c r="E84" s="245" t="s">
        <v>255</v>
      </c>
      <c r="F84" s="245" t="s">
        <v>30</v>
      </c>
      <c r="G84" s="8">
        <v>40</v>
      </c>
      <c r="H84" s="196">
        <v>12.294208041089965</v>
      </c>
      <c r="I84" s="196">
        <v>466.0375525519031</v>
      </c>
      <c r="J84" s="196">
        <v>25.730769091695496</v>
      </c>
      <c r="K84" s="200">
        <v>3.5227781790657433</v>
      </c>
      <c r="L84" s="206">
        <v>134.49696245674738</v>
      </c>
      <c r="M84" s="206">
        <v>6.4141647058823521</v>
      </c>
      <c r="N84" s="202">
        <v>28400.913812499999</v>
      </c>
      <c r="O84" s="202">
        <v>1113550.0874999999</v>
      </c>
      <c r="P84" s="208">
        <v>22486.464999999997</v>
      </c>
      <c r="Q84" s="8" t="s">
        <v>19</v>
      </c>
      <c r="R84" s="8"/>
      <c r="S84" s="8" t="s">
        <v>30</v>
      </c>
      <c r="T84" s="8" t="s">
        <v>368</v>
      </c>
      <c r="U84" s="191" t="s">
        <v>796</v>
      </c>
      <c r="W84">
        <v>1</v>
      </c>
      <c r="X84" t="s">
        <v>2042</v>
      </c>
      <c r="Y84">
        <f t="shared" si="3"/>
        <v>291</v>
      </c>
      <c r="Z84" t="str">
        <f t="shared" si="4"/>
        <v>C43-1</v>
      </c>
      <c r="AB84">
        <v>238</v>
      </c>
      <c r="AC84" t="s">
        <v>2241</v>
      </c>
    </row>
    <row r="85" spans="1:32">
      <c r="A85" s="245" t="s">
        <v>268</v>
      </c>
      <c r="B85" s="251" t="str">
        <f>Texte!$B$299</f>
        <v>Soffitto in calcestruzzo 25 cm con intonaco interno, isolato (SIA 2032)</v>
      </c>
      <c r="C85" s="245"/>
      <c r="D85" s="245"/>
      <c r="E85" s="245" t="s">
        <v>255</v>
      </c>
      <c r="F85" s="245" t="s">
        <v>30</v>
      </c>
      <c r="G85" s="8">
        <v>59</v>
      </c>
      <c r="H85" s="196">
        <v>26.659946835456481</v>
      </c>
      <c r="I85" s="196">
        <v>868.30333121019112</v>
      </c>
      <c r="J85" s="196">
        <v>35.73342891719745</v>
      </c>
      <c r="K85" s="200">
        <v>6.6894694830148618</v>
      </c>
      <c r="L85" s="206">
        <v>218.88983949044587</v>
      </c>
      <c r="M85" s="206">
        <v>18.91723449044586</v>
      </c>
      <c r="N85" s="202">
        <v>10235.867179405519</v>
      </c>
      <c r="O85" s="202">
        <v>345312.33439490444</v>
      </c>
      <c r="P85" s="208">
        <v>23934.396369426751</v>
      </c>
      <c r="Q85" s="8" t="s">
        <v>20</v>
      </c>
      <c r="R85" s="8"/>
      <c r="S85" s="8" t="s">
        <v>30</v>
      </c>
      <c r="T85" s="8" t="s">
        <v>368</v>
      </c>
      <c r="U85" s="191" t="s">
        <v>796</v>
      </c>
      <c r="W85">
        <v>1</v>
      </c>
      <c r="X85" s="238" t="s">
        <v>2043</v>
      </c>
      <c r="Y85">
        <f t="shared" si="3"/>
        <v>277</v>
      </c>
      <c r="Z85" t="str">
        <f t="shared" si="4"/>
        <v>C44-1</v>
      </c>
      <c r="AA85" s="238"/>
      <c r="AB85">
        <v>239</v>
      </c>
      <c r="AC85" t="s">
        <v>2242</v>
      </c>
      <c r="AD85" s="238">
        <f>P85+P$147</f>
        <v>31306.396369426751</v>
      </c>
    </row>
    <row r="86" spans="1:32">
      <c r="A86" s="245" t="s">
        <v>268</v>
      </c>
      <c r="B86" s="251" t="str">
        <f>Texte!$B$300</f>
        <v>Soffitto in calcestruzzo 40 cm con intonaco interno, isolato (SIA 2032)</v>
      </c>
      <c r="C86" s="245"/>
      <c r="D86" s="245"/>
      <c r="E86" s="245" t="s">
        <v>255</v>
      </c>
      <c r="F86" s="245" t="s">
        <v>30</v>
      </c>
      <c r="G86" s="8">
        <v>59</v>
      </c>
      <c r="H86" s="196">
        <v>29.942240253715504</v>
      </c>
      <c r="I86" s="196">
        <v>1047.3555796178343</v>
      </c>
      <c r="J86" s="196">
        <v>53.618785605095539</v>
      </c>
      <c r="K86" s="200">
        <v>7.6576288036093416</v>
      </c>
      <c r="L86" s="206">
        <v>273.50261910828027</v>
      </c>
      <c r="M86" s="206">
        <v>22.394014108280253</v>
      </c>
      <c r="N86" s="202">
        <v>12501.117688959661</v>
      </c>
      <c r="O86" s="202">
        <v>472201.11019108281</v>
      </c>
      <c r="P86" s="208">
        <v>32960.651146496821</v>
      </c>
      <c r="Q86" s="8" t="s">
        <v>20</v>
      </c>
      <c r="R86" s="8"/>
      <c r="S86" s="8" t="s">
        <v>30</v>
      </c>
      <c r="T86" s="8" t="s">
        <v>368</v>
      </c>
      <c r="U86" s="191" t="s">
        <v>796</v>
      </c>
      <c r="W86">
        <v>2</v>
      </c>
      <c r="X86" s="238" t="s">
        <v>2044</v>
      </c>
      <c r="Y86">
        <f t="shared" si="3"/>
        <v>278</v>
      </c>
      <c r="Z86" t="str">
        <f t="shared" si="4"/>
        <v>C44-2</v>
      </c>
      <c r="AA86" s="238"/>
      <c r="AB86">
        <v>240</v>
      </c>
      <c r="AC86" t="s">
        <v>2244</v>
      </c>
      <c r="AD86" s="238">
        <f>P86+P$147</f>
        <v>40332.651146496821</v>
      </c>
    </row>
    <row r="87" spans="1:32">
      <c r="A87" s="245" t="s">
        <v>268</v>
      </c>
      <c r="B87" s="251" t="str">
        <f>Texte!$B$282</f>
        <v>Tetto isolato sotto il terreno (SIA 2032)</v>
      </c>
      <c r="C87" s="245"/>
      <c r="D87" s="245"/>
      <c r="E87" s="245" t="s">
        <v>255</v>
      </c>
      <c r="F87" s="245" t="s">
        <v>30</v>
      </c>
      <c r="G87" s="8">
        <v>60</v>
      </c>
      <c r="H87" s="196">
        <v>11.342333333333332</v>
      </c>
      <c r="I87" s="196">
        <v>635.54</v>
      </c>
      <c r="J87" s="196">
        <v>45</v>
      </c>
      <c r="K87" s="200">
        <f>(L87+M87)/$G87</f>
        <v>3.6171666666666669</v>
      </c>
      <c r="L87" s="206">
        <v>153</v>
      </c>
      <c r="M87" s="206">
        <v>64.03</v>
      </c>
      <c r="N87" s="202">
        <f>(O87+P87)/$G87</f>
        <v>4462.2994999999992</v>
      </c>
      <c r="O87" s="202">
        <v>219495</v>
      </c>
      <c r="P87" s="202">
        <v>48242.97</v>
      </c>
      <c r="Q87" s="8" t="s">
        <v>20</v>
      </c>
      <c r="R87" s="8"/>
      <c r="S87" s="8" t="s">
        <v>30</v>
      </c>
      <c r="T87" s="8" t="s">
        <v>368</v>
      </c>
      <c r="U87" s="191" t="s">
        <v>796</v>
      </c>
      <c r="W87">
        <v>3</v>
      </c>
      <c r="X87" t="s">
        <v>2045</v>
      </c>
      <c r="Y87">
        <f t="shared" si="3"/>
        <v>260</v>
      </c>
      <c r="Z87" t="str">
        <f t="shared" si="4"/>
        <v>C44-3</v>
      </c>
      <c r="AB87">
        <v>241</v>
      </c>
      <c r="AC87" t="s">
        <v>2247</v>
      </c>
    </row>
    <row r="88" spans="1:32">
      <c r="A88" s="245" t="s">
        <v>268</v>
      </c>
      <c r="B88" s="251" t="str">
        <f>Texte!$B$281</f>
        <v>Tetto sotto il terreno non isolato (SIA 2032)</v>
      </c>
      <c r="C88" s="245"/>
      <c r="D88" s="245"/>
      <c r="E88" s="245" t="s">
        <v>255</v>
      </c>
      <c r="F88" s="245" t="s">
        <v>30</v>
      </c>
      <c r="G88" s="8">
        <v>60</v>
      </c>
      <c r="H88" s="196">
        <v>5.8386666666666667</v>
      </c>
      <c r="I88" s="196">
        <v>309.45</v>
      </c>
      <c r="J88" s="196">
        <v>40.869999999999997</v>
      </c>
      <c r="K88" s="200">
        <f>(L88+M88)/$G88</f>
        <v>1.911</v>
      </c>
      <c r="L88" s="8">
        <v>90.92</v>
      </c>
      <c r="M88" s="8">
        <v>23.74</v>
      </c>
      <c r="N88" s="202">
        <f>(O88+P88)/$G88</f>
        <v>3106.1016666666669</v>
      </c>
      <c r="O88" s="202">
        <v>158321.5</v>
      </c>
      <c r="P88" s="202">
        <v>28044.6</v>
      </c>
      <c r="Q88" s="8" t="s">
        <v>19</v>
      </c>
      <c r="R88" s="8"/>
      <c r="S88" s="8" t="s">
        <v>30</v>
      </c>
      <c r="T88" s="8" t="s">
        <v>368</v>
      </c>
      <c r="U88" s="191" t="s">
        <v>796</v>
      </c>
      <c r="W88">
        <v>4</v>
      </c>
      <c r="X88" t="s">
        <v>2046</v>
      </c>
      <c r="Y88">
        <f t="shared" si="3"/>
        <v>259</v>
      </c>
      <c r="Z88" t="str">
        <f t="shared" si="4"/>
        <v>C44-4</v>
      </c>
      <c r="AB88">
        <v>242</v>
      </c>
      <c r="AC88" t="s">
        <v>2248</v>
      </c>
    </row>
    <row r="89" spans="1:32">
      <c r="A89" s="248" t="s">
        <v>268</v>
      </c>
      <c r="B89" s="251" t="str">
        <f>Texte!$B$229</f>
        <v>Tetto in legno massiccio (Lignum)</v>
      </c>
      <c r="C89" s="248" t="s">
        <v>563</v>
      </c>
      <c r="D89" s="248" t="s">
        <v>566</v>
      </c>
      <c r="E89" s="248" t="s">
        <v>255</v>
      </c>
      <c r="F89" s="248" t="s">
        <v>30</v>
      </c>
      <c r="G89" s="191">
        <v>60</v>
      </c>
      <c r="H89" s="195">
        <v>4.6203703703703702</v>
      </c>
      <c r="I89" s="195">
        <v>0</v>
      </c>
      <c r="J89" s="195">
        <v>0</v>
      </c>
      <c r="K89" s="199">
        <v>0.9986666666666667</v>
      </c>
      <c r="L89" s="199"/>
      <c r="M89" s="199"/>
      <c r="N89" s="202">
        <v>1491.5833333333333</v>
      </c>
      <c r="O89" s="202"/>
      <c r="P89" s="202"/>
      <c r="Q89" s="191" t="s">
        <v>20</v>
      </c>
      <c r="R89" s="191"/>
      <c r="S89" s="8" t="s">
        <v>30</v>
      </c>
      <c r="T89" s="8" t="s">
        <v>368</v>
      </c>
      <c r="U89" s="191" t="s">
        <v>687</v>
      </c>
      <c r="W89">
        <v>5</v>
      </c>
      <c r="X89" t="s">
        <v>2047</v>
      </c>
      <c r="Y89">
        <f t="shared" si="3"/>
        <v>207</v>
      </c>
      <c r="Z89" t="str">
        <f t="shared" si="4"/>
        <v>C44-5</v>
      </c>
      <c r="AB89">
        <v>243</v>
      </c>
      <c r="AC89" t="s">
        <v>2249</v>
      </c>
    </row>
    <row r="90" spans="1:32">
      <c r="A90" s="248" t="s">
        <v>268</v>
      </c>
      <c r="B90" s="251" t="str">
        <f>Texte!$B$230</f>
        <v>Tetto in legno, assito/travetti rivestimento con lastre derivate dal legno (Lignum)</v>
      </c>
      <c r="C90" s="248" t="s">
        <v>562</v>
      </c>
      <c r="D90" s="248" t="s">
        <v>565</v>
      </c>
      <c r="E90" s="248" t="s">
        <v>255</v>
      </c>
      <c r="F90" s="248" t="s">
        <v>30</v>
      </c>
      <c r="G90" s="191">
        <v>60</v>
      </c>
      <c r="H90" s="195">
        <v>2.833333333333333</v>
      </c>
      <c r="I90" s="195">
        <v>0</v>
      </c>
      <c r="J90" s="195">
        <v>0</v>
      </c>
      <c r="K90" s="199">
        <v>0.6898333333333333</v>
      </c>
      <c r="L90" s="199"/>
      <c r="M90" s="199"/>
      <c r="N90" s="202">
        <v>904.76666666666665</v>
      </c>
      <c r="O90" s="202"/>
      <c r="P90" s="202"/>
      <c r="Q90" s="191" t="s">
        <v>20</v>
      </c>
      <c r="R90" s="191"/>
      <c r="S90" s="8" t="s">
        <v>30</v>
      </c>
      <c r="T90" s="8" t="s">
        <v>368</v>
      </c>
      <c r="U90" s="191" t="s">
        <v>687</v>
      </c>
      <c r="W90">
        <v>6</v>
      </c>
      <c r="X90" t="s">
        <v>2048</v>
      </c>
      <c r="Y90">
        <f t="shared" si="3"/>
        <v>208</v>
      </c>
      <c r="Z90" t="str">
        <f t="shared" si="4"/>
        <v>C44-6</v>
      </c>
      <c r="AB90">
        <v>244</v>
      </c>
      <c r="AC90" t="s">
        <v>2250</v>
      </c>
    </row>
    <row r="91" spans="1:32">
      <c r="A91" s="248" t="s">
        <v>268</v>
      </c>
      <c r="B91" s="251" t="str">
        <f>Texte!$B$231</f>
        <v>Tetto in legno, assito/travetti in vista (Lignum)</v>
      </c>
      <c r="C91" s="248" t="s">
        <v>561</v>
      </c>
      <c r="D91" s="248" t="s">
        <v>564</v>
      </c>
      <c r="E91" s="248" t="s">
        <v>255</v>
      </c>
      <c r="F91" s="248" t="s">
        <v>30</v>
      </c>
      <c r="G91" s="191">
        <v>60</v>
      </c>
      <c r="H91" s="195">
        <v>3.3194444444444442</v>
      </c>
      <c r="I91" s="195">
        <v>0</v>
      </c>
      <c r="J91" s="195">
        <v>0</v>
      </c>
      <c r="K91" s="199">
        <v>0.7446666666666667</v>
      </c>
      <c r="L91" s="199"/>
      <c r="M91" s="199"/>
      <c r="N91" s="202">
        <v>999.65</v>
      </c>
      <c r="O91" s="202"/>
      <c r="P91" s="202"/>
      <c r="Q91" s="191" t="s">
        <v>20</v>
      </c>
      <c r="R91" s="191"/>
      <c r="S91" s="8" t="s">
        <v>30</v>
      </c>
      <c r="T91" s="8" t="s">
        <v>368</v>
      </c>
      <c r="U91" s="191" t="s">
        <v>687</v>
      </c>
      <c r="W91">
        <v>7</v>
      </c>
      <c r="X91" t="s">
        <v>2049</v>
      </c>
      <c r="Y91">
        <f t="shared" si="3"/>
        <v>209</v>
      </c>
      <c r="Z91" t="str">
        <f t="shared" si="4"/>
        <v>C44-7</v>
      </c>
      <c r="AB91">
        <v>245</v>
      </c>
      <c r="AC91" t="s">
        <v>2251</v>
      </c>
    </row>
    <row r="92" spans="1:32">
      <c r="A92" s="248" t="s">
        <v>268</v>
      </c>
      <c r="B92" s="251" t="str">
        <f>Texte!$B$232</f>
        <v>Tetto piano, soletta in CLS 22 cm, isolamento EPS, guaina bituminosa, pavimentazione calpestabile (BTK)</v>
      </c>
      <c r="C92" s="248" t="s">
        <v>592</v>
      </c>
      <c r="D92" s="248" t="s">
        <v>593</v>
      </c>
      <c r="E92" s="248" t="s">
        <v>255</v>
      </c>
      <c r="F92" s="248" t="s">
        <v>30</v>
      </c>
      <c r="G92" s="193">
        <f>(I92+J92)/H92</f>
        <v>35.805545805545812</v>
      </c>
      <c r="H92" s="195">
        <v>15.827777777777776</v>
      </c>
      <c r="I92" s="195">
        <v>528.58333333333337</v>
      </c>
      <c r="J92" s="195">
        <v>38.138888888888893</v>
      </c>
      <c r="K92" s="199">
        <v>4.63</v>
      </c>
      <c r="L92" s="199">
        <v>118.96</v>
      </c>
      <c r="M92" s="199">
        <v>56.39</v>
      </c>
      <c r="N92" s="202">
        <v>4616</v>
      </c>
      <c r="O92" s="202">
        <v>140061</v>
      </c>
      <c r="P92" s="202">
        <v>51672</v>
      </c>
      <c r="Q92" s="191" t="s">
        <v>20</v>
      </c>
      <c r="R92" s="191"/>
      <c r="S92" s="8" t="s">
        <v>30</v>
      </c>
      <c r="T92" s="8" t="s">
        <v>368</v>
      </c>
      <c r="U92" s="191" t="s">
        <v>686</v>
      </c>
      <c r="W92">
        <v>8</v>
      </c>
      <c r="X92" t="s">
        <v>2050</v>
      </c>
      <c r="Y92">
        <f t="shared" si="3"/>
        <v>210</v>
      </c>
      <c r="Z92" t="str">
        <f t="shared" si="4"/>
        <v>C44-8</v>
      </c>
      <c r="AB92">
        <v>246</v>
      </c>
      <c r="AC92" t="s">
        <v>2252</v>
      </c>
    </row>
    <row r="93" spans="1:32">
      <c r="A93" s="248" t="s">
        <v>268</v>
      </c>
      <c r="B93" s="251" t="str">
        <f>Texte!$B$233</f>
        <v>Tetto piano, soletta in CLS 22 cm, isolamento EPS, guaina bituminosa, ghiaia (BTK)</v>
      </c>
      <c r="C93" s="248" t="s">
        <v>590</v>
      </c>
      <c r="D93" s="248" t="s">
        <v>591</v>
      </c>
      <c r="E93" s="248" t="s">
        <v>255</v>
      </c>
      <c r="F93" s="248" t="s">
        <v>30</v>
      </c>
      <c r="G93" s="193">
        <f>(I93+J93)/H93</f>
        <v>36.076180061964642</v>
      </c>
      <c r="H93" s="195">
        <v>15.241666666666665</v>
      </c>
      <c r="I93" s="195">
        <v>513.83333333333326</v>
      </c>
      <c r="J93" s="195">
        <v>36.027777777777771</v>
      </c>
      <c r="K93" s="199">
        <v>4.3499999999999996</v>
      </c>
      <c r="L93" s="199">
        <v>111.09</v>
      </c>
      <c r="M93" s="199">
        <v>58</v>
      </c>
      <c r="N93" s="202">
        <v>4359</v>
      </c>
      <c r="O93" s="202">
        <v>133383</v>
      </c>
      <c r="P93" s="202">
        <v>50626</v>
      </c>
      <c r="Q93" s="191" t="s">
        <v>20</v>
      </c>
      <c r="R93" s="191"/>
      <c r="S93" s="8" t="s">
        <v>30</v>
      </c>
      <c r="T93" s="8" t="s">
        <v>368</v>
      </c>
      <c r="U93" s="191" t="s">
        <v>686</v>
      </c>
      <c r="W93">
        <v>9</v>
      </c>
      <c r="X93" t="s">
        <v>2051</v>
      </c>
      <c r="Y93">
        <f t="shared" si="3"/>
        <v>211</v>
      </c>
      <c r="Z93" t="str">
        <f t="shared" si="4"/>
        <v>C44-9</v>
      </c>
      <c r="AB93">
        <v>247</v>
      </c>
      <c r="AC93" t="s">
        <v>2253</v>
      </c>
    </row>
    <row r="94" spans="1:32">
      <c r="A94" s="248" t="s">
        <v>268</v>
      </c>
      <c r="B94" s="251" t="str">
        <f>Texte!$B$234</f>
        <v>Tetto piano, elementi in legno con isolamento, guaina bituminosa, ghiaia (BTK)</v>
      </c>
      <c r="C94" s="248" t="s">
        <v>598</v>
      </c>
      <c r="D94" s="248" t="s">
        <v>599</v>
      </c>
      <c r="E94" s="248" t="s">
        <v>255</v>
      </c>
      <c r="F94" s="248" t="s">
        <v>30</v>
      </c>
      <c r="G94" s="193">
        <f>(I94+J94)/H94</f>
        <v>43.669162695711364</v>
      </c>
      <c r="H94" s="195">
        <v>4.0805555555555557</v>
      </c>
      <c r="I94" s="195">
        <v>168.88888888888889</v>
      </c>
      <c r="J94" s="195">
        <v>9.3055555555555554</v>
      </c>
      <c r="K94" s="199">
        <v>0.96</v>
      </c>
      <c r="L94" s="199">
        <v>26.23</v>
      </c>
      <c r="M94" s="199">
        <v>15.14</v>
      </c>
      <c r="N94" s="202">
        <v>1489</v>
      </c>
      <c r="O94" s="202">
        <v>42987</v>
      </c>
      <c r="P94" s="202">
        <v>25874</v>
      </c>
      <c r="Q94" s="191" t="s">
        <v>20</v>
      </c>
      <c r="R94" s="191"/>
      <c r="S94" s="8" t="s">
        <v>30</v>
      </c>
      <c r="T94" s="8" t="s">
        <v>368</v>
      </c>
      <c r="U94" s="191" t="s">
        <v>686</v>
      </c>
      <c r="W94">
        <v>10</v>
      </c>
      <c r="X94" t="s">
        <v>2052</v>
      </c>
      <c r="Y94">
        <f t="shared" si="3"/>
        <v>212</v>
      </c>
      <c r="Z94" t="str">
        <f t="shared" si="4"/>
        <v>C44-10</v>
      </c>
      <c r="AB94" s="242">
        <v>248</v>
      </c>
      <c r="AC94" s="238" t="s">
        <v>2116</v>
      </c>
    </row>
    <row r="95" spans="1:32">
      <c r="A95" s="248" t="s">
        <v>268</v>
      </c>
      <c r="B95" s="251" t="str">
        <f>Texte!$B$235</f>
        <v>Tetto piano, lamiera grecata, isolamento in EPS, calpestabile (BTK)</v>
      </c>
      <c r="C95" s="248" t="s">
        <v>594</v>
      </c>
      <c r="D95" s="248" t="s">
        <v>595</v>
      </c>
      <c r="E95" s="248" t="s">
        <v>255</v>
      </c>
      <c r="F95" s="248" t="s">
        <v>30</v>
      </c>
      <c r="G95" s="193">
        <f>(I95+J95)/H95</f>
        <v>38.180518035912918</v>
      </c>
      <c r="H95" s="195">
        <v>17.480555555555554</v>
      </c>
      <c r="I95" s="195">
        <v>657.83333333333326</v>
      </c>
      <c r="J95" s="195">
        <v>9.5833333333333339</v>
      </c>
      <c r="K95" s="199">
        <v>4.4000000000000004</v>
      </c>
      <c r="L95" s="199">
        <v>111.01</v>
      </c>
      <c r="M95" s="199">
        <v>52.79</v>
      </c>
      <c r="N95" s="202">
        <v>7011</v>
      </c>
      <c r="O95" s="202">
        <v>297673</v>
      </c>
      <c r="P95" s="202">
        <v>37769</v>
      </c>
      <c r="Q95" s="191" t="s">
        <v>20</v>
      </c>
      <c r="R95" s="191"/>
      <c r="S95" s="8" t="s">
        <v>30</v>
      </c>
      <c r="T95" s="8" t="s">
        <v>368</v>
      </c>
      <c r="U95" s="191" t="s">
        <v>686</v>
      </c>
      <c r="W95">
        <v>11</v>
      </c>
      <c r="X95" t="s">
        <v>2053</v>
      </c>
      <c r="Y95">
        <f t="shared" si="3"/>
        <v>213</v>
      </c>
      <c r="Z95" t="str">
        <f t="shared" si="4"/>
        <v>C44-11</v>
      </c>
      <c r="AB95">
        <v>249</v>
      </c>
      <c r="AC95" t="s">
        <v>2118</v>
      </c>
    </row>
    <row r="96" spans="1:32">
      <c r="A96" s="245" t="s">
        <v>268</v>
      </c>
      <c r="B96" s="251" t="str">
        <f>Texte!$B$302</f>
        <v>Soffitto in legno con rivestimento inferiore in gesso, isolato (SIA 2032)</v>
      </c>
      <c r="C96" s="245"/>
      <c r="D96" s="245"/>
      <c r="E96" s="245" t="s">
        <v>255</v>
      </c>
      <c r="F96" s="245" t="s">
        <v>30</v>
      </c>
      <c r="G96" s="8">
        <v>56</v>
      </c>
      <c r="H96" s="196">
        <v>25.199062450000003</v>
      </c>
      <c r="I96" s="196">
        <v>804.51391999999998</v>
      </c>
      <c r="J96" s="196">
        <v>8.9579184999999999</v>
      </c>
      <c r="K96" s="200">
        <v>5.7627076800000001</v>
      </c>
      <c r="L96" s="206">
        <v>168.413578</v>
      </c>
      <c r="M96" s="206">
        <v>14.578024899999999</v>
      </c>
      <c r="N96" s="202">
        <v>9273.5723500000004</v>
      </c>
      <c r="O96" s="202">
        <v>299634.32999999996</v>
      </c>
      <c r="P96" s="208">
        <v>11807.880499999999</v>
      </c>
      <c r="Q96" s="191" t="s">
        <v>20</v>
      </c>
      <c r="R96" s="8"/>
      <c r="S96" s="8" t="s">
        <v>30</v>
      </c>
      <c r="T96" s="8" t="s">
        <v>368</v>
      </c>
      <c r="U96" s="191" t="s">
        <v>796</v>
      </c>
      <c r="W96">
        <v>12</v>
      </c>
      <c r="X96" s="238" t="s">
        <v>2054</v>
      </c>
      <c r="Y96">
        <f t="shared" si="3"/>
        <v>280</v>
      </c>
      <c r="Z96" t="str">
        <f t="shared" si="4"/>
        <v>C44-12</v>
      </c>
      <c r="AA96" s="238"/>
      <c r="AB96">
        <v>250</v>
      </c>
      <c r="AC96" t="s">
        <v>2117</v>
      </c>
      <c r="AD96" s="238">
        <f>P96+P$147</f>
        <v>19179.880499999999</v>
      </c>
      <c r="AE96" s="238"/>
      <c r="AF96" s="238"/>
    </row>
    <row r="97" spans="1:30">
      <c r="A97" s="245" t="s">
        <v>268</v>
      </c>
      <c r="B97" s="251" t="str">
        <f>Texte!$B$303</f>
        <v>Costruzione in legno, tetto a falda, isolato (SIA 2032)</v>
      </c>
      <c r="C97" s="245"/>
      <c r="D97" s="245"/>
      <c r="E97" s="245" t="s">
        <v>255</v>
      </c>
      <c r="F97" s="245" t="s">
        <v>30</v>
      </c>
      <c r="G97" s="8">
        <v>50</v>
      </c>
      <c r="H97" s="196">
        <v>25.206535750000004</v>
      </c>
      <c r="I97" s="196">
        <v>785.30312000000004</v>
      </c>
      <c r="J97" s="196">
        <v>5.2954080000000001</v>
      </c>
      <c r="K97" s="200">
        <v>5.8077673299999999</v>
      </c>
      <c r="L97" s="206">
        <v>166.62011999999999</v>
      </c>
      <c r="M97" s="206">
        <v>13.539004</v>
      </c>
      <c r="N97" s="202">
        <v>8849.6643499999991</v>
      </c>
      <c r="O97" s="202">
        <v>270687</v>
      </c>
      <c r="P97" s="208">
        <v>9242.6</v>
      </c>
      <c r="Q97" s="191" t="s">
        <v>20</v>
      </c>
      <c r="R97" s="8"/>
      <c r="S97" s="8" t="s">
        <v>30</v>
      </c>
      <c r="T97" s="8" t="s">
        <v>368</v>
      </c>
      <c r="U97" s="191" t="s">
        <v>796</v>
      </c>
      <c r="W97">
        <v>13</v>
      </c>
      <c r="X97" s="238" t="s">
        <v>2055</v>
      </c>
      <c r="Y97">
        <f t="shared" si="3"/>
        <v>281</v>
      </c>
      <c r="Z97" t="str">
        <f t="shared" si="4"/>
        <v>C44-13</v>
      </c>
      <c r="AA97" s="238"/>
      <c r="AB97">
        <v>251</v>
      </c>
      <c r="AC97" t="s">
        <v>2119</v>
      </c>
      <c r="AD97" s="238"/>
    </row>
    <row r="98" spans="1:30">
      <c r="A98" s="245" t="s">
        <v>268</v>
      </c>
      <c r="B98" s="251" t="str">
        <f>Texte!$B$327</f>
        <v>Costruzione in legno, tetto a falda, non isolato (SIA 2032)</v>
      </c>
      <c r="C98" s="245"/>
      <c r="D98" s="245"/>
      <c r="E98" s="245" t="s">
        <v>255</v>
      </c>
      <c r="F98" s="245" t="s">
        <v>30</v>
      </c>
      <c r="G98" s="8">
        <v>50</v>
      </c>
      <c r="H98" s="196">
        <v>11.551852222222223</v>
      </c>
      <c r="I98" s="196">
        <v>334.89083333333338</v>
      </c>
      <c r="J98" s="196">
        <v>13.289941333333333</v>
      </c>
      <c r="K98" s="200">
        <v>3.5100179077777787</v>
      </c>
      <c r="L98" s="206">
        <v>67.380670000000009</v>
      </c>
      <c r="M98" s="206">
        <v>43.845971333333338</v>
      </c>
      <c r="N98" s="202">
        <v>3602.3870166666666</v>
      </c>
      <c r="O98" s="202">
        <v>96575.43333333332</v>
      </c>
      <c r="P98" s="208">
        <v>25935.846666666668</v>
      </c>
      <c r="Q98" s="8" t="s">
        <v>19</v>
      </c>
      <c r="R98" s="8"/>
      <c r="S98" s="8" t="s">
        <v>30</v>
      </c>
      <c r="T98" s="8" t="s">
        <v>368</v>
      </c>
      <c r="U98" s="191" t="s">
        <v>796</v>
      </c>
      <c r="W98">
        <v>14</v>
      </c>
      <c r="X98" s="238" t="s">
        <v>2056</v>
      </c>
      <c r="Y98">
        <f t="shared" si="3"/>
        <v>305</v>
      </c>
      <c r="Z98" t="str">
        <f t="shared" si="4"/>
        <v>C44-14</v>
      </c>
      <c r="AA98" s="238"/>
      <c r="AB98">
        <v>252</v>
      </c>
      <c r="AC98" t="s">
        <v>2122</v>
      </c>
      <c r="AD98" s="238"/>
    </row>
    <row r="99" spans="1:30">
      <c r="A99" s="245" t="s">
        <v>268</v>
      </c>
      <c r="B99" s="251" t="str">
        <f>Texte!$B$301</f>
        <v>Soffitto in lamiera profilata composita, isolato (SIA 2032)</v>
      </c>
      <c r="C99" s="245"/>
      <c r="D99" s="245"/>
      <c r="E99" s="245" t="s">
        <v>255</v>
      </c>
      <c r="F99" s="245" t="s">
        <v>30</v>
      </c>
      <c r="G99" s="8">
        <v>60</v>
      </c>
      <c r="H99" s="196">
        <v>27.84500606157113</v>
      </c>
      <c r="I99" s="196">
        <v>978.48240509554148</v>
      </c>
      <c r="J99" s="196">
        <v>17.067758598726112</v>
      </c>
      <c r="K99" s="200">
        <v>6.6384678407643314</v>
      </c>
      <c r="L99" s="206">
        <v>226.90008522292993</v>
      </c>
      <c r="M99" s="206">
        <v>14.173185222929936</v>
      </c>
      <c r="N99" s="202">
        <v>12431.179369426751</v>
      </c>
      <c r="O99" s="202">
        <v>492843.37745222927</v>
      </c>
      <c r="P99" s="208">
        <v>14133.384713375795</v>
      </c>
      <c r="Q99" s="191" t="s">
        <v>20</v>
      </c>
      <c r="R99" s="8"/>
      <c r="S99" s="8" t="s">
        <v>30</v>
      </c>
      <c r="T99" s="8" t="s">
        <v>368</v>
      </c>
      <c r="U99" s="191" t="s">
        <v>796</v>
      </c>
      <c r="W99">
        <v>15</v>
      </c>
      <c r="X99" s="238" t="s">
        <v>2057</v>
      </c>
      <c r="Y99">
        <f t="shared" si="3"/>
        <v>279</v>
      </c>
      <c r="Z99" t="str">
        <f t="shared" si="4"/>
        <v>C44-15</v>
      </c>
      <c r="AA99" s="238"/>
      <c r="AB99">
        <v>253</v>
      </c>
      <c r="AC99" t="s">
        <v>2123</v>
      </c>
      <c r="AD99" s="238">
        <f>P99+P$147</f>
        <v>21505.384713375795</v>
      </c>
    </row>
    <row r="100" spans="1:30">
      <c r="A100" s="248" t="s">
        <v>268</v>
      </c>
      <c r="B100" s="251" t="str">
        <f>Texte!$B$236</f>
        <v>Tetto a falde, elementi in legno, isolata (BTK)</v>
      </c>
      <c r="C100" s="248" t="s">
        <v>601</v>
      </c>
      <c r="D100" s="248" t="s">
        <v>600</v>
      </c>
      <c r="E100" s="248" t="s">
        <v>255</v>
      </c>
      <c r="F100" s="248" t="s">
        <v>30</v>
      </c>
      <c r="G100" s="193">
        <f>(I100+J100)/H100</f>
        <v>48.082026537997592</v>
      </c>
      <c r="H100" s="195">
        <v>4.6055555555555552</v>
      </c>
      <c r="I100" s="195">
        <v>217.94444444444446</v>
      </c>
      <c r="J100" s="195">
        <v>3.5</v>
      </c>
      <c r="K100" s="199">
        <v>1.21</v>
      </c>
      <c r="L100" s="199">
        <v>42.77</v>
      </c>
      <c r="M100" s="199">
        <v>14.07</v>
      </c>
      <c r="N100" s="202">
        <v>1473</v>
      </c>
      <c r="O100" s="202">
        <v>49837</v>
      </c>
      <c r="P100" s="202">
        <v>25204</v>
      </c>
      <c r="Q100" s="191" t="s">
        <v>20</v>
      </c>
      <c r="R100" s="191"/>
      <c r="S100" s="8" t="s">
        <v>30</v>
      </c>
      <c r="T100" s="8" t="s">
        <v>368</v>
      </c>
      <c r="U100" s="191" t="s">
        <v>686</v>
      </c>
      <c r="W100">
        <v>16</v>
      </c>
      <c r="X100" t="s">
        <v>2058</v>
      </c>
      <c r="Y100">
        <f t="shared" si="3"/>
        <v>214</v>
      </c>
      <c r="Z100" t="str">
        <f t="shared" si="4"/>
        <v>C44-16</v>
      </c>
      <c r="AB100">
        <v>254</v>
      </c>
      <c r="AC100" t="s">
        <v>2124</v>
      </c>
    </row>
    <row r="101" spans="1:30">
      <c r="A101" s="248" t="s">
        <v>268</v>
      </c>
      <c r="B101" s="251" t="str">
        <f>Texte!$B$237</f>
        <v>Tetto a falde, travetti in legno con isolamento interposto e isolamento aggiuntivo (BTK)</v>
      </c>
      <c r="C101" s="248" t="s">
        <v>596</v>
      </c>
      <c r="D101" s="248" t="s">
        <v>597</v>
      </c>
      <c r="E101" s="248" t="s">
        <v>255</v>
      </c>
      <c r="F101" s="248" t="s">
        <v>30</v>
      </c>
      <c r="G101" s="193">
        <f>(I101+J101)/H101</f>
        <v>39.528049866429207</v>
      </c>
      <c r="H101" s="195">
        <v>3.1194444444444445</v>
      </c>
      <c r="I101" s="195">
        <v>120.86111111111111</v>
      </c>
      <c r="J101" s="195">
        <v>2.4444444444444446</v>
      </c>
      <c r="K101" s="199">
        <v>0.82</v>
      </c>
      <c r="L101" s="199">
        <v>30.89</v>
      </c>
      <c r="M101" s="199">
        <v>1.54</v>
      </c>
      <c r="N101" s="202">
        <v>1159</v>
      </c>
      <c r="O101" s="202">
        <v>30470</v>
      </c>
      <c r="P101" s="202">
        <v>16273</v>
      </c>
      <c r="Q101" s="191" t="s">
        <v>20</v>
      </c>
      <c r="R101" s="191"/>
      <c r="S101" s="8" t="s">
        <v>30</v>
      </c>
      <c r="T101" s="8" t="s">
        <v>368</v>
      </c>
      <c r="U101" s="191" t="s">
        <v>686</v>
      </c>
      <c r="W101">
        <v>17</v>
      </c>
      <c r="X101" t="s">
        <v>2059</v>
      </c>
      <c r="Y101">
        <f t="shared" si="3"/>
        <v>215</v>
      </c>
      <c r="Z101" t="str">
        <f t="shared" si="4"/>
        <v>C44-17</v>
      </c>
      <c r="AB101">
        <v>255</v>
      </c>
      <c r="AC101" t="s">
        <v>2126</v>
      </c>
    </row>
    <row r="102" spans="1:30">
      <c r="A102" s="245" t="s">
        <v>269</v>
      </c>
      <c r="B102" s="251" t="str">
        <f>Texte!$B$322</f>
        <v>Sistema di scarico dell'aria di scarico cucina e bagno (SIA 2032)</v>
      </c>
      <c r="C102" s="245"/>
      <c r="D102" s="245"/>
      <c r="E102" s="245" t="s">
        <v>259</v>
      </c>
      <c r="F102" s="245" t="s">
        <v>30</v>
      </c>
      <c r="G102" s="8">
        <v>30</v>
      </c>
      <c r="H102" s="196">
        <v>0.50388333333333335</v>
      </c>
      <c r="I102" s="196">
        <v>15.1</v>
      </c>
      <c r="J102" s="196">
        <v>1.6500000000000001E-2</v>
      </c>
      <c r="K102" s="200">
        <v>0.11353333333333332</v>
      </c>
      <c r="L102" s="206">
        <v>3.28</v>
      </c>
      <c r="M102" s="206">
        <v>0.126</v>
      </c>
      <c r="N102" s="202">
        <v>445.52333333333331</v>
      </c>
      <c r="O102" s="202">
        <v>13300</v>
      </c>
      <c r="P102" s="208">
        <v>65.7</v>
      </c>
      <c r="Q102" s="8" t="s">
        <v>19</v>
      </c>
      <c r="R102" s="191" t="s">
        <v>284</v>
      </c>
      <c r="S102" s="8" t="s">
        <v>30</v>
      </c>
      <c r="T102" s="8" t="s">
        <v>2407</v>
      </c>
      <c r="U102" s="191" t="s">
        <v>796</v>
      </c>
      <c r="W102">
        <v>1</v>
      </c>
      <c r="X102" t="s">
        <v>2060</v>
      </c>
      <c r="Y102">
        <f t="shared" si="3"/>
        <v>300</v>
      </c>
      <c r="Z102" t="str">
        <f t="shared" si="4"/>
        <v>D-1</v>
      </c>
      <c r="AB102">
        <v>256</v>
      </c>
      <c r="AC102" t="s">
        <v>2125</v>
      </c>
    </row>
    <row r="103" spans="1:30">
      <c r="A103" s="248" t="s">
        <v>269</v>
      </c>
      <c r="B103" s="251" t="str">
        <f>Texte!$B$238</f>
        <v>Impianto di estrazione aria domestico, cucina e bagno</v>
      </c>
      <c r="C103" s="248" t="s">
        <v>713</v>
      </c>
      <c r="D103" s="249" t="s">
        <v>694</v>
      </c>
      <c r="E103" s="248" t="s">
        <v>259</v>
      </c>
      <c r="F103" s="248" t="s">
        <v>30</v>
      </c>
      <c r="G103" s="191">
        <v>30</v>
      </c>
      <c r="H103" s="196">
        <v>0.50388333333333335</v>
      </c>
      <c r="I103" s="196">
        <v>15.1</v>
      </c>
      <c r="J103" s="196">
        <v>1.6500000000000001E-2</v>
      </c>
      <c r="K103" s="200">
        <f>(L103+M103)/$G103</f>
        <v>0.11353333333333332</v>
      </c>
      <c r="L103" s="200">
        <v>3.28</v>
      </c>
      <c r="M103" s="200">
        <v>0.126</v>
      </c>
      <c r="N103" s="198">
        <f>(O103+P103)/$G103</f>
        <v>445.52333333333337</v>
      </c>
      <c r="O103" s="198">
        <v>13300</v>
      </c>
      <c r="P103" s="198">
        <v>65.7</v>
      </c>
      <c r="Q103" s="191" t="s">
        <v>19</v>
      </c>
      <c r="R103" s="191" t="s">
        <v>284</v>
      </c>
      <c r="S103" s="8" t="s">
        <v>30</v>
      </c>
      <c r="T103" s="8" t="s">
        <v>2407</v>
      </c>
      <c r="U103" s="191" t="s">
        <v>692</v>
      </c>
      <c r="W103">
        <v>2</v>
      </c>
      <c r="X103" t="s">
        <v>2061</v>
      </c>
      <c r="Y103">
        <f t="shared" si="3"/>
        <v>216</v>
      </c>
      <c r="Z103" t="str">
        <f t="shared" si="4"/>
        <v>D-2</v>
      </c>
      <c r="AB103">
        <v>257</v>
      </c>
      <c r="AC103" t="s">
        <v>2131</v>
      </c>
    </row>
    <row r="104" spans="1:30">
      <c r="A104" s="245" t="s">
        <v>269</v>
      </c>
      <c r="B104" s="251" t="str">
        <f>Texte!$B$315</f>
        <v>Ufficio impianti elettrici (SIA 2032)</v>
      </c>
      <c r="C104" s="245"/>
      <c r="D104" s="245"/>
      <c r="E104" s="245" t="s">
        <v>259</v>
      </c>
      <c r="F104" s="245" t="s">
        <v>30</v>
      </c>
      <c r="G104" s="8">
        <v>30</v>
      </c>
      <c r="H104" s="196">
        <v>3.7944</v>
      </c>
      <c r="I104" s="196">
        <v>113</v>
      </c>
      <c r="J104" s="196">
        <v>0.83199999999999996</v>
      </c>
      <c r="K104" s="200">
        <v>0.79499999999999993</v>
      </c>
      <c r="L104" s="206">
        <v>22.4</v>
      </c>
      <c r="M104" s="206">
        <v>1.45</v>
      </c>
      <c r="N104" s="202">
        <v>3896.6666666666665</v>
      </c>
      <c r="O104" s="202">
        <v>116000</v>
      </c>
      <c r="P104" s="208">
        <v>900</v>
      </c>
      <c r="Q104" s="8" t="s">
        <v>19</v>
      </c>
      <c r="R104" s="191" t="s">
        <v>284</v>
      </c>
      <c r="S104" s="8" t="s">
        <v>30</v>
      </c>
      <c r="T104" s="8" t="s">
        <v>2408</v>
      </c>
      <c r="U104" s="191" t="s">
        <v>796</v>
      </c>
      <c r="W104">
        <v>3</v>
      </c>
      <c r="X104" t="s">
        <v>2062</v>
      </c>
      <c r="Y104">
        <f t="shared" si="3"/>
        <v>293</v>
      </c>
      <c r="Z104" t="str">
        <f t="shared" si="4"/>
        <v>D-3</v>
      </c>
      <c r="AB104">
        <v>258</v>
      </c>
      <c r="AC104" t="s">
        <v>2130</v>
      </c>
    </row>
    <row r="105" spans="1:30">
      <c r="A105" s="245" t="s">
        <v>269</v>
      </c>
      <c r="B105" s="251" t="str">
        <f>Texte!$B$314</f>
        <v>Alloggiamento dell'impianto elettrico (SIA 2032)</v>
      </c>
      <c r="C105" s="245"/>
      <c r="D105" s="245"/>
      <c r="E105" s="245" t="s">
        <v>259</v>
      </c>
      <c r="F105" s="245" t="s">
        <v>30</v>
      </c>
      <c r="G105" s="8">
        <v>30</v>
      </c>
      <c r="H105" s="196">
        <v>1.8452333333333335</v>
      </c>
      <c r="I105" s="196">
        <v>54.6</v>
      </c>
      <c r="J105" s="196">
        <v>0.75700000000000001</v>
      </c>
      <c r="K105" s="200">
        <v>0.42333333333333334</v>
      </c>
      <c r="L105" s="206">
        <v>9.3000000000000007</v>
      </c>
      <c r="M105" s="206">
        <v>3.4</v>
      </c>
      <c r="N105" s="202">
        <v>1574</v>
      </c>
      <c r="O105" s="202">
        <v>45400</v>
      </c>
      <c r="P105" s="208">
        <v>1820</v>
      </c>
      <c r="Q105" s="8" t="s">
        <v>19</v>
      </c>
      <c r="R105" s="191" t="s">
        <v>284</v>
      </c>
      <c r="S105" s="8" t="s">
        <v>30</v>
      </c>
      <c r="T105" s="8" t="s">
        <v>2408</v>
      </c>
      <c r="U105" s="191" t="s">
        <v>796</v>
      </c>
      <c r="W105">
        <v>4</v>
      </c>
      <c r="X105" t="s">
        <v>2063</v>
      </c>
      <c r="Y105">
        <f t="shared" si="3"/>
        <v>292</v>
      </c>
      <c r="Z105" t="str">
        <f t="shared" si="4"/>
        <v>D-4</v>
      </c>
      <c r="AB105">
        <v>259</v>
      </c>
      <c r="AC105" t="s">
        <v>2195</v>
      </c>
    </row>
    <row r="106" spans="1:30">
      <c r="A106" s="248" t="s">
        <v>269</v>
      </c>
      <c r="B106" s="251" t="str">
        <f>Texte!$B$239</f>
        <v>Impianto elettrico ufficio</v>
      </c>
      <c r="C106" s="250" t="s">
        <v>718</v>
      </c>
      <c r="D106" s="249" t="s">
        <v>694</v>
      </c>
      <c r="E106" s="248" t="s">
        <v>259</v>
      </c>
      <c r="F106" s="248" t="s">
        <v>30</v>
      </c>
      <c r="G106" s="191">
        <v>30</v>
      </c>
      <c r="H106" s="196">
        <v>3.7944</v>
      </c>
      <c r="I106" s="196">
        <v>113</v>
      </c>
      <c r="J106" s="196">
        <v>0.83199999999999996</v>
      </c>
      <c r="K106" s="200">
        <f>(L106+M106)/$G106</f>
        <v>0.79499999999999993</v>
      </c>
      <c r="L106" s="200">
        <v>22.4</v>
      </c>
      <c r="M106" s="200">
        <v>1.45</v>
      </c>
      <c r="N106" s="198">
        <f>(O106+P106)/$G106</f>
        <v>3896.6666666666665</v>
      </c>
      <c r="O106" s="198">
        <v>116000</v>
      </c>
      <c r="P106" s="198">
        <v>900</v>
      </c>
      <c r="Q106" s="191" t="s">
        <v>19</v>
      </c>
      <c r="R106" s="191" t="s">
        <v>284</v>
      </c>
      <c r="S106" s="8" t="s">
        <v>30</v>
      </c>
      <c r="T106" s="8" t="s">
        <v>2408</v>
      </c>
      <c r="U106" s="191" t="s">
        <v>692</v>
      </c>
      <c r="W106">
        <v>5</v>
      </c>
      <c r="X106" t="s">
        <v>2064</v>
      </c>
      <c r="Y106">
        <f t="shared" si="3"/>
        <v>217</v>
      </c>
      <c r="Z106" t="str">
        <f t="shared" si="4"/>
        <v>D-5</v>
      </c>
      <c r="AB106">
        <v>260</v>
      </c>
      <c r="AC106" t="s">
        <v>2194</v>
      </c>
    </row>
    <row r="107" spans="1:30">
      <c r="A107" s="248" t="s">
        <v>269</v>
      </c>
      <c r="B107" s="251" t="str">
        <f>Texte!$B$240</f>
        <v>Impianto elettrico abitazione</v>
      </c>
      <c r="C107" s="250" t="s">
        <v>717</v>
      </c>
      <c r="D107" s="249" t="s">
        <v>694</v>
      </c>
      <c r="E107" s="248" t="s">
        <v>259</v>
      </c>
      <c r="F107" s="248" t="s">
        <v>30</v>
      </c>
      <c r="G107" s="191">
        <v>30</v>
      </c>
      <c r="H107" s="196">
        <v>1.8452333333333333</v>
      </c>
      <c r="I107" s="196">
        <v>54.6</v>
      </c>
      <c r="J107" s="196">
        <v>0.75700000000000001</v>
      </c>
      <c r="K107" s="200">
        <f>(L107+M107)/$G107</f>
        <v>0.42333333333333339</v>
      </c>
      <c r="L107" s="200">
        <v>9.3000000000000007</v>
      </c>
      <c r="M107" s="200">
        <v>3.4</v>
      </c>
      <c r="N107" s="198">
        <f>(O107+P107)/$G107</f>
        <v>1574</v>
      </c>
      <c r="O107" s="198">
        <v>45400</v>
      </c>
      <c r="P107" s="198">
        <v>1820</v>
      </c>
      <c r="Q107" s="191" t="s">
        <v>19</v>
      </c>
      <c r="R107" s="191" t="s">
        <v>284</v>
      </c>
      <c r="S107" s="8" t="s">
        <v>30</v>
      </c>
      <c r="T107" s="8" t="s">
        <v>2408</v>
      </c>
      <c r="U107" s="191" t="s">
        <v>692</v>
      </c>
      <c r="W107">
        <v>6</v>
      </c>
      <c r="X107" t="s">
        <v>2065</v>
      </c>
      <c r="Y107">
        <f t="shared" si="3"/>
        <v>218</v>
      </c>
      <c r="Z107" t="str">
        <f t="shared" si="4"/>
        <v>D-6</v>
      </c>
      <c r="AB107" s="242">
        <v>261</v>
      </c>
      <c r="AC107" s="238" t="s">
        <v>2142</v>
      </c>
    </row>
    <row r="108" spans="1:30">
      <c r="A108" s="248" t="s">
        <v>269</v>
      </c>
      <c r="B108" s="251" t="str">
        <f>Texte!$B$241</f>
        <v>Sonde geotermiche, per pompa di calore salamoia-acqua</v>
      </c>
      <c r="C108" s="248" t="s">
        <v>704</v>
      </c>
      <c r="D108" s="249" t="s">
        <v>694</v>
      </c>
      <c r="E108" s="248" t="s">
        <v>690</v>
      </c>
      <c r="F108" s="248" t="s">
        <v>190</v>
      </c>
      <c r="G108" s="191">
        <v>40</v>
      </c>
      <c r="H108" s="196">
        <v>3.2619999999999996</v>
      </c>
      <c r="I108" s="195">
        <v>129</v>
      </c>
      <c r="J108" s="195">
        <v>1.48</v>
      </c>
      <c r="K108" s="200">
        <f>(L108+M108)/$G108</f>
        <v>0.70074999999999998</v>
      </c>
      <c r="L108" s="199">
        <v>25.3</v>
      </c>
      <c r="M108" s="199">
        <v>2.73</v>
      </c>
      <c r="N108" s="198">
        <f>(O108+P108)/$G108</f>
        <v>865</v>
      </c>
      <c r="O108" s="202">
        <v>30500</v>
      </c>
      <c r="P108" s="202">
        <v>4100</v>
      </c>
      <c r="Q108" s="191" t="s">
        <v>19</v>
      </c>
      <c r="R108" s="191" t="s">
        <v>1790</v>
      </c>
      <c r="S108" s="8" t="s">
        <v>190</v>
      </c>
      <c r="T108" s="8" t="s">
        <v>2410</v>
      </c>
      <c r="U108" s="191" t="s">
        <v>692</v>
      </c>
      <c r="W108">
        <v>7</v>
      </c>
      <c r="X108" t="s">
        <v>2066</v>
      </c>
      <c r="Y108">
        <f t="shared" si="3"/>
        <v>219</v>
      </c>
      <c r="Z108" t="str">
        <f t="shared" si="4"/>
        <v>D-7</v>
      </c>
      <c r="AB108" s="242">
        <v>262</v>
      </c>
      <c r="AC108" s="238" t="s">
        <v>2143</v>
      </c>
    </row>
    <row r="109" spans="1:30">
      <c r="A109" s="245" t="s">
        <v>269</v>
      </c>
      <c r="B109" s="251" t="str">
        <f>Texte!$B$320</f>
        <v>Sonde geotermiche (SIA 2032)</v>
      </c>
      <c r="C109" s="245"/>
      <c r="D109" s="245"/>
      <c r="E109" s="245" t="s">
        <v>259</v>
      </c>
      <c r="F109" s="245" t="s">
        <v>30</v>
      </c>
      <c r="G109" s="8">
        <v>40</v>
      </c>
      <c r="H109" s="196">
        <v>1.631</v>
      </c>
      <c r="I109" s="196">
        <v>64.5</v>
      </c>
      <c r="J109" s="196">
        <v>0.74</v>
      </c>
      <c r="K109" s="200">
        <v>0.35037500000000005</v>
      </c>
      <c r="L109" s="206">
        <v>12.65</v>
      </c>
      <c r="M109" s="206">
        <v>1.365</v>
      </c>
      <c r="N109" s="202">
        <v>432.5</v>
      </c>
      <c r="O109" s="202">
        <v>15250</v>
      </c>
      <c r="P109" s="208">
        <v>2050</v>
      </c>
      <c r="Q109" s="8" t="s">
        <v>19</v>
      </c>
      <c r="R109" s="191" t="s">
        <v>284</v>
      </c>
      <c r="S109" s="8" t="s">
        <v>30</v>
      </c>
      <c r="T109" s="8" t="s">
        <v>2410</v>
      </c>
      <c r="U109" s="191" t="s">
        <v>796</v>
      </c>
      <c r="W109">
        <v>8</v>
      </c>
      <c r="X109" t="s">
        <v>2067</v>
      </c>
      <c r="Y109">
        <f t="shared" si="3"/>
        <v>298</v>
      </c>
      <c r="Z109" t="str">
        <f t="shared" si="4"/>
        <v>D-8</v>
      </c>
      <c r="AB109" s="242">
        <v>263</v>
      </c>
      <c r="AC109" s="238" t="s">
        <v>2144</v>
      </c>
    </row>
    <row r="110" spans="1:30">
      <c r="A110" s="248" t="s">
        <v>269</v>
      </c>
      <c r="B110" s="251" t="str">
        <f>Texte!$B$242</f>
        <v>Collettore solare piano per il riscaldamento e l'acqua calda casa monofamiliare</v>
      </c>
      <c r="C110" s="248" t="s">
        <v>706</v>
      </c>
      <c r="D110" s="249" t="s">
        <v>694</v>
      </c>
      <c r="E110" s="248" t="s">
        <v>691</v>
      </c>
      <c r="F110" s="248" t="s">
        <v>30</v>
      </c>
      <c r="G110" s="191">
        <v>30</v>
      </c>
      <c r="H110" s="196">
        <v>27.466666666666665</v>
      </c>
      <c r="I110" s="195">
        <v>824</v>
      </c>
      <c r="J110" s="195">
        <v>0</v>
      </c>
      <c r="K110" s="200">
        <f>(L110+M110)/$G110</f>
        <v>6.1333333333333337</v>
      </c>
      <c r="L110" s="199">
        <v>184</v>
      </c>
      <c r="M110" s="199">
        <v>0</v>
      </c>
      <c r="N110" s="198">
        <f>(O110+P110)/$G110</f>
        <v>15066.666666666666</v>
      </c>
      <c r="O110" s="202">
        <v>452000</v>
      </c>
      <c r="P110" s="202">
        <v>0</v>
      </c>
      <c r="Q110" s="191" t="s">
        <v>19</v>
      </c>
      <c r="R110" s="191"/>
      <c r="S110" s="8" t="s">
        <v>30</v>
      </c>
      <c r="T110" s="8" t="s">
        <v>2411</v>
      </c>
      <c r="U110" s="191" t="s">
        <v>692</v>
      </c>
      <c r="W110">
        <v>9</v>
      </c>
      <c r="X110" t="s">
        <v>2068</v>
      </c>
      <c r="Y110">
        <f t="shared" si="3"/>
        <v>220</v>
      </c>
      <c r="Z110" t="str">
        <f t="shared" si="4"/>
        <v>D-9</v>
      </c>
      <c r="AB110">
        <v>264</v>
      </c>
      <c r="AC110" t="s">
        <v>2145</v>
      </c>
    </row>
    <row r="111" spans="1:30">
      <c r="A111" s="248" t="s">
        <v>269</v>
      </c>
      <c r="B111" s="251" t="str">
        <f>Texte!$B$243</f>
        <v>Collettore solare piano per l'acqua calda casa monofamiliare</v>
      </c>
      <c r="C111" s="248" t="s">
        <v>705</v>
      </c>
      <c r="D111" s="249" t="s">
        <v>694</v>
      </c>
      <c r="E111" s="248" t="s">
        <v>691</v>
      </c>
      <c r="F111" s="248" t="s">
        <v>30</v>
      </c>
      <c r="G111" s="191">
        <v>30</v>
      </c>
      <c r="H111" s="196">
        <v>38</v>
      </c>
      <c r="I111" s="195">
        <v>1140</v>
      </c>
      <c r="J111" s="195">
        <v>0</v>
      </c>
      <c r="K111" s="200">
        <f>(L111+M111)/$G111</f>
        <v>8.5333333333333332</v>
      </c>
      <c r="L111" s="199">
        <v>256</v>
      </c>
      <c r="M111" s="199">
        <v>0</v>
      </c>
      <c r="N111" s="198">
        <f>(O111+P111)/$G111</f>
        <v>22533.333333333332</v>
      </c>
      <c r="O111" s="202">
        <v>676000</v>
      </c>
      <c r="P111" s="202">
        <v>0</v>
      </c>
      <c r="Q111" s="191" t="s">
        <v>19</v>
      </c>
      <c r="R111" s="191"/>
      <c r="S111" s="8" t="s">
        <v>30</v>
      </c>
      <c r="T111" s="8" t="s">
        <v>2411</v>
      </c>
      <c r="U111" s="191" t="s">
        <v>692</v>
      </c>
      <c r="W111">
        <v>10</v>
      </c>
      <c r="X111" t="s">
        <v>2069</v>
      </c>
      <c r="Y111">
        <f t="shared" si="3"/>
        <v>221</v>
      </c>
      <c r="Z111" t="str">
        <f t="shared" si="4"/>
        <v>D-10</v>
      </c>
      <c r="AB111">
        <v>265</v>
      </c>
      <c r="AC111" t="s">
        <v>2137</v>
      </c>
    </row>
    <row r="112" spans="1:30">
      <c r="A112" s="248" t="s">
        <v>269</v>
      </c>
      <c r="B112" s="251" t="str">
        <f>Texte!$B$244</f>
        <v>Collettore solare piano per l'acqua calda casa plurifamiliare</v>
      </c>
      <c r="C112" s="248" t="s">
        <v>707</v>
      </c>
      <c r="D112" s="249" t="s">
        <v>694</v>
      </c>
      <c r="E112" s="248" t="s">
        <v>691</v>
      </c>
      <c r="F112" s="248" t="s">
        <v>30</v>
      </c>
      <c r="G112" s="191">
        <v>30</v>
      </c>
      <c r="H112" s="196">
        <v>23.166666666666668</v>
      </c>
      <c r="I112" s="195">
        <v>695</v>
      </c>
      <c r="J112" s="195">
        <v>0</v>
      </c>
      <c r="K112" s="200">
        <f>(L112+M112)/$G112</f>
        <v>5.166666666666667</v>
      </c>
      <c r="L112" s="199">
        <v>155</v>
      </c>
      <c r="M112" s="199">
        <v>0</v>
      </c>
      <c r="N112" s="198">
        <f>(O112+P112)/$G112</f>
        <v>13133.333333333334</v>
      </c>
      <c r="O112" s="202">
        <v>394000</v>
      </c>
      <c r="P112" s="202">
        <v>0</v>
      </c>
      <c r="Q112" s="191" t="s">
        <v>19</v>
      </c>
      <c r="R112" s="191"/>
      <c r="S112" s="8" t="s">
        <v>30</v>
      </c>
      <c r="T112" s="8" t="s">
        <v>2411</v>
      </c>
      <c r="U112" s="191" t="s">
        <v>692</v>
      </c>
      <c r="W112">
        <v>11</v>
      </c>
      <c r="X112" t="s">
        <v>2070</v>
      </c>
      <c r="Y112">
        <f t="shared" si="3"/>
        <v>222</v>
      </c>
      <c r="Z112" t="str">
        <f t="shared" si="4"/>
        <v>D-11</v>
      </c>
      <c r="AB112">
        <v>266</v>
      </c>
      <c r="AC112" t="s">
        <v>2138</v>
      </c>
    </row>
    <row r="113" spans="1:29">
      <c r="A113" s="248" t="s">
        <v>269</v>
      </c>
      <c r="B113" s="251" t="str">
        <f>Texte!$B$245</f>
        <v>Impianto di ventilazione ufficio (4 m3/h*m2)</v>
      </c>
      <c r="C113" s="248" t="s">
        <v>708</v>
      </c>
      <c r="D113" s="249" t="s">
        <v>694</v>
      </c>
      <c r="E113" s="248" t="s">
        <v>259</v>
      </c>
      <c r="F113" s="248" t="s">
        <v>30</v>
      </c>
      <c r="G113" s="191">
        <v>30</v>
      </c>
      <c r="H113" s="196">
        <v>3.7147999999999999</v>
      </c>
      <c r="I113" s="196">
        <v>111</v>
      </c>
      <c r="J113" s="196">
        <v>0.44400000000000001</v>
      </c>
      <c r="K113" s="200">
        <f>(L113+M113)/$G113</f>
        <v>0.86543333333333339</v>
      </c>
      <c r="L113" s="200">
        <v>25.2</v>
      </c>
      <c r="M113" s="200">
        <v>0.76300000000000001</v>
      </c>
      <c r="N113" s="198">
        <f>(O113+P113)/$G113</f>
        <v>2159.6</v>
      </c>
      <c r="O113" s="198">
        <v>64300</v>
      </c>
      <c r="P113" s="198">
        <v>488</v>
      </c>
      <c r="Q113" s="191" t="s">
        <v>19</v>
      </c>
      <c r="R113" s="191" t="s">
        <v>284</v>
      </c>
      <c r="S113" s="8" t="s">
        <v>30</v>
      </c>
      <c r="T113" s="8" t="s">
        <v>2407</v>
      </c>
      <c r="U113" s="191" t="s">
        <v>692</v>
      </c>
      <c r="W113">
        <v>12</v>
      </c>
      <c r="X113" t="s">
        <v>2071</v>
      </c>
      <c r="Y113">
        <f t="shared" si="3"/>
        <v>223</v>
      </c>
      <c r="Z113" t="str">
        <f t="shared" si="4"/>
        <v>D-12</v>
      </c>
      <c r="AB113">
        <v>267</v>
      </c>
      <c r="AC113" t="s">
        <v>2139</v>
      </c>
    </row>
    <row r="114" spans="1:29">
      <c r="A114" s="245" t="s">
        <v>269</v>
      </c>
      <c r="B114" s="251" t="str">
        <f>Texte!$B$324</f>
        <v>Sistema di ventilazione per uffici (SIA 2032)</v>
      </c>
      <c r="C114" s="245"/>
      <c r="D114" s="245"/>
      <c r="E114" s="245" t="s">
        <v>259</v>
      </c>
      <c r="F114" s="245" t="s">
        <v>30</v>
      </c>
      <c r="G114" s="8">
        <v>30</v>
      </c>
      <c r="H114" s="196">
        <v>3.08385</v>
      </c>
      <c r="I114" s="196">
        <v>92.15</v>
      </c>
      <c r="J114" s="196">
        <v>0.36549999999999999</v>
      </c>
      <c r="K114" s="200">
        <v>0.7174666666666667</v>
      </c>
      <c r="L114" s="206">
        <v>20.9</v>
      </c>
      <c r="M114" s="206">
        <v>0.624</v>
      </c>
      <c r="N114" s="202">
        <v>1791.6499999999999</v>
      </c>
      <c r="O114" s="202">
        <v>53350</v>
      </c>
      <c r="P114" s="208">
        <v>399.5</v>
      </c>
      <c r="Q114" s="8" t="s">
        <v>19</v>
      </c>
      <c r="R114" s="191" t="s">
        <v>284</v>
      </c>
      <c r="S114" s="8" t="s">
        <v>30</v>
      </c>
      <c r="T114" s="8" t="s">
        <v>2407</v>
      </c>
      <c r="U114" s="191" t="s">
        <v>796</v>
      </c>
      <c r="W114">
        <v>13</v>
      </c>
      <c r="X114" t="s">
        <v>2072</v>
      </c>
      <c r="Y114">
        <f t="shared" si="3"/>
        <v>302</v>
      </c>
      <c r="Z114" t="str">
        <f t="shared" si="4"/>
        <v>D-13</v>
      </c>
      <c r="AB114" s="242">
        <v>268</v>
      </c>
      <c r="AC114" s="238" t="s">
        <v>2140</v>
      </c>
    </row>
    <row r="115" spans="1:29">
      <c r="A115" s="248" t="s">
        <v>269</v>
      </c>
      <c r="B115" s="251" t="str">
        <f>Texte!$B$246</f>
        <v>Impianto di ventilazione scuola, sala riunioni (8 m3/h*m2)</v>
      </c>
      <c r="C115" s="248" t="s">
        <v>710</v>
      </c>
      <c r="D115" s="249" t="s">
        <v>694</v>
      </c>
      <c r="E115" s="248" t="s">
        <v>259</v>
      </c>
      <c r="F115" s="248" t="s">
        <v>30</v>
      </c>
      <c r="G115" s="191">
        <v>30</v>
      </c>
      <c r="H115" s="196">
        <v>6.2586000000000004</v>
      </c>
      <c r="I115" s="196">
        <v>187</v>
      </c>
      <c r="J115" s="196">
        <v>0.75800000000000001</v>
      </c>
      <c r="K115" s="200">
        <f>(L115+M115)/$G115</f>
        <v>1.454</v>
      </c>
      <c r="L115" s="200">
        <v>42.3</v>
      </c>
      <c r="M115" s="200">
        <v>1.32</v>
      </c>
      <c r="N115" s="198">
        <f>(O115+P115)/$G115</f>
        <v>3628.1</v>
      </c>
      <c r="O115" s="198">
        <v>108000</v>
      </c>
      <c r="P115" s="198">
        <v>843</v>
      </c>
      <c r="Q115" s="191" t="s">
        <v>19</v>
      </c>
      <c r="R115" s="191" t="s">
        <v>284</v>
      </c>
      <c r="S115" s="8" t="s">
        <v>30</v>
      </c>
      <c r="T115" s="8" t="s">
        <v>2407</v>
      </c>
      <c r="U115" s="191" t="s">
        <v>692</v>
      </c>
      <c r="W115">
        <v>14</v>
      </c>
      <c r="X115" t="s">
        <v>2073</v>
      </c>
      <c r="Y115">
        <f t="shared" si="3"/>
        <v>224</v>
      </c>
      <c r="Z115" t="str">
        <f t="shared" si="4"/>
        <v>D-14</v>
      </c>
      <c r="AB115" s="242">
        <v>269</v>
      </c>
      <c r="AC115" s="238" t="s">
        <v>2141</v>
      </c>
    </row>
    <row r="116" spans="1:29">
      <c r="A116" s="245" t="s">
        <v>269</v>
      </c>
      <c r="B116" s="251" t="str">
        <f>Texte!$B$323</f>
        <v>Sistema di ventilazione per edifici residenziali (SIA 2032)</v>
      </c>
      <c r="C116" s="245"/>
      <c r="D116" s="245"/>
      <c r="E116" s="245" t="s">
        <v>259</v>
      </c>
      <c r="F116" s="245" t="s">
        <v>30</v>
      </c>
      <c r="G116" s="8">
        <v>30</v>
      </c>
      <c r="H116" s="196">
        <v>1.8169333333333331</v>
      </c>
      <c r="I116" s="196">
        <v>54.3</v>
      </c>
      <c r="J116" s="196">
        <v>0.20799999999999999</v>
      </c>
      <c r="K116" s="200">
        <v>0.42150000000000004</v>
      </c>
      <c r="L116" s="206">
        <v>12.3</v>
      </c>
      <c r="M116" s="206">
        <v>0.34499999999999997</v>
      </c>
      <c r="N116" s="202">
        <v>1054.0666666666668</v>
      </c>
      <c r="O116" s="202">
        <v>31400</v>
      </c>
      <c r="P116" s="208">
        <v>222</v>
      </c>
      <c r="Q116" s="8" t="s">
        <v>19</v>
      </c>
      <c r="R116" s="191" t="s">
        <v>284</v>
      </c>
      <c r="S116" s="8" t="s">
        <v>30</v>
      </c>
      <c r="T116" s="8" t="s">
        <v>2407</v>
      </c>
      <c r="U116" s="191" t="s">
        <v>796</v>
      </c>
      <c r="W116">
        <v>15</v>
      </c>
      <c r="X116" t="s">
        <v>2074</v>
      </c>
      <c r="Y116">
        <f t="shared" si="3"/>
        <v>301</v>
      </c>
      <c r="Z116" t="str">
        <f t="shared" si="4"/>
        <v>D-15</v>
      </c>
      <c r="AB116">
        <v>270</v>
      </c>
      <c r="AC116" t="s">
        <v>2148</v>
      </c>
    </row>
    <row r="117" spans="1:29">
      <c r="A117" s="248" t="s">
        <v>269</v>
      </c>
      <c r="B117" s="251" t="str">
        <f>Texte!$B$247</f>
        <v>Impianto di ventilazione abitazione, canali in lamiera, incluso cappa cucina</v>
      </c>
      <c r="C117" s="248" t="s">
        <v>711</v>
      </c>
      <c r="D117" s="249" t="s">
        <v>694</v>
      </c>
      <c r="E117" s="248" t="s">
        <v>259</v>
      </c>
      <c r="F117" s="248" t="s">
        <v>30</v>
      </c>
      <c r="G117" s="191">
        <v>30</v>
      </c>
      <c r="H117" s="196">
        <v>1.7761033333333336</v>
      </c>
      <c r="I117" s="196">
        <v>53.2</v>
      </c>
      <c r="J117" s="196">
        <v>8.3099999999999993E-2</v>
      </c>
      <c r="K117" s="200">
        <f>(L117+M117)/$G117</f>
        <v>0.39996666666666664</v>
      </c>
      <c r="L117" s="200">
        <v>11.7</v>
      </c>
      <c r="M117" s="200">
        <v>0.29899999999999999</v>
      </c>
      <c r="N117" s="198">
        <f>(O117+P117)/$G117</f>
        <v>1506.0666666666666</v>
      </c>
      <c r="O117" s="198">
        <v>45000</v>
      </c>
      <c r="P117" s="198">
        <v>182</v>
      </c>
      <c r="Q117" s="191" t="s">
        <v>19</v>
      </c>
      <c r="R117" s="191" t="s">
        <v>284</v>
      </c>
      <c r="S117" s="8" t="s">
        <v>30</v>
      </c>
      <c r="T117" s="8" t="s">
        <v>2407</v>
      </c>
      <c r="U117" s="191" t="s">
        <v>692</v>
      </c>
      <c r="W117">
        <v>16</v>
      </c>
      <c r="X117" t="s">
        <v>2075</v>
      </c>
      <c r="Y117">
        <f t="shared" si="3"/>
        <v>225</v>
      </c>
      <c r="Z117" t="str">
        <f t="shared" si="4"/>
        <v>D-16</v>
      </c>
      <c r="AB117">
        <v>271</v>
      </c>
      <c r="AC117" t="s">
        <v>2149</v>
      </c>
    </row>
    <row r="118" spans="1:29">
      <c r="A118" s="248" t="s">
        <v>269</v>
      </c>
      <c r="B118" s="251" t="str">
        <f>Texte!$B$248</f>
        <v>Impianto di ventilazione abitazione, canali in PE, incluso cappa cucina</v>
      </c>
      <c r="C118" s="248" t="s">
        <v>712</v>
      </c>
      <c r="D118" s="249" t="s">
        <v>694</v>
      </c>
      <c r="E118" s="248" t="s">
        <v>259</v>
      </c>
      <c r="F118" s="248" t="s">
        <v>30</v>
      </c>
      <c r="G118" s="191">
        <v>30</v>
      </c>
      <c r="H118" s="196">
        <v>1.0891433333333334</v>
      </c>
      <c r="I118" s="196">
        <v>32.6</v>
      </c>
      <c r="J118" s="196">
        <v>7.4300000000000005E-2</v>
      </c>
      <c r="K118" s="200">
        <f>(L118+M118)/$G118</f>
        <v>0.24413333333333334</v>
      </c>
      <c r="L118" s="200">
        <v>6.6</v>
      </c>
      <c r="M118" s="200">
        <v>0.72399999999999998</v>
      </c>
      <c r="N118" s="198">
        <f>(O118+P118)/$G118</f>
        <v>732.36666666666667</v>
      </c>
      <c r="O118" s="198">
        <v>21600</v>
      </c>
      <c r="P118" s="198">
        <v>371</v>
      </c>
      <c r="Q118" s="191" t="s">
        <v>19</v>
      </c>
      <c r="R118" s="191" t="s">
        <v>284</v>
      </c>
      <c r="S118" s="8" t="s">
        <v>30</v>
      </c>
      <c r="T118" s="8" t="s">
        <v>2407</v>
      </c>
      <c r="U118" s="191" t="s">
        <v>692</v>
      </c>
      <c r="W118">
        <v>17</v>
      </c>
      <c r="X118" t="s">
        <v>2076</v>
      </c>
      <c r="Y118">
        <f t="shared" si="3"/>
        <v>226</v>
      </c>
      <c r="Z118" t="str">
        <f t="shared" si="4"/>
        <v>D-17</v>
      </c>
      <c r="AB118">
        <v>272</v>
      </c>
      <c r="AC118" t="s">
        <v>2150</v>
      </c>
    </row>
    <row r="119" spans="1:29">
      <c r="A119" s="248" t="s">
        <v>269</v>
      </c>
      <c r="B119" s="251" t="str">
        <f>Texte!$B$249</f>
        <v>Impianto di ventilazione, flusso d'aria specifico 6 m3/hm2 SRE</v>
      </c>
      <c r="C119" s="248" t="s">
        <v>709</v>
      </c>
      <c r="D119" s="249" t="s">
        <v>694</v>
      </c>
      <c r="E119" s="248" t="s">
        <v>259</v>
      </c>
      <c r="F119" s="248" t="s">
        <v>30</v>
      </c>
      <c r="G119" s="191">
        <v>30</v>
      </c>
      <c r="H119" s="196">
        <v>4.9866999999999999</v>
      </c>
      <c r="I119" s="196">
        <v>149</v>
      </c>
      <c r="J119" s="196">
        <v>0.60099999999999998</v>
      </c>
      <c r="K119" s="200">
        <f>(L119+M119)/$G119</f>
        <v>1.1580000000000001</v>
      </c>
      <c r="L119" s="200">
        <v>33.700000000000003</v>
      </c>
      <c r="M119" s="200">
        <v>1.04</v>
      </c>
      <c r="N119" s="198">
        <f>(O119+P119)/$G119</f>
        <v>2895.5333333333333</v>
      </c>
      <c r="O119" s="198">
        <v>86200</v>
      </c>
      <c r="P119" s="198">
        <v>666</v>
      </c>
      <c r="Q119" s="191" t="s">
        <v>19</v>
      </c>
      <c r="R119" s="191" t="s">
        <v>284</v>
      </c>
      <c r="S119" s="8" t="s">
        <v>30</v>
      </c>
      <c r="T119" s="8" t="s">
        <v>2407</v>
      </c>
      <c r="U119" s="191" t="s">
        <v>692</v>
      </c>
      <c r="W119">
        <v>18</v>
      </c>
      <c r="X119" t="s">
        <v>2077</v>
      </c>
      <c r="Y119">
        <f t="shared" si="3"/>
        <v>227</v>
      </c>
      <c r="Z119" t="str">
        <f t="shared" si="4"/>
        <v>D-18</v>
      </c>
      <c r="AB119">
        <v>273</v>
      </c>
      <c r="AC119" t="s">
        <v>2146</v>
      </c>
    </row>
    <row r="120" spans="1:29">
      <c r="A120" s="245" t="s">
        <v>269</v>
      </c>
      <c r="B120" s="251" t="str">
        <f>Texte!$B$326</f>
        <v>Impianto sanitario per uffici (SIA 2032)</v>
      </c>
      <c r="C120" s="245"/>
      <c r="D120" s="245"/>
      <c r="E120" s="245" t="s">
        <v>259</v>
      </c>
      <c r="F120" s="245" t="s">
        <v>30</v>
      </c>
      <c r="G120" s="8">
        <v>30</v>
      </c>
      <c r="H120" s="196">
        <v>1.1035833333333334</v>
      </c>
      <c r="I120" s="196">
        <v>32.799999999999997</v>
      </c>
      <c r="J120" s="196">
        <v>0.3075</v>
      </c>
      <c r="K120" s="200">
        <v>0.27150000000000002</v>
      </c>
      <c r="L120" s="206">
        <v>5.69</v>
      </c>
      <c r="M120" s="206">
        <v>2.4550000000000001</v>
      </c>
      <c r="N120" s="202">
        <v>427.11666666666667</v>
      </c>
      <c r="O120" s="202">
        <v>11545</v>
      </c>
      <c r="P120" s="208">
        <v>1268.5</v>
      </c>
      <c r="Q120" s="8" t="s">
        <v>19</v>
      </c>
      <c r="R120" s="191" t="s">
        <v>284</v>
      </c>
      <c r="S120" s="8" t="s">
        <v>30</v>
      </c>
      <c r="T120" s="8" t="s">
        <v>2409</v>
      </c>
      <c r="U120" s="191" t="s">
        <v>796</v>
      </c>
      <c r="W120">
        <v>19</v>
      </c>
      <c r="X120" t="s">
        <v>2078</v>
      </c>
      <c r="Y120">
        <f t="shared" si="3"/>
        <v>304</v>
      </c>
      <c r="Z120" t="str">
        <f t="shared" si="4"/>
        <v>D-19</v>
      </c>
      <c r="AB120">
        <v>274</v>
      </c>
      <c r="AC120" t="s">
        <v>2147</v>
      </c>
    </row>
    <row r="121" spans="1:29">
      <c r="A121" s="245" t="s">
        <v>269</v>
      </c>
      <c r="B121" s="251" t="str">
        <f>Texte!$B$325</f>
        <v>Impianto sanitario per edifici residenziali (SIA 2032)</v>
      </c>
      <c r="C121" s="245"/>
      <c r="D121" s="245"/>
      <c r="E121" s="245" t="s">
        <v>259</v>
      </c>
      <c r="F121" s="245" t="s">
        <v>30</v>
      </c>
      <c r="G121" s="8">
        <v>30</v>
      </c>
      <c r="H121" s="196">
        <v>1.6179000000000001</v>
      </c>
      <c r="I121" s="196">
        <v>48.2</v>
      </c>
      <c r="J121" s="196">
        <v>0.33700000000000002</v>
      </c>
      <c r="K121" s="200">
        <v>0.37866666666666671</v>
      </c>
      <c r="L121" s="206">
        <v>9.81</v>
      </c>
      <c r="M121" s="206">
        <v>1.55</v>
      </c>
      <c r="N121" s="202">
        <v>801.1</v>
      </c>
      <c r="O121" s="202">
        <v>23200</v>
      </c>
      <c r="P121" s="208">
        <v>833</v>
      </c>
      <c r="Q121" s="8" t="s">
        <v>19</v>
      </c>
      <c r="R121" s="191" t="s">
        <v>284</v>
      </c>
      <c r="S121" s="8" t="s">
        <v>30</v>
      </c>
      <c r="T121" s="8" t="s">
        <v>2409</v>
      </c>
      <c r="U121" s="191" t="s">
        <v>796</v>
      </c>
      <c r="W121">
        <v>20</v>
      </c>
      <c r="X121" t="s">
        <v>2079</v>
      </c>
      <c r="Y121">
        <f t="shared" si="3"/>
        <v>303</v>
      </c>
      <c r="Z121" t="str">
        <f t="shared" si="4"/>
        <v>D-20</v>
      </c>
      <c r="AB121">
        <v>275</v>
      </c>
      <c r="AC121" t="s">
        <v>2151</v>
      </c>
    </row>
    <row r="122" spans="1:29">
      <c r="A122" s="248" t="s">
        <v>269</v>
      </c>
      <c r="B122" s="251" t="str">
        <f>Texte!$B$250</f>
        <v>Impianti sanitari, ufficio, complesso, incluso apparecchi e tubazioni</v>
      </c>
      <c r="C122" s="248" t="s">
        <v>715</v>
      </c>
      <c r="D122" s="249" t="s">
        <v>694</v>
      </c>
      <c r="E122" s="248" t="s">
        <v>259</v>
      </c>
      <c r="F122" s="248" t="s">
        <v>30</v>
      </c>
      <c r="G122" s="191">
        <v>30</v>
      </c>
      <c r="H122" s="196">
        <v>1.5559333333333334</v>
      </c>
      <c r="I122" s="196">
        <v>46.2</v>
      </c>
      <c r="J122" s="196">
        <v>0.47799999999999998</v>
      </c>
      <c r="K122" s="200">
        <f>(L122+M122)/$G122</f>
        <v>0.39366666666666666</v>
      </c>
      <c r="L122" s="200">
        <v>8.0500000000000007</v>
      </c>
      <c r="M122" s="200">
        <v>3.76</v>
      </c>
      <c r="N122" s="198">
        <f>(O122+P122)/$G122</f>
        <v>621.66666666666663</v>
      </c>
      <c r="O122" s="198">
        <v>16700</v>
      </c>
      <c r="P122" s="198">
        <v>1950</v>
      </c>
      <c r="Q122" s="191" t="s">
        <v>19</v>
      </c>
      <c r="R122" s="191" t="s">
        <v>284</v>
      </c>
      <c r="S122" s="8" t="s">
        <v>30</v>
      </c>
      <c r="T122" s="8" t="s">
        <v>2409</v>
      </c>
      <c r="U122" s="191" t="s">
        <v>692</v>
      </c>
      <c r="W122">
        <v>21</v>
      </c>
      <c r="X122" t="s">
        <v>2080</v>
      </c>
      <c r="Y122">
        <f t="shared" si="3"/>
        <v>228</v>
      </c>
      <c r="Z122" t="str">
        <f t="shared" si="4"/>
        <v>D-21</v>
      </c>
      <c r="AB122">
        <v>276</v>
      </c>
      <c r="AC122" t="s">
        <v>2254</v>
      </c>
    </row>
    <row r="123" spans="1:29">
      <c r="A123" s="248" t="s">
        <v>269</v>
      </c>
      <c r="B123" s="251" t="str">
        <f>Texte!$B$251</f>
        <v>Impianti sanitari abitazione, semplice, incluso apparecchi e tubazioni</v>
      </c>
      <c r="C123" s="248" t="s">
        <v>714</v>
      </c>
      <c r="D123" s="249" t="s">
        <v>694</v>
      </c>
      <c r="E123" s="248" t="s">
        <v>259</v>
      </c>
      <c r="F123" s="248" t="s">
        <v>30</v>
      </c>
      <c r="G123" s="191">
        <v>30</v>
      </c>
      <c r="H123" s="196">
        <v>0.65123333333333333</v>
      </c>
      <c r="I123" s="196">
        <v>19.399999999999999</v>
      </c>
      <c r="J123" s="196">
        <v>0.13700000000000001</v>
      </c>
      <c r="K123" s="200">
        <f>(L123+M123)/$G123</f>
        <v>0.14933333333333335</v>
      </c>
      <c r="L123" s="200">
        <v>3.33</v>
      </c>
      <c r="M123" s="200">
        <v>1.1499999999999999</v>
      </c>
      <c r="N123" s="198">
        <f>(O123+P123)/$G123</f>
        <v>232.56666666666666</v>
      </c>
      <c r="O123" s="198">
        <v>6390</v>
      </c>
      <c r="P123" s="198">
        <v>587</v>
      </c>
      <c r="Q123" s="191" t="s">
        <v>19</v>
      </c>
      <c r="R123" s="191" t="s">
        <v>284</v>
      </c>
      <c r="S123" s="8" t="s">
        <v>30</v>
      </c>
      <c r="T123" s="8" t="s">
        <v>2409</v>
      </c>
      <c r="U123" s="191" t="s">
        <v>692</v>
      </c>
      <c r="W123">
        <v>22</v>
      </c>
      <c r="X123" t="s">
        <v>2081</v>
      </c>
      <c r="Y123">
        <f t="shared" si="3"/>
        <v>229</v>
      </c>
      <c r="Z123" t="str">
        <f t="shared" si="4"/>
        <v>D-22</v>
      </c>
      <c r="AB123">
        <v>277</v>
      </c>
      <c r="AC123" t="s">
        <v>2192</v>
      </c>
    </row>
    <row r="124" spans="1:29">
      <c r="A124" s="248" t="s">
        <v>269</v>
      </c>
      <c r="B124" s="251" t="str">
        <f>Texte!$B$252</f>
        <v>Impianti sanitari, abitazione, incluso apparecchi e tubazioni</v>
      </c>
      <c r="C124" s="248" t="s">
        <v>716</v>
      </c>
      <c r="D124" s="249" t="s">
        <v>694</v>
      </c>
      <c r="E124" s="248" t="s">
        <v>259</v>
      </c>
      <c r="F124" s="248" t="s">
        <v>30</v>
      </c>
      <c r="G124" s="191">
        <v>30</v>
      </c>
      <c r="H124" s="196">
        <v>1.6179000000000001</v>
      </c>
      <c r="I124" s="196">
        <v>48.2</v>
      </c>
      <c r="J124" s="196">
        <v>0.33700000000000002</v>
      </c>
      <c r="K124" s="200">
        <f>(L124+M124)/$G124</f>
        <v>0.37866666666666671</v>
      </c>
      <c r="L124" s="200">
        <v>9.81</v>
      </c>
      <c r="M124" s="200">
        <v>1.55</v>
      </c>
      <c r="N124" s="198">
        <f>(O124+P124)/$G124</f>
        <v>801.1</v>
      </c>
      <c r="O124" s="198">
        <v>23200</v>
      </c>
      <c r="P124" s="198">
        <v>833</v>
      </c>
      <c r="Q124" s="191" t="s">
        <v>19</v>
      </c>
      <c r="R124" s="191" t="s">
        <v>284</v>
      </c>
      <c r="S124" s="8" t="s">
        <v>30</v>
      </c>
      <c r="T124" s="8" t="s">
        <v>2409</v>
      </c>
      <c r="U124" s="191" t="s">
        <v>692</v>
      </c>
      <c r="W124">
        <v>23</v>
      </c>
      <c r="X124" t="s">
        <v>2082</v>
      </c>
      <c r="Y124">
        <f t="shared" si="3"/>
        <v>230</v>
      </c>
      <c r="Z124" t="str">
        <f t="shared" si="4"/>
        <v>D-23</v>
      </c>
      <c r="AB124">
        <v>278</v>
      </c>
      <c r="AC124" t="s">
        <v>2193</v>
      </c>
    </row>
    <row r="125" spans="1:29">
      <c r="A125" s="245" t="s">
        <v>269</v>
      </c>
      <c r="B125" s="251" t="str">
        <f>Texte!$B$321</f>
        <v>Collettori solari (SIA 2032)</v>
      </c>
      <c r="C125" s="245"/>
      <c r="D125" s="245"/>
      <c r="E125" s="245" t="s">
        <v>259</v>
      </c>
      <c r="F125" s="245" t="s">
        <v>30</v>
      </c>
      <c r="G125" s="8">
        <v>30</v>
      </c>
      <c r="H125" s="196">
        <v>23.166666666666668</v>
      </c>
      <c r="I125" s="196">
        <v>695</v>
      </c>
      <c r="J125" s="196">
        <v>0</v>
      </c>
      <c r="K125" s="200">
        <v>5.166666666666667</v>
      </c>
      <c r="L125" s="206">
        <v>155</v>
      </c>
      <c r="M125" s="206">
        <v>0</v>
      </c>
      <c r="N125" s="202">
        <v>13133.333333333334</v>
      </c>
      <c r="O125" s="202">
        <v>394000</v>
      </c>
      <c r="P125" s="208">
        <v>0</v>
      </c>
      <c r="Q125" s="8" t="s">
        <v>19</v>
      </c>
      <c r="R125" s="191"/>
      <c r="S125" s="8" t="s">
        <v>30</v>
      </c>
      <c r="T125" s="8" t="s">
        <v>2411</v>
      </c>
      <c r="U125" s="191" t="s">
        <v>796</v>
      </c>
      <c r="W125">
        <v>24</v>
      </c>
      <c r="X125" t="s">
        <v>2083</v>
      </c>
      <c r="Y125">
        <f t="shared" si="3"/>
        <v>299</v>
      </c>
      <c r="Z125" t="str">
        <f t="shared" si="4"/>
        <v>D-24</v>
      </c>
      <c r="AB125">
        <v>279</v>
      </c>
      <c r="AC125" t="s">
        <v>2206</v>
      </c>
    </row>
    <row r="126" spans="1:29">
      <c r="A126" s="245" t="s">
        <v>269</v>
      </c>
      <c r="B126" s="251" t="str">
        <f>Texte!$B$316</f>
        <v>Impianto solare (1 m2 = 0,14 kWp) (SIA 2032)</v>
      </c>
      <c r="C126" s="245"/>
      <c r="D126" s="245"/>
      <c r="E126" s="245" t="s">
        <v>259</v>
      </c>
      <c r="F126" s="245" t="s">
        <v>30</v>
      </c>
      <c r="G126" s="8">
        <v>30</v>
      </c>
      <c r="H126" s="196">
        <v>267.33333333333331</v>
      </c>
      <c r="I126" s="196">
        <v>8020</v>
      </c>
      <c r="J126" s="196">
        <v>0</v>
      </c>
      <c r="K126" s="200">
        <v>77.333333333333329</v>
      </c>
      <c r="L126" s="206">
        <v>2320</v>
      </c>
      <c r="M126" s="206">
        <v>0</v>
      </c>
      <c r="N126" s="202">
        <v>102333.33333333333</v>
      </c>
      <c r="O126" s="202">
        <v>3070000</v>
      </c>
      <c r="P126" s="208">
        <v>0</v>
      </c>
      <c r="Q126" s="8" t="s">
        <v>19</v>
      </c>
      <c r="R126" s="191"/>
      <c r="S126" s="8" t="s">
        <v>30</v>
      </c>
      <c r="T126" s="8" t="s">
        <v>2412</v>
      </c>
      <c r="U126" s="191" t="s">
        <v>796</v>
      </c>
      <c r="W126">
        <v>25</v>
      </c>
      <c r="X126" t="s">
        <v>2084</v>
      </c>
      <c r="Y126">
        <f t="shared" si="3"/>
        <v>294</v>
      </c>
      <c r="Z126" t="str">
        <f t="shared" si="4"/>
        <v>D-25</v>
      </c>
      <c r="AB126">
        <v>280</v>
      </c>
      <c r="AC126" t="s">
        <v>2203</v>
      </c>
    </row>
    <row r="127" spans="1:29">
      <c r="A127" s="248" t="s">
        <v>269</v>
      </c>
      <c r="B127" s="251" t="str">
        <f>Texte!$B$253</f>
        <v>Impianto fotovoltaico in facciata</v>
      </c>
      <c r="C127" s="250" t="s">
        <v>721</v>
      </c>
      <c r="D127" s="249" t="s">
        <v>694</v>
      </c>
      <c r="E127" s="248" t="s">
        <v>693</v>
      </c>
      <c r="F127" s="248" t="s">
        <v>260</v>
      </c>
      <c r="G127" s="191">
        <v>30</v>
      </c>
      <c r="H127" s="196">
        <v>248.66666666666666</v>
      </c>
      <c r="I127" s="196">
        <v>7460</v>
      </c>
      <c r="J127" s="197">
        <v>0</v>
      </c>
      <c r="K127" s="200">
        <f t="shared" ref="K127:K135" si="5">(L127+M127)/$G127</f>
        <v>71.333333333333329</v>
      </c>
      <c r="L127" s="200">
        <v>2140</v>
      </c>
      <c r="M127" s="201">
        <v>0</v>
      </c>
      <c r="N127" s="198">
        <f t="shared" ref="N127:N135" si="6">(O127+P127)/$G127</f>
        <v>105666.66666666667</v>
      </c>
      <c r="O127" s="198">
        <v>3170000</v>
      </c>
      <c r="P127" s="203">
        <v>0</v>
      </c>
      <c r="Q127" s="191" t="s">
        <v>19</v>
      </c>
      <c r="R127" s="191"/>
      <c r="S127" s="8" t="s">
        <v>30</v>
      </c>
      <c r="T127" s="8" t="s">
        <v>2412</v>
      </c>
      <c r="U127" s="191" t="s">
        <v>692</v>
      </c>
      <c r="W127">
        <v>26</v>
      </c>
      <c r="X127" t="s">
        <v>2085</v>
      </c>
      <c r="Y127">
        <f t="shared" si="3"/>
        <v>231</v>
      </c>
      <c r="Z127" t="str">
        <f t="shared" si="4"/>
        <v>D-26</v>
      </c>
      <c r="AB127">
        <v>281</v>
      </c>
      <c r="AC127" t="s">
        <v>2204</v>
      </c>
    </row>
    <row r="128" spans="1:29">
      <c r="A128" s="248" t="s">
        <v>269</v>
      </c>
      <c r="B128" s="251" t="str">
        <f>Texte!$B$254</f>
        <v>Impianto fotovoltaico tetto piano</v>
      </c>
      <c r="C128" s="250" t="s">
        <v>720</v>
      </c>
      <c r="D128" s="249" t="s">
        <v>694</v>
      </c>
      <c r="E128" s="248" t="s">
        <v>693</v>
      </c>
      <c r="F128" s="248" t="s">
        <v>260</v>
      </c>
      <c r="G128" s="191">
        <v>30</v>
      </c>
      <c r="H128" s="196">
        <v>267.33333333333331</v>
      </c>
      <c r="I128" s="196">
        <v>8020</v>
      </c>
      <c r="J128" s="197">
        <v>0</v>
      </c>
      <c r="K128" s="200">
        <f t="shared" si="5"/>
        <v>77.333333333333329</v>
      </c>
      <c r="L128" s="200">
        <v>2320</v>
      </c>
      <c r="M128" s="201">
        <v>0</v>
      </c>
      <c r="N128" s="198">
        <f t="shared" si="6"/>
        <v>102333.33333333333</v>
      </c>
      <c r="O128" s="198">
        <v>3070000</v>
      </c>
      <c r="P128" s="203">
        <v>0</v>
      </c>
      <c r="Q128" s="191" t="s">
        <v>19</v>
      </c>
      <c r="R128" s="191"/>
      <c r="S128" s="8" t="s">
        <v>30</v>
      </c>
      <c r="T128" s="8" t="s">
        <v>2412</v>
      </c>
      <c r="U128" s="191" t="s">
        <v>692</v>
      </c>
      <c r="W128">
        <v>27</v>
      </c>
      <c r="X128" t="s">
        <v>2086</v>
      </c>
      <c r="Y128">
        <f t="shared" si="3"/>
        <v>232</v>
      </c>
      <c r="Z128" t="str">
        <f t="shared" si="4"/>
        <v>D-27</v>
      </c>
      <c r="AB128">
        <v>282</v>
      </c>
      <c r="AC128" t="s">
        <v>2163</v>
      </c>
    </row>
    <row r="129" spans="1:29">
      <c r="A129" s="248" t="s">
        <v>269</v>
      </c>
      <c r="B129" s="251" t="str">
        <f>Texte!$B$255</f>
        <v>Impianto fotovoltaico tetto a falde</v>
      </c>
      <c r="C129" s="250" t="s">
        <v>719</v>
      </c>
      <c r="D129" s="249" t="s">
        <v>694</v>
      </c>
      <c r="E129" s="248" t="s">
        <v>693</v>
      </c>
      <c r="F129" s="248" t="s">
        <v>260</v>
      </c>
      <c r="G129" s="191">
        <v>30</v>
      </c>
      <c r="H129" s="196">
        <v>243</v>
      </c>
      <c r="I129" s="196">
        <v>7290</v>
      </c>
      <c r="J129" s="197">
        <v>0</v>
      </c>
      <c r="K129" s="200">
        <f t="shared" si="5"/>
        <v>67.666666666666671</v>
      </c>
      <c r="L129" s="200">
        <v>2030</v>
      </c>
      <c r="M129" s="201">
        <v>0</v>
      </c>
      <c r="N129" s="198">
        <f t="shared" si="6"/>
        <v>106333.33333333333</v>
      </c>
      <c r="O129" s="198">
        <v>3190000</v>
      </c>
      <c r="P129" s="203">
        <v>0</v>
      </c>
      <c r="Q129" s="191" t="s">
        <v>19</v>
      </c>
      <c r="R129" s="191"/>
      <c r="S129" s="8" t="s">
        <v>30</v>
      </c>
      <c r="T129" s="8" t="s">
        <v>2412</v>
      </c>
      <c r="U129" s="191" t="s">
        <v>692</v>
      </c>
      <c r="W129">
        <v>28</v>
      </c>
      <c r="X129" t="s">
        <v>2087</v>
      </c>
      <c r="Y129">
        <f t="shared" si="3"/>
        <v>233</v>
      </c>
      <c r="Z129" t="str">
        <f t="shared" si="4"/>
        <v>D-28</v>
      </c>
      <c r="AB129">
        <v>283</v>
      </c>
      <c r="AC129" t="s">
        <v>2162</v>
      </c>
    </row>
    <row r="130" spans="1:29">
      <c r="A130" s="248" t="s">
        <v>269</v>
      </c>
      <c r="B130" s="251" t="str">
        <f>Texte!$B$256</f>
        <v>Emissione del calore tramite riscaldamento a pavimento</v>
      </c>
      <c r="C130" s="248" t="s">
        <v>701</v>
      </c>
      <c r="D130" s="249" t="s">
        <v>694</v>
      </c>
      <c r="E130" s="248" t="s">
        <v>259</v>
      </c>
      <c r="F130" s="248" t="s">
        <v>30</v>
      </c>
      <c r="G130" s="191">
        <v>30</v>
      </c>
      <c r="H130" s="196">
        <v>0.74305666666666659</v>
      </c>
      <c r="I130" s="195">
        <v>22.2</v>
      </c>
      <c r="J130" s="195">
        <v>9.1700000000000004E-2</v>
      </c>
      <c r="K130" s="200">
        <f t="shared" si="5"/>
        <v>0.16866666666666669</v>
      </c>
      <c r="L130" s="199">
        <v>3.02</v>
      </c>
      <c r="M130" s="199">
        <v>2.04</v>
      </c>
      <c r="N130" s="198">
        <f t="shared" si="6"/>
        <v>134.56666666666666</v>
      </c>
      <c r="O130" s="202">
        <v>3040</v>
      </c>
      <c r="P130" s="202">
        <v>997</v>
      </c>
      <c r="Q130" s="191" t="s">
        <v>19</v>
      </c>
      <c r="R130" s="191" t="s">
        <v>284</v>
      </c>
      <c r="S130" s="8" t="s">
        <v>30</v>
      </c>
      <c r="T130" s="8" t="s">
        <v>2414</v>
      </c>
      <c r="U130" s="191" t="s">
        <v>692</v>
      </c>
      <c r="W130">
        <v>29</v>
      </c>
      <c r="X130" t="s">
        <v>2088</v>
      </c>
      <c r="Y130">
        <f t="shared" si="3"/>
        <v>234</v>
      </c>
      <c r="Z130" t="str">
        <f t="shared" si="4"/>
        <v>D-29</v>
      </c>
      <c r="AB130">
        <v>284</v>
      </c>
      <c r="AC130" t="s">
        <v>2178</v>
      </c>
    </row>
    <row r="131" spans="1:29">
      <c r="A131" s="248" t="s">
        <v>269</v>
      </c>
      <c r="B131" s="251" t="str">
        <f>Texte!$B$257</f>
        <v>Emissione del calore tramite corpo riscaldante</v>
      </c>
      <c r="C131" s="248" t="s">
        <v>700</v>
      </c>
      <c r="D131" s="249" t="s">
        <v>694</v>
      </c>
      <c r="E131" s="248" t="s">
        <v>259</v>
      </c>
      <c r="F131" s="248" t="s">
        <v>30</v>
      </c>
      <c r="G131" s="191">
        <v>30</v>
      </c>
      <c r="H131" s="196">
        <v>0.75783999999999996</v>
      </c>
      <c r="I131" s="195">
        <v>22.7</v>
      </c>
      <c r="J131" s="195">
        <v>3.5200000000000002E-2</v>
      </c>
      <c r="K131" s="200">
        <f t="shared" si="5"/>
        <v>0.18209000000000003</v>
      </c>
      <c r="L131" s="199">
        <v>5.44</v>
      </c>
      <c r="M131" s="199">
        <v>2.2700000000000001E-2</v>
      </c>
      <c r="N131" s="198">
        <f t="shared" si="6"/>
        <v>340.59666666666664</v>
      </c>
      <c r="O131" s="202">
        <v>10200</v>
      </c>
      <c r="P131" s="202">
        <v>17.899999999999999</v>
      </c>
      <c r="Q131" s="191" t="s">
        <v>19</v>
      </c>
      <c r="R131" s="191" t="s">
        <v>284</v>
      </c>
      <c r="S131" s="8" t="s">
        <v>30</v>
      </c>
      <c r="T131" s="8" t="s">
        <v>2414</v>
      </c>
      <c r="U131" s="191" t="s">
        <v>692</v>
      </c>
      <c r="W131">
        <v>30</v>
      </c>
      <c r="X131" t="s">
        <v>2089</v>
      </c>
      <c r="Y131">
        <f t="shared" si="3"/>
        <v>235</v>
      </c>
      <c r="Z131" t="str">
        <f t="shared" si="4"/>
        <v>D-30</v>
      </c>
      <c r="AB131">
        <v>285</v>
      </c>
      <c r="AC131" t="s">
        <v>2185</v>
      </c>
    </row>
    <row r="132" spans="1:29">
      <c r="A132" s="248" t="s">
        <v>269</v>
      </c>
      <c r="B132" s="251" t="str">
        <f>Texte!$B$258</f>
        <v>Emissione del calore tramite soffitto riscaldante/raffreddante (senza elementi in gesso o metallo)</v>
      </c>
      <c r="C132" s="248" t="s">
        <v>702</v>
      </c>
      <c r="D132" s="249" t="s">
        <v>694</v>
      </c>
      <c r="E132" s="248" t="s">
        <v>259</v>
      </c>
      <c r="F132" s="248" t="s">
        <v>30</v>
      </c>
      <c r="G132" s="191">
        <v>30</v>
      </c>
      <c r="H132" s="196">
        <v>0.87768666666666673</v>
      </c>
      <c r="I132" s="195">
        <v>26.3</v>
      </c>
      <c r="J132" s="195">
        <v>3.0599999999999999E-2</v>
      </c>
      <c r="K132" s="200">
        <f t="shared" si="5"/>
        <v>0.19246666666666667</v>
      </c>
      <c r="L132" s="199">
        <v>5.64</v>
      </c>
      <c r="M132" s="199">
        <v>0.13400000000000001</v>
      </c>
      <c r="N132" s="198">
        <f t="shared" si="6"/>
        <v>1315.68</v>
      </c>
      <c r="O132" s="202">
        <v>39400</v>
      </c>
      <c r="P132" s="202">
        <v>70.400000000000006</v>
      </c>
      <c r="Q132" s="191" t="s">
        <v>19</v>
      </c>
      <c r="R132" s="191" t="s">
        <v>284</v>
      </c>
      <c r="S132" s="8" t="s">
        <v>30</v>
      </c>
      <c r="T132" s="8" t="s">
        <v>2414</v>
      </c>
      <c r="U132" s="191" t="s">
        <v>692</v>
      </c>
      <c r="W132">
        <v>31</v>
      </c>
      <c r="X132" t="s">
        <v>2090</v>
      </c>
      <c r="Y132">
        <f t="shared" si="3"/>
        <v>236</v>
      </c>
      <c r="Z132" t="str">
        <f t="shared" si="4"/>
        <v>D-31</v>
      </c>
      <c r="AB132">
        <v>286</v>
      </c>
      <c r="AC132" t="s">
        <v>2183</v>
      </c>
    </row>
    <row r="133" spans="1:29">
      <c r="A133" s="248" t="s">
        <v>269</v>
      </c>
      <c r="B133" s="251" t="str">
        <f>Texte!$B$259</f>
        <v>Generatore termico, fabbisogno di potenza specifica 10 W/m2</v>
      </c>
      <c r="C133" s="248" t="s">
        <v>695</v>
      </c>
      <c r="D133" s="249" t="s">
        <v>694</v>
      </c>
      <c r="E133" s="248" t="s">
        <v>259</v>
      </c>
      <c r="F133" s="248" t="s">
        <v>30</v>
      </c>
      <c r="G133" s="191">
        <v>20</v>
      </c>
      <c r="H133" s="196">
        <v>0.11390499999999999</v>
      </c>
      <c r="I133" s="195">
        <v>2.2599999999999998</v>
      </c>
      <c r="J133" s="195">
        <v>1.8100000000000002E-2</v>
      </c>
      <c r="K133" s="200">
        <f t="shared" si="5"/>
        <v>2.5595E-2</v>
      </c>
      <c r="L133" s="199">
        <v>0.501</v>
      </c>
      <c r="M133" s="199">
        <v>1.09E-2</v>
      </c>
      <c r="N133" s="198">
        <f t="shared" si="6"/>
        <v>60.029999999999994</v>
      </c>
      <c r="O133" s="202">
        <v>1190</v>
      </c>
      <c r="P133" s="202">
        <v>10.6</v>
      </c>
      <c r="Q133" s="191" t="s">
        <v>19</v>
      </c>
      <c r="R133" s="191" t="s">
        <v>284</v>
      </c>
      <c r="S133" s="8" t="s">
        <v>30</v>
      </c>
      <c r="T133" s="8" t="s">
        <v>2415</v>
      </c>
      <c r="U133" s="191" t="s">
        <v>692</v>
      </c>
      <c r="W133">
        <v>32</v>
      </c>
      <c r="X133" t="s">
        <v>2091</v>
      </c>
      <c r="Y133">
        <f t="shared" si="3"/>
        <v>237</v>
      </c>
      <c r="Z133" t="str">
        <f t="shared" si="4"/>
        <v>D-32</v>
      </c>
      <c r="AB133">
        <v>287</v>
      </c>
      <c r="AC133" t="s">
        <v>2257</v>
      </c>
    </row>
    <row r="134" spans="1:29">
      <c r="A134" s="248" t="s">
        <v>269</v>
      </c>
      <c r="B134" s="251" t="str">
        <f>Texte!$B$260</f>
        <v>Generatore termico, fabbisogno di potenza specifica 30 W/m2</v>
      </c>
      <c r="C134" s="248" t="s">
        <v>696</v>
      </c>
      <c r="D134" s="249" t="s">
        <v>694</v>
      </c>
      <c r="E134" s="248" t="s">
        <v>259</v>
      </c>
      <c r="F134" s="248" t="s">
        <v>30</v>
      </c>
      <c r="G134" s="191">
        <v>20</v>
      </c>
      <c r="H134" s="196">
        <v>0.34172000000000002</v>
      </c>
      <c r="I134" s="195">
        <v>6.78</v>
      </c>
      <c r="J134" s="195">
        <v>5.4399999999999997E-2</v>
      </c>
      <c r="K134" s="200">
        <f t="shared" si="5"/>
        <v>7.6634999999999995E-2</v>
      </c>
      <c r="L134" s="199">
        <v>1.5</v>
      </c>
      <c r="M134" s="199">
        <v>3.27E-2</v>
      </c>
      <c r="N134" s="198">
        <f t="shared" si="6"/>
        <v>179.59</v>
      </c>
      <c r="O134" s="202">
        <v>3560</v>
      </c>
      <c r="P134" s="202">
        <v>31.8</v>
      </c>
      <c r="Q134" s="191" t="s">
        <v>19</v>
      </c>
      <c r="R134" s="191" t="s">
        <v>284</v>
      </c>
      <c r="S134" s="8" t="s">
        <v>30</v>
      </c>
      <c r="T134" s="8" t="s">
        <v>2415</v>
      </c>
      <c r="U134" s="191" t="s">
        <v>692</v>
      </c>
      <c r="W134">
        <v>33</v>
      </c>
      <c r="X134" t="s">
        <v>2092</v>
      </c>
      <c r="Y134">
        <f t="shared" si="3"/>
        <v>238</v>
      </c>
      <c r="Z134" t="str">
        <f t="shared" si="4"/>
        <v>D-33</v>
      </c>
      <c r="AB134">
        <v>288</v>
      </c>
      <c r="AC134" t="s">
        <v>2258</v>
      </c>
    </row>
    <row r="135" spans="1:29">
      <c r="A135" s="248" t="s">
        <v>269</v>
      </c>
      <c r="B135" s="251" t="str">
        <f>Texte!$B$261</f>
        <v>Generatore termico, fabbisogno di potenza specifica 50 W/m2</v>
      </c>
      <c r="C135" s="248" t="s">
        <v>697</v>
      </c>
      <c r="D135" s="249" t="s">
        <v>694</v>
      </c>
      <c r="E135" s="248" t="s">
        <v>259</v>
      </c>
      <c r="F135" s="248" t="s">
        <v>30</v>
      </c>
      <c r="G135" s="191">
        <v>20</v>
      </c>
      <c r="H135" s="196">
        <v>0.56953000000000009</v>
      </c>
      <c r="I135" s="195">
        <v>11.3</v>
      </c>
      <c r="J135" s="195">
        <v>9.06E-2</v>
      </c>
      <c r="K135" s="200">
        <f t="shared" si="5"/>
        <v>0.12772500000000001</v>
      </c>
      <c r="L135" s="199">
        <v>2.5</v>
      </c>
      <c r="M135" s="199">
        <v>5.45E-2</v>
      </c>
      <c r="N135" s="198">
        <f t="shared" si="6"/>
        <v>299.14999999999998</v>
      </c>
      <c r="O135" s="202">
        <v>5930</v>
      </c>
      <c r="P135" s="202">
        <v>53</v>
      </c>
      <c r="Q135" s="191" t="s">
        <v>19</v>
      </c>
      <c r="R135" s="191" t="s">
        <v>284</v>
      </c>
      <c r="S135" s="8" t="s">
        <v>30</v>
      </c>
      <c r="T135" s="8" t="s">
        <v>2415</v>
      </c>
      <c r="U135" s="191" t="s">
        <v>692</v>
      </c>
      <c r="W135">
        <v>34</v>
      </c>
      <c r="X135" t="s">
        <v>2093</v>
      </c>
      <c r="Y135">
        <f t="shared" si="3"/>
        <v>239</v>
      </c>
      <c r="Z135" t="str">
        <f t="shared" si="4"/>
        <v>D-34</v>
      </c>
      <c r="AB135">
        <v>289</v>
      </c>
      <c r="AC135" t="s">
        <v>2256</v>
      </c>
    </row>
    <row r="136" spans="1:29">
      <c r="A136" s="245" t="s">
        <v>269</v>
      </c>
      <c r="B136" s="251" t="str">
        <f>Texte!$B$317</f>
        <v>Generazione di calore (SIA 2032)</v>
      </c>
      <c r="C136" s="245"/>
      <c r="D136" s="245"/>
      <c r="E136" s="245" t="s">
        <v>259</v>
      </c>
      <c r="F136" s="245" t="s">
        <v>30</v>
      </c>
      <c r="G136" s="8">
        <v>20</v>
      </c>
      <c r="H136" s="196">
        <v>0.34172000000000002</v>
      </c>
      <c r="I136" s="196">
        <v>6.78</v>
      </c>
      <c r="J136" s="196">
        <v>5.4399999999999997E-2</v>
      </c>
      <c r="K136" s="200">
        <v>7.6634999999999995E-2</v>
      </c>
      <c r="L136" s="206">
        <v>1.5</v>
      </c>
      <c r="M136" s="206">
        <v>3.27E-2</v>
      </c>
      <c r="N136" s="202">
        <v>179.59</v>
      </c>
      <c r="O136" s="202">
        <v>3560</v>
      </c>
      <c r="P136" s="208">
        <v>31.8</v>
      </c>
      <c r="Q136" s="8" t="s">
        <v>19</v>
      </c>
      <c r="R136" s="191" t="s">
        <v>284</v>
      </c>
      <c r="S136" s="8" t="s">
        <v>30</v>
      </c>
      <c r="T136" s="8" t="s">
        <v>2415</v>
      </c>
      <c r="U136" s="191" t="s">
        <v>796</v>
      </c>
      <c r="W136">
        <v>35</v>
      </c>
      <c r="X136" t="s">
        <v>2094</v>
      </c>
      <c r="Y136">
        <f t="shared" si="3"/>
        <v>295</v>
      </c>
      <c r="Z136" t="str">
        <f t="shared" si="4"/>
        <v>D-35</v>
      </c>
      <c r="AB136">
        <v>290</v>
      </c>
      <c r="AC136" t="s">
        <v>2255</v>
      </c>
    </row>
    <row r="137" spans="1:29">
      <c r="A137" s="248" t="s">
        <v>269</v>
      </c>
      <c r="B137" s="251" t="str">
        <f>Texte!$B$262</f>
        <v>Distribuzione del calore edifico amministrativo</v>
      </c>
      <c r="C137" s="248" t="s">
        <v>699</v>
      </c>
      <c r="D137" s="249" t="s">
        <v>694</v>
      </c>
      <c r="E137" s="248" t="s">
        <v>259</v>
      </c>
      <c r="F137" s="248" t="s">
        <v>30</v>
      </c>
      <c r="G137" s="191">
        <v>30</v>
      </c>
      <c r="H137" s="196">
        <v>1.0896666666666666</v>
      </c>
      <c r="I137" s="195">
        <v>29.9</v>
      </c>
      <c r="J137" s="195">
        <v>2.79</v>
      </c>
      <c r="K137" s="200">
        <f>(L137+M137)/$G137</f>
        <v>0.25399999999999995</v>
      </c>
      <c r="L137" s="199">
        <v>6.56</v>
      </c>
      <c r="M137" s="199">
        <v>1.06</v>
      </c>
      <c r="N137" s="198">
        <f>(O137+P137)/$G137</f>
        <v>499.66666666666669</v>
      </c>
      <c r="O137" s="202">
        <v>13900</v>
      </c>
      <c r="P137" s="202">
        <v>1090</v>
      </c>
      <c r="Q137" s="191" t="s">
        <v>19</v>
      </c>
      <c r="R137" s="191" t="s">
        <v>284</v>
      </c>
      <c r="S137" s="8" t="s">
        <v>30</v>
      </c>
      <c r="T137" s="8" t="s">
        <v>2413</v>
      </c>
      <c r="U137" s="191" t="s">
        <v>692</v>
      </c>
      <c r="W137">
        <v>36</v>
      </c>
      <c r="X137" t="s">
        <v>2095</v>
      </c>
      <c r="Y137">
        <f t="shared" si="3"/>
        <v>240</v>
      </c>
      <c r="Z137" t="str">
        <f t="shared" si="4"/>
        <v>D-36</v>
      </c>
      <c r="AB137">
        <v>291</v>
      </c>
      <c r="AC137" t="s">
        <v>2191</v>
      </c>
    </row>
    <row r="138" spans="1:29">
      <c r="A138" s="245" t="s">
        <v>269</v>
      </c>
      <c r="B138" s="251" t="str">
        <f>Texte!$B$319</f>
        <v>Distribuzione del calore e emissione di calore per edifici uffici (SIA 2032)</v>
      </c>
      <c r="C138" s="245"/>
      <c r="D138" s="245"/>
      <c r="E138" s="245" t="s">
        <v>259</v>
      </c>
      <c r="F138" s="245" t="s">
        <v>30</v>
      </c>
      <c r="G138" s="8">
        <v>30</v>
      </c>
      <c r="H138" s="196">
        <v>1.8475066666666664</v>
      </c>
      <c r="I138" s="196">
        <v>52.599999999999994</v>
      </c>
      <c r="J138" s="196">
        <v>2.8252000000000002</v>
      </c>
      <c r="K138" s="200">
        <v>0.43609000000000003</v>
      </c>
      <c r="L138" s="206">
        <v>12</v>
      </c>
      <c r="M138" s="206">
        <v>1.0827</v>
      </c>
      <c r="N138" s="202">
        <v>840.26333333333321</v>
      </c>
      <c r="O138" s="202">
        <v>0</v>
      </c>
      <c r="P138" s="208">
        <v>0</v>
      </c>
      <c r="Q138" s="8" t="s">
        <v>19</v>
      </c>
      <c r="R138" s="191" t="s">
        <v>284</v>
      </c>
      <c r="S138" s="8" t="s">
        <v>30</v>
      </c>
      <c r="T138" s="8" t="s">
        <v>2413</v>
      </c>
      <c r="U138" s="191" t="s">
        <v>796</v>
      </c>
      <c r="W138">
        <v>37</v>
      </c>
      <c r="X138" t="s">
        <v>2096</v>
      </c>
      <c r="Y138">
        <f t="shared" ref="Y138:Y151" si="7">RIGHT(X138,3)*1</f>
        <v>297</v>
      </c>
      <c r="Z138" t="str">
        <f t="shared" ref="Z138:Z151" si="8">RIGHT(A138,LEN(A138)-SEARCH("_",A138,3))&amp;"-"&amp;W138</f>
        <v>D-37</v>
      </c>
      <c r="AB138">
        <v>292</v>
      </c>
      <c r="AC138" t="s">
        <v>2212</v>
      </c>
    </row>
    <row r="139" spans="1:29">
      <c r="A139" s="245" t="s">
        <v>269</v>
      </c>
      <c r="B139" s="251" t="str">
        <f>Texte!$B$318</f>
        <v>Distribuzione del calore e emissione di calore per edifici residenziali (SIA 2032)</v>
      </c>
      <c r="C139" s="245"/>
      <c r="D139" s="245"/>
      <c r="E139" s="245" t="s">
        <v>259</v>
      </c>
      <c r="F139" s="245" t="s">
        <v>30</v>
      </c>
      <c r="G139" s="8">
        <v>30</v>
      </c>
      <c r="H139" s="196">
        <v>1.2207233333333334</v>
      </c>
      <c r="I139" s="196">
        <v>34.200000000000003</v>
      </c>
      <c r="J139" s="196">
        <v>2.4217</v>
      </c>
      <c r="K139" s="200">
        <v>0.27080000000000004</v>
      </c>
      <c r="L139" s="206">
        <v>5.41</v>
      </c>
      <c r="M139" s="206">
        <v>2.714</v>
      </c>
      <c r="N139" s="202">
        <v>317.13333333333333</v>
      </c>
      <c r="O139" s="202">
        <v>0</v>
      </c>
      <c r="P139" s="208">
        <v>0</v>
      </c>
      <c r="Q139" s="8" t="s">
        <v>19</v>
      </c>
      <c r="R139" s="191" t="s">
        <v>284</v>
      </c>
      <c r="S139" s="8" t="s">
        <v>30</v>
      </c>
      <c r="T139" s="8" t="s">
        <v>2413</v>
      </c>
      <c r="U139" s="191" t="s">
        <v>796</v>
      </c>
      <c r="W139">
        <v>38</v>
      </c>
      <c r="X139" t="s">
        <v>2097</v>
      </c>
      <c r="Y139">
        <f t="shared" si="7"/>
        <v>296</v>
      </c>
      <c r="Z139" t="str">
        <f t="shared" si="8"/>
        <v>D-38</v>
      </c>
      <c r="AB139">
        <v>293</v>
      </c>
      <c r="AC139" t="s">
        <v>2211</v>
      </c>
    </row>
    <row r="140" spans="1:29">
      <c r="A140" s="248" t="s">
        <v>269</v>
      </c>
      <c r="B140" s="251" t="str">
        <f>Texte!$B$263</f>
        <v>Distribuzione e emissione del calore, riscaldamento ad aria</v>
      </c>
      <c r="C140" s="248" t="s">
        <v>703</v>
      </c>
      <c r="D140" s="249" t="s">
        <v>694</v>
      </c>
      <c r="E140" s="248" t="s">
        <v>259</v>
      </c>
      <c r="F140" s="248" t="s">
        <v>30</v>
      </c>
      <c r="G140" s="191">
        <v>30</v>
      </c>
      <c r="H140" s="196">
        <v>0.26521600000000001</v>
      </c>
      <c r="I140" s="195">
        <v>7.95</v>
      </c>
      <c r="J140" s="195">
        <v>6.4799999999999996E-3</v>
      </c>
      <c r="K140" s="200">
        <f>(L140+M140)/$G140</f>
        <v>5.657333333333333E-2</v>
      </c>
      <c r="L140" s="199">
        <v>1.63</v>
      </c>
      <c r="M140" s="199">
        <v>6.7199999999999996E-2</v>
      </c>
      <c r="N140" s="198">
        <f>(O140+P140)/$G140</f>
        <v>98.11999999999999</v>
      </c>
      <c r="O140" s="202">
        <v>2910</v>
      </c>
      <c r="P140" s="202">
        <v>33.6</v>
      </c>
      <c r="Q140" s="191" t="s">
        <v>19</v>
      </c>
      <c r="R140" s="191" t="s">
        <v>284</v>
      </c>
      <c r="S140" s="8" t="s">
        <v>30</v>
      </c>
      <c r="T140" s="8" t="s">
        <v>2413</v>
      </c>
      <c r="U140" s="191" t="s">
        <v>692</v>
      </c>
      <c r="W140">
        <v>39</v>
      </c>
      <c r="X140" t="s">
        <v>2098</v>
      </c>
      <c r="Y140">
        <f t="shared" si="7"/>
        <v>241</v>
      </c>
      <c r="Z140" t="str">
        <f t="shared" si="8"/>
        <v>D-39</v>
      </c>
      <c r="AB140">
        <v>294</v>
      </c>
      <c r="AC140" t="s">
        <v>2233</v>
      </c>
    </row>
    <row r="141" spans="1:29">
      <c r="A141" s="248" t="s">
        <v>269</v>
      </c>
      <c r="B141" s="251" t="str">
        <f>Texte!$B$264</f>
        <v>Distribuzione del calore edificio abitativo</v>
      </c>
      <c r="C141" s="248" t="s">
        <v>698</v>
      </c>
      <c r="D141" s="249" t="s">
        <v>694</v>
      </c>
      <c r="E141" s="248" t="s">
        <v>259</v>
      </c>
      <c r="F141" s="248" t="s">
        <v>30</v>
      </c>
      <c r="G141" s="191">
        <v>30</v>
      </c>
      <c r="H141" s="196">
        <v>0.47766666666666668</v>
      </c>
      <c r="I141" s="195">
        <v>12</v>
      </c>
      <c r="J141" s="195">
        <v>2.33</v>
      </c>
      <c r="K141" s="200">
        <f>(L141+M141)/$G141</f>
        <v>0.10213333333333334</v>
      </c>
      <c r="L141" s="199">
        <v>2.39</v>
      </c>
      <c r="M141" s="199">
        <v>0.67400000000000004</v>
      </c>
      <c r="N141" s="198">
        <f>(O141+P141)/$G141</f>
        <v>182.56666666666666</v>
      </c>
      <c r="O141" s="202">
        <v>4670</v>
      </c>
      <c r="P141" s="202">
        <v>807</v>
      </c>
      <c r="Q141" s="191" t="s">
        <v>19</v>
      </c>
      <c r="R141" s="191" t="s">
        <v>284</v>
      </c>
      <c r="S141" s="8" t="s">
        <v>30</v>
      </c>
      <c r="T141" s="8" t="s">
        <v>2413</v>
      </c>
      <c r="U141" s="191" t="s">
        <v>692</v>
      </c>
      <c r="W141">
        <v>40</v>
      </c>
      <c r="X141" t="s">
        <v>2099</v>
      </c>
      <c r="Y141">
        <f t="shared" si="7"/>
        <v>242</v>
      </c>
      <c r="Z141" t="str">
        <f t="shared" si="8"/>
        <v>D-40</v>
      </c>
      <c r="AB141">
        <v>295</v>
      </c>
      <c r="AC141" t="s">
        <v>2243</v>
      </c>
    </row>
    <row r="142" spans="1:29">
      <c r="A142" s="248" t="s">
        <v>270</v>
      </c>
      <c r="B142" s="251" t="str">
        <f>Texte!$B$265</f>
        <v>Finestra in alluminio triplo vetro (BTK)</v>
      </c>
      <c r="C142" s="248" t="s">
        <v>629</v>
      </c>
      <c r="D142" s="248" t="s">
        <v>628</v>
      </c>
      <c r="E142" s="248" t="s">
        <v>255</v>
      </c>
      <c r="F142" s="248" t="s">
        <v>30</v>
      </c>
      <c r="G142" s="193">
        <f>(I142+J142)/H142</f>
        <v>30</v>
      </c>
      <c r="H142" s="195">
        <v>23.058333333333334</v>
      </c>
      <c r="I142" s="195">
        <v>689.83333333333337</v>
      </c>
      <c r="J142" s="195">
        <v>1.9166666666666667</v>
      </c>
      <c r="K142" s="199">
        <v>5.63</v>
      </c>
      <c r="L142" s="199">
        <v>167.12</v>
      </c>
      <c r="M142" s="199">
        <v>1.86</v>
      </c>
      <c r="N142" s="202">
        <v>5772</v>
      </c>
      <c r="O142" s="202">
        <v>169140</v>
      </c>
      <c r="P142" s="202">
        <v>4028</v>
      </c>
      <c r="Q142" s="191" t="s">
        <v>20</v>
      </c>
      <c r="R142" s="191"/>
      <c r="S142" s="8" t="s">
        <v>30</v>
      </c>
      <c r="T142" s="8" t="s">
        <v>368</v>
      </c>
      <c r="U142" s="191" t="s">
        <v>686</v>
      </c>
      <c r="W142">
        <v>1</v>
      </c>
      <c r="X142" t="s">
        <v>2100</v>
      </c>
      <c r="Y142">
        <f t="shared" si="7"/>
        <v>243</v>
      </c>
      <c r="Z142" t="str">
        <f t="shared" si="8"/>
        <v>E3-1</v>
      </c>
      <c r="AB142">
        <v>296</v>
      </c>
      <c r="AC142" t="s">
        <v>2246</v>
      </c>
    </row>
    <row r="143" spans="1:29">
      <c r="A143" s="248" t="s">
        <v>270</v>
      </c>
      <c r="B143" s="251" t="str">
        <f>Texte!$B$266</f>
        <v>Porta esterna in legno (BTK)</v>
      </c>
      <c r="C143" s="248" t="s">
        <v>630</v>
      </c>
      <c r="D143" s="248" t="s">
        <v>631</v>
      </c>
      <c r="E143" s="248" t="s">
        <v>255</v>
      </c>
      <c r="F143" s="248" t="s">
        <v>30</v>
      </c>
      <c r="G143" s="193">
        <f>(I143+J143)/H143</f>
        <v>30.003319318433284</v>
      </c>
      <c r="H143" s="195">
        <v>25.105555555555554</v>
      </c>
      <c r="I143" s="195">
        <v>735</v>
      </c>
      <c r="J143" s="195">
        <v>18.25</v>
      </c>
      <c r="K143" s="199">
        <v>6.21</v>
      </c>
      <c r="L143" s="199">
        <v>179.75</v>
      </c>
      <c r="M143" s="199">
        <v>6.56</v>
      </c>
      <c r="N143" s="202">
        <v>11526</v>
      </c>
      <c r="O143" s="202">
        <v>300243</v>
      </c>
      <c r="P143" s="202">
        <v>45528</v>
      </c>
      <c r="Q143" s="191" t="s">
        <v>20</v>
      </c>
      <c r="R143" s="191"/>
      <c r="S143" s="8" t="s">
        <v>30</v>
      </c>
      <c r="T143" s="8" t="s">
        <v>368</v>
      </c>
      <c r="U143" s="191" t="s">
        <v>686</v>
      </c>
      <c r="W143">
        <v>2</v>
      </c>
      <c r="X143" t="s">
        <v>2101</v>
      </c>
      <c r="Y143">
        <f t="shared" si="7"/>
        <v>244</v>
      </c>
      <c r="Z143" t="str">
        <f t="shared" si="8"/>
        <v>E3-2</v>
      </c>
      <c r="AB143">
        <v>297</v>
      </c>
      <c r="AC143" t="s">
        <v>2245</v>
      </c>
    </row>
    <row r="144" spans="1:29">
      <c r="A144" s="248" t="s">
        <v>270</v>
      </c>
      <c r="B144" s="251" t="str">
        <f>Texte!$B$267</f>
        <v>Finestra in legno triplo vetro (BTK)</v>
      </c>
      <c r="C144" s="248" t="s">
        <v>623</v>
      </c>
      <c r="D144" s="248" t="s">
        <v>622</v>
      </c>
      <c r="E144" s="248" t="s">
        <v>255</v>
      </c>
      <c r="F144" s="248" t="s">
        <v>30</v>
      </c>
      <c r="G144" s="193">
        <f>(I144+J144)/H144</f>
        <v>30</v>
      </c>
      <c r="H144" s="195">
        <v>11.605555555555556</v>
      </c>
      <c r="I144" s="195">
        <v>344.27777777777777</v>
      </c>
      <c r="J144" s="195">
        <v>3.8888888888888888</v>
      </c>
      <c r="K144" s="199">
        <v>2.76</v>
      </c>
      <c r="L144" s="199">
        <v>75.94</v>
      </c>
      <c r="M144" s="199">
        <v>6.75</v>
      </c>
      <c r="N144" s="202">
        <v>3769</v>
      </c>
      <c r="O144" s="202">
        <v>92963</v>
      </c>
      <c r="P144" s="202">
        <v>20111</v>
      </c>
      <c r="Q144" s="191" t="s">
        <v>20</v>
      </c>
      <c r="R144" s="191"/>
      <c r="S144" s="8" t="s">
        <v>30</v>
      </c>
      <c r="T144" s="8" t="s">
        <v>368</v>
      </c>
      <c r="U144" s="191" t="s">
        <v>686</v>
      </c>
      <c r="W144">
        <v>3</v>
      </c>
      <c r="X144" t="s">
        <v>2102</v>
      </c>
      <c r="Y144">
        <f t="shared" si="7"/>
        <v>245</v>
      </c>
      <c r="Z144" t="str">
        <f t="shared" si="8"/>
        <v>E3-3</v>
      </c>
      <c r="AB144">
        <v>298</v>
      </c>
      <c r="AC144" t="s">
        <v>2216</v>
      </c>
    </row>
    <row r="145" spans="1:29">
      <c r="A145" s="248" t="s">
        <v>270</v>
      </c>
      <c r="B145" s="251" t="str">
        <f>Texte!$B$268</f>
        <v>Finestra legno-metallo vetro triplo (BTK)</v>
      </c>
      <c r="C145" s="248" t="s">
        <v>624</v>
      </c>
      <c r="D145" s="248" t="s">
        <v>625</v>
      </c>
      <c r="E145" s="248" t="s">
        <v>255</v>
      </c>
      <c r="F145" s="248" t="s">
        <v>30</v>
      </c>
      <c r="G145" s="193">
        <f>(I145+J145)/H145</f>
        <v>30</v>
      </c>
      <c r="H145" s="195">
        <v>15.43611111111111</v>
      </c>
      <c r="I145" s="195">
        <v>459.25</v>
      </c>
      <c r="J145" s="195">
        <v>3.8333333333333335</v>
      </c>
      <c r="K145" s="199">
        <v>3.79</v>
      </c>
      <c r="L145" s="199">
        <v>105.29</v>
      </c>
      <c r="M145" s="199">
        <v>8.2899999999999991</v>
      </c>
      <c r="N145" s="202">
        <v>4758</v>
      </c>
      <c r="O145" s="202">
        <v>123164</v>
      </c>
      <c r="P145" s="202">
        <v>19581</v>
      </c>
      <c r="Q145" s="191" t="s">
        <v>20</v>
      </c>
      <c r="R145" s="191"/>
      <c r="S145" s="8" t="s">
        <v>30</v>
      </c>
      <c r="T145" s="8" t="s">
        <v>368</v>
      </c>
      <c r="U145" s="191" t="s">
        <v>686</v>
      </c>
      <c r="W145">
        <v>4</v>
      </c>
      <c r="X145" t="s">
        <v>2103</v>
      </c>
      <c r="Y145">
        <f t="shared" si="7"/>
        <v>246</v>
      </c>
      <c r="Z145" t="str">
        <f t="shared" si="8"/>
        <v>E3-4</v>
      </c>
      <c r="AB145">
        <v>299</v>
      </c>
      <c r="AC145" t="s">
        <v>2232</v>
      </c>
    </row>
    <row r="146" spans="1:29">
      <c r="A146" s="248" t="s">
        <v>270</v>
      </c>
      <c r="B146" s="251" t="str">
        <f>Texte!$B$269</f>
        <v>Finestra in plastica vetro triplo (BTK)</v>
      </c>
      <c r="C146" s="248" t="s">
        <v>627</v>
      </c>
      <c r="D146" s="248" t="s">
        <v>626</v>
      </c>
      <c r="E146" s="248" t="s">
        <v>255</v>
      </c>
      <c r="F146" s="248" t="s">
        <v>30</v>
      </c>
      <c r="G146" s="193">
        <f>(I146+J146)/H146</f>
        <v>30.000000000000004</v>
      </c>
      <c r="H146" s="195">
        <v>20.886111111111109</v>
      </c>
      <c r="I146" s="195">
        <v>577.55555555555554</v>
      </c>
      <c r="J146" s="195">
        <v>49.027777777777779</v>
      </c>
      <c r="K146" s="199">
        <v>4.68</v>
      </c>
      <c r="L146" s="199">
        <v>105.05</v>
      </c>
      <c r="M146" s="199">
        <v>35.39</v>
      </c>
      <c r="N146" s="202">
        <v>5579</v>
      </c>
      <c r="O146" s="202">
        <v>130268</v>
      </c>
      <c r="P146" s="202">
        <v>37116</v>
      </c>
      <c r="Q146" s="191" t="s">
        <v>20</v>
      </c>
      <c r="R146" s="191"/>
      <c r="S146" s="8" t="s">
        <v>30</v>
      </c>
      <c r="T146" s="8" t="s">
        <v>368</v>
      </c>
      <c r="U146" s="191" t="s">
        <v>686</v>
      </c>
      <c r="W146">
        <v>5</v>
      </c>
      <c r="X146" t="s">
        <v>2104</v>
      </c>
      <c r="Y146">
        <f t="shared" si="7"/>
        <v>247</v>
      </c>
      <c r="Z146" t="str">
        <f t="shared" si="8"/>
        <v>E3-5</v>
      </c>
      <c r="AB146">
        <v>300</v>
      </c>
      <c r="AC146" t="s">
        <v>2209</v>
      </c>
    </row>
    <row r="147" spans="1:29">
      <c r="A147" s="245" t="s">
        <v>270</v>
      </c>
      <c r="B147" s="251" t="str">
        <f>Texte!$B$298</f>
        <v>Finestra, valore media, 3 volte IV, incl. protezione solare (SIA 2032)</v>
      </c>
      <c r="C147" s="245"/>
      <c r="D147" s="245"/>
      <c r="E147" s="245" t="s">
        <v>255</v>
      </c>
      <c r="F147" s="245" t="s">
        <v>30</v>
      </c>
      <c r="G147" s="8">
        <v>30</v>
      </c>
      <c r="H147" s="196">
        <v>22.50500666666667</v>
      </c>
      <c r="I147" s="196">
        <v>671.48</v>
      </c>
      <c r="J147" s="196">
        <v>3.6702000000000004</v>
      </c>
      <c r="K147" s="200">
        <v>5.2411599999999998</v>
      </c>
      <c r="L147" s="206">
        <v>145.666</v>
      </c>
      <c r="M147" s="206">
        <v>11.5688</v>
      </c>
      <c r="N147" s="202">
        <v>7963.1333333333332</v>
      </c>
      <c r="O147" s="202">
        <v>231522</v>
      </c>
      <c r="P147" s="208">
        <v>7372</v>
      </c>
      <c r="Q147" s="8" t="s">
        <v>19</v>
      </c>
      <c r="R147" s="8"/>
      <c r="S147" s="8" t="s">
        <v>30</v>
      </c>
      <c r="T147" s="8" t="s">
        <v>368</v>
      </c>
      <c r="U147" s="191" t="s">
        <v>796</v>
      </c>
      <c r="W147">
        <v>6</v>
      </c>
      <c r="X147" t="s">
        <v>2105</v>
      </c>
      <c r="Y147">
        <f t="shared" si="7"/>
        <v>276</v>
      </c>
      <c r="Z147" t="str">
        <f t="shared" si="8"/>
        <v>E3-6</v>
      </c>
      <c r="AB147">
        <v>301</v>
      </c>
      <c r="AC147" t="s">
        <v>2223</v>
      </c>
    </row>
    <row r="148" spans="1:29">
      <c r="A148" s="245" t="s">
        <v>806</v>
      </c>
      <c r="B148" s="251" t="str">
        <f>Texte!$B$312</f>
        <v>Soffitto di installazione sospesa (valore medio) (SIA 2032)</v>
      </c>
      <c r="C148" s="245"/>
      <c r="D148" s="245"/>
      <c r="E148" s="245" t="s">
        <v>255</v>
      </c>
      <c r="F148" s="245" t="s">
        <v>30</v>
      </c>
      <c r="G148" s="8">
        <v>30</v>
      </c>
      <c r="H148" s="196">
        <v>2.7915743333333336</v>
      </c>
      <c r="I148" s="196">
        <v>82.939599999999999</v>
      </c>
      <c r="J148" s="196">
        <v>0.80763000000000018</v>
      </c>
      <c r="K148" s="200">
        <v>0.61595754999999996</v>
      </c>
      <c r="L148" s="206">
        <v>17.9101</v>
      </c>
      <c r="M148" s="206">
        <v>0.56862649999999992</v>
      </c>
      <c r="N148" s="202">
        <v>1607.7015833333332</v>
      </c>
      <c r="O148" s="202">
        <v>47732.324999999997</v>
      </c>
      <c r="P148" s="208">
        <v>498.72249999999997</v>
      </c>
      <c r="Q148" s="8" t="s">
        <v>19</v>
      </c>
      <c r="R148" s="8"/>
      <c r="S148" s="8" t="s">
        <v>30</v>
      </c>
      <c r="T148" s="8" t="s">
        <v>368</v>
      </c>
      <c r="U148" s="191" t="s">
        <v>796</v>
      </c>
      <c r="W148">
        <v>1</v>
      </c>
      <c r="X148" t="s">
        <v>2106</v>
      </c>
      <c r="Y148">
        <f t="shared" si="7"/>
        <v>290</v>
      </c>
      <c r="Z148" t="str">
        <f t="shared" si="8"/>
        <v>G-1</v>
      </c>
      <c r="AB148">
        <v>302</v>
      </c>
      <c r="AC148" t="s">
        <v>2221</v>
      </c>
    </row>
    <row r="149" spans="1:29">
      <c r="A149" s="245" t="s">
        <v>806</v>
      </c>
      <c r="B149" s="251" t="str">
        <f>Texte!$B$311</f>
        <v>Isolamento contro i non riscaldati (SIA 2032)</v>
      </c>
      <c r="C149" s="245"/>
      <c r="D149" s="245"/>
      <c r="E149" s="245" t="s">
        <v>255</v>
      </c>
      <c r="F149" s="245" t="s">
        <v>30</v>
      </c>
      <c r="G149" s="8">
        <v>30</v>
      </c>
      <c r="H149" s="196">
        <v>1.6792249999999997</v>
      </c>
      <c r="I149" s="196">
        <v>49.949999999999996</v>
      </c>
      <c r="J149" s="196">
        <v>0.42675000000000002</v>
      </c>
      <c r="K149" s="200">
        <v>0.25364800000000004</v>
      </c>
      <c r="L149" s="206">
        <v>7.1625000000000005</v>
      </c>
      <c r="M149" s="206">
        <v>0.44694</v>
      </c>
      <c r="N149" s="202">
        <v>356.21</v>
      </c>
      <c r="O149" s="202">
        <v>10303.5</v>
      </c>
      <c r="P149" s="208">
        <v>382.8</v>
      </c>
      <c r="Q149" s="8" t="s">
        <v>20</v>
      </c>
      <c r="R149" s="8"/>
      <c r="S149" s="8" t="s">
        <v>30</v>
      </c>
      <c r="T149" s="8" t="s">
        <v>368</v>
      </c>
      <c r="U149" s="191" t="s">
        <v>796</v>
      </c>
      <c r="W149">
        <v>2</v>
      </c>
      <c r="X149" t="s">
        <v>2107</v>
      </c>
      <c r="Y149">
        <f t="shared" si="7"/>
        <v>289</v>
      </c>
      <c r="Z149" t="str">
        <f t="shared" si="8"/>
        <v>G-2</v>
      </c>
      <c r="AB149">
        <v>303</v>
      </c>
      <c r="AC149" t="s">
        <v>2228</v>
      </c>
    </row>
    <row r="150" spans="1:29">
      <c r="A150" s="245" t="s">
        <v>806</v>
      </c>
      <c r="B150" s="251" t="str">
        <f>Texte!$B$309</f>
        <v>Pavimento finito (senza sottostruttura) (SIA 2032)</v>
      </c>
      <c r="C150" s="245"/>
      <c r="D150" s="245"/>
      <c r="E150" s="245" t="s">
        <v>255</v>
      </c>
      <c r="F150" s="245" t="s">
        <v>30</v>
      </c>
      <c r="G150" s="8">
        <v>30</v>
      </c>
      <c r="H150" s="196">
        <v>1.7676700000000001</v>
      </c>
      <c r="I150" s="196">
        <v>52.56</v>
      </c>
      <c r="J150" s="196">
        <v>0.47009999999999996</v>
      </c>
      <c r="K150" s="200">
        <v>0.36997333333333338</v>
      </c>
      <c r="L150" s="206">
        <v>9.902000000000001</v>
      </c>
      <c r="M150" s="206">
        <v>1.1972</v>
      </c>
      <c r="N150" s="202">
        <v>542.87666666666667</v>
      </c>
      <c r="O150" s="202">
        <v>15490</v>
      </c>
      <c r="P150" s="208">
        <v>796.3</v>
      </c>
      <c r="Q150" s="8" t="s">
        <v>19</v>
      </c>
      <c r="R150" s="8"/>
      <c r="S150" s="8" t="s">
        <v>30</v>
      </c>
      <c r="T150" s="8" t="s">
        <v>368</v>
      </c>
      <c r="U150" s="191" t="s">
        <v>796</v>
      </c>
      <c r="W150">
        <v>3</v>
      </c>
      <c r="X150" t="s">
        <v>2108</v>
      </c>
      <c r="Y150">
        <f t="shared" si="7"/>
        <v>287</v>
      </c>
      <c r="Z150" t="str">
        <f t="shared" si="8"/>
        <v>G-3</v>
      </c>
      <c r="AB150">
        <v>304</v>
      </c>
      <c r="AC150" t="s">
        <v>2227</v>
      </c>
    </row>
    <row r="151" spans="1:29">
      <c r="A151" s="245" t="s">
        <v>806</v>
      </c>
      <c r="B151" s="251" t="str">
        <f>Texte!$B$310</f>
        <v>Sottostruttura e rivestimento del pavimento (SIA 2032)</v>
      </c>
      <c r="C151" s="245"/>
      <c r="D151" s="245"/>
      <c r="E151" s="245" t="s">
        <v>255</v>
      </c>
      <c r="F151" s="245" t="s">
        <v>30</v>
      </c>
      <c r="G151" s="8">
        <v>30</v>
      </c>
      <c r="H151" s="196">
        <v>4.1257659999999996</v>
      </c>
      <c r="I151" s="196">
        <v>116.4435</v>
      </c>
      <c r="J151" s="196">
        <v>7.3294800000000002</v>
      </c>
      <c r="K151" s="200">
        <v>1.1985903333333334</v>
      </c>
      <c r="L151" s="206">
        <v>32.753599999999999</v>
      </c>
      <c r="M151" s="206">
        <v>3.20411</v>
      </c>
      <c r="N151" s="202">
        <v>1786.2850000000001</v>
      </c>
      <c r="O151" s="202">
        <v>48925.599999999999</v>
      </c>
      <c r="P151" s="208">
        <v>4662.9500000000007</v>
      </c>
      <c r="Q151" s="8" t="s">
        <v>19</v>
      </c>
      <c r="R151" s="8"/>
      <c r="S151" s="8" t="s">
        <v>30</v>
      </c>
      <c r="T151" s="8" t="s">
        <v>368</v>
      </c>
      <c r="U151" s="191" t="s">
        <v>796</v>
      </c>
      <c r="W151">
        <v>4</v>
      </c>
      <c r="X151" t="s">
        <v>2109</v>
      </c>
      <c r="Y151">
        <f t="shared" si="7"/>
        <v>288</v>
      </c>
      <c r="Z151" t="str">
        <f t="shared" si="8"/>
        <v>G-4</v>
      </c>
      <c r="AB151">
        <v>305</v>
      </c>
      <c r="AC151" t="s">
        <v>2205</v>
      </c>
    </row>
    <row r="152" spans="1:29" ht="57" customHeight="1">
      <c r="A152" s="8"/>
      <c r="B152" s="8"/>
      <c r="C152" s="8"/>
      <c r="D152" s="8"/>
      <c r="E152" s="8"/>
      <c r="F152" s="8"/>
      <c r="G152" s="8"/>
      <c r="H152" s="8"/>
      <c r="I152" s="8"/>
      <c r="J152" s="8"/>
      <c r="K152" s="8"/>
      <c r="L152" s="8"/>
      <c r="Q152" s="8"/>
      <c r="R152" s="8"/>
      <c r="S152" s="8"/>
      <c r="T152" s="8"/>
    </row>
    <row r="153" spans="1:29" ht="18">
      <c r="A153" s="92" t="s">
        <v>215</v>
      </c>
      <c r="B153" s="8"/>
      <c r="C153" s="8"/>
      <c r="D153" s="8"/>
      <c r="E153" s="8"/>
      <c r="F153" s="8"/>
      <c r="G153" s="8"/>
      <c r="H153" s="8"/>
      <c r="I153" s="8"/>
      <c r="J153" s="8"/>
      <c r="K153" s="8"/>
      <c r="L153" s="8"/>
    </row>
    <row r="154" spans="1:29" ht="9" customHeight="1">
      <c r="A154" s="84"/>
      <c r="B154" s="8"/>
      <c r="C154" s="8"/>
      <c r="D154" s="8"/>
      <c r="E154" s="8"/>
      <c r="F154" s="8"/>
      <c r="G154" s="8"/>
      <c r="H154" s="8"/>
      <c r="I154" s="8"/>
      <c r="J154" s="8"/>
      <c r="K154" s="8"/>
      <c r="L154" s="8"/>
    </row>
    <row r="155" spans="1:29">
      <c r="A155" s="90" t="s">
        <v>213</v>
      </c>
      <c r="B155" s="90" t="s">
        <v>23</v>
      </c>
      <c r="C155" s="90" t="s">
        <v>212</v>
      </c>
      <c r="D155" s="90" t="s">
        <v>195</v>
      </c>
      <c r="E155" s="90" t="s">
        <v>245</v>
      </c>
      <c r="F155" s="90" t="s">
        <v>246</v>
      </c>
      <c r="G155" s="90" t="s">
        <v>293</v>
      </c>
      <c r="H155" s="302" t="s">
        <v>247</v>
      </c>
      <c r="I155" s="302"/>
      <c r="J155" s="302"/>
      <c r="K155" s="302" t="s">
        <v>248</v>
      </c>
      <c r="L155" s="302"/>
      <c r="M155" s="302"/>
      <c r="N155" s="302" t="s">
        <v>251</v>
      </c>
      <c r="O155" s="302"/>
      <c r="P155" s="302"/>
      <c r="Q155" s="90" t="s">
        <v>472</v>
      </c>
      <c r="R155" s="90" t="s">
        <v>242</v>
      </c>
      <c r="S155" s="90" t="s">
        <v>246</v>
      </c>
      <c r="T155" s="90" t="s">
        <v>2405</v>
      </c>
      <c r="U155" s="90" t="s">
        <v>569</v>
      </c>
    </row>
    <row r="156" spans="1:29" ht="28.5">
      <c r="A156" s="90"/>
      <c r="B156" s="90"/>
      <c r="C156" s="90"/>
      <c r="D156" s="90"/>
      <c r="E156" s="90"/>
      <c r="F156" s="90"/>
      <c r="G156" s="93" t="s">
        <v>294</v>
      </c>
      <c r="H156" s="91" t="s">
        <v>289</v>
      </c>
      <c r="I156" s="91" t="s">
        <v>249</v>
      </c>
      <c r="J156" s="91" t="s">
        <v>250</v>
      </c>
      <c r="K156" s="91" t="s">
        <v>290</v>
      </c>
      <c r="L156" s="91" t="s">
        <v>291</v>
      </c>
      <c r="M156" s="91" t="s">
        <v>292</v>
      </c>
      <c r="N156" s="91" t="s">
        <v>252</v>
      </c>
      <c r="O156" s="91" t="s">
        <v>253</v>
      </c>
      <c r="P156" s="91" t="s">
        <v>254</v>
      </c>
      <c r="Q156" s="91" t="s">
        <v>473</v>
      </c>
      <c r="R156" s="91"/>
      <c r="S156" s="91"/>
      <c r="T156" s="91"/>
      <c r="U156" s="91"/>
    </row>
    <row r="157" spans="1:29">
      <c r="A157" s="8" t="s">
        <v>1705</v>
      </c>
      <c r="B157" s="192" t="str">
        <f>Texte!$B$270</f>
        <v>Scavo (SIA 2032)</v>
      </c>
      <c r="C157" s="8"/>
      <c r="D157" s="245"/>
      <c r="E157" s="8" t="s">
        <v>797</v>
      </c>
      <c r="F157" s="8" t="s">
        <v>256</v>
      </c>
      <c r="G157" s="8">
        <v>60</v>
      </c>
      <c r="H157" s="196">
        <v>2.7833333333333331E-2</v>
      </c>
      <c r="I157" s="207">
        <v>1.67</v>
      </c>
      <c r="J157" s="207">
        <v>0</v>
      </c>
      <c r="K157" s="200">
        <f>(L157+M157)/$G157</f>
        <v>6.8666666666666659E-3</v>
      </c>
      <c r="L157" s="206">
        <v>0.41199999999999998</v>
      </c>
      <c r="M157" s="206">
        <v>0</v>
      </c>
      <c r="N157" s="198">
        <f>(O157+P157)/$G157</f>
        <v>8.15</v>
      </c>
      <c r="O157" s="198">
        <v>489</v>
      </c>
      <c r="P157" s="198">
        <v>0</v>
      </c>
      <c r="Q157" s="8" t="s">
        <v>19</v>
      </c>
      <c r="R157" s="8" t="s">
        <v>281</v>
      </c>
      <c r="S157" s="8" t="s">
        <v>256</v>
      </c>
      <c r="T157" s="8" t="s">
        <v>2406</v>
      </c>
      <c r="U157" s="191" t="s">
        <v>796</v>
      </c>
      <c r="W157">
        <f>COUNTIF($A$157:A157,A157)</f>
        <v>1</v>
      </c>
      <c r="X157" t="s">
        <v>1973</v>
      </c>
      <c r="Y157">
        <f>IFERROR(RIGHT(X157,3)*1,"")</f>
        <v>248</v>
      </c>
      <c r="Z157" t="str">
        <f>IF(Y157&lt;&gt;"",RIGHT(A157,LEN(A157)-SEARCH("_",A157,3))&amp;"-"&amp;W157,"")</f>
        <v>B-1</v>
      </c>
      <c r="AB157">
        <v>180</v>
      </c>
      <c r="AC157" t="s">
        <v>2159</v>
      </c>
    </row>
    <row r="158" spans="1:29">
      <c r="A158" s="8" t="s">
        <v>1705</v>
      </c>
      <c r="B158" s="192" t="str">
        <f>Texte!$B$272</f>
        <v>Chiusura della fossa dell'edificio, parete del diaframma (SIA 2032)</v>
      </c>
      <c r="C158" s="8"/>
      <c r="D158" s="245"/>
      <c r="E158" s="8" t="s">
        <v>255</v>
      </c>
      <c r="F158" s="8" t="s">
        <v>30</v>
      </c>
      <c r="G158" s="8">
        <v>60</v>
      </c>
      <c r="H158" s="196">
        <v>20.833333333333332</v>
      </c>
      <c r="I158" s="207">
        <v>1120</v>
      </c>
      <c r="J158" s="207">
        <v>130</v>
      </c>
      <c r="K158" s="200">
        <f>(L158+M158)/$G158</f>
        <v>6.7866666666666662</v>
      </c>
      <c r="L158" s="206">
        <v>382</v>
      </c>
      <c r="M158" s="206">
        <v>25.2</v>
      </c>
      <c r="N158" s="198">
        <f>(O158+P158)/$G158</f>
        <v>10808.333333333334</v>
      </c>
      <c r="O158" s="202">
        <v>583000</v>
      </c>
      <c r="P158" s="202">
        <v>65500</v>
      </c>
      <c r="Q158" s="8" t="s">
        <v>19</v>
      </c>
      <c r="R158" s="8"/>
      <c r="S158" s="8" t="s">
        <v>30</v>
      </c>
      <c r="T158" s="8" t="s">
        <v>2406</v>
      </c>
      <c r="U158" s="191" t="s">
        <v>796</v>
      </c>
      <c r="W158">
        <f>COUNTIF($A$157:A158,A158)</f>
        <v>2</v>
      </c>
      <c r="X158" t="s">
        <v>1974</v>
      </c>
      <c r="Y158">
        <f t="shared" ref="Y158:Y221" si="9">IFERROR(RIGHT(X158,3)*1,"")</f>
        <v>250</v>
      </c>
      <c r="Z158" t="str">
        <f t="shared" ref="Z158:Z221" si="10">IF(Y158&lt;&gt;"",RIGHT(A158,LEN(A158)-SEARCH("_",A158,3))&amp;"-"&amp;W158,"")</f>
        <v>B-2</v>
      </c>
      <c r="AB158">
        <v>181</v>
      </c>
      <c r="AC158" t="s">
        <v>2160</v>
      </c>
    </row>
    <row r="159" spans="1:29">
      <c r="A159" s="8" t="s">
        <v>1705</v>
      </c>
      <c r="B159" s="192" t="str">
        <f>Texte!$B$271</f>
        <v>Chiusura della fossa dell'edificio, parete berlinese (SIA 2032)</v>
      </c>
      <c r="C159" s="8"/>
      <c r="D159" s="245"/>
      <c r="E159" s="8" t="s">
        <v>255</v>
      </c>
      <c r="F159" s="8" t="s">
        <v>30</v>
      </c>
      <c r="G159" s="8">
        <v>60</v>
      </c>
      <c r="H159" s="196">
        <v>11.286666666666667</v>
      </c>
      <c r="I159" s="207">
        <v>642</v>
      </c>
      <c r="J159" s="207">
        <v>35.200000000000003</v>
      </c>
      <c r="K159" s="200">
        <f>(L159+M159)/$G159</f>
        <v>3.0640000000000001</v>
      </c>
      <c r="L159" s="206">
        <v>177</v>
      </c>
      <c r="M159" s="206">
        <v>6.84</v>
      </c>
      <c r="N159" s="198">
        <f>(O159+P159)/$G159</f>
        <v>3996.6666666666665</v>
      </c>
      <c r="O159" s="202">
        <v>222000</v>
      </c>
      <c r="P159" s="202">
        <v>17800</v>
      </c>
      <c r="Q159" s="8" t="s">
        <v>19</v>
      </c>
      <c r="R159" s="8"/>
      <c r="S159" s="8" t="s">
        <v>30</v>
      </c>
      <c r="T159" s="8" t="s">
        <v>2406</v>
      </c>
      <c r="U159" s="191" t="s">
        <v>796</v>
      </c>
      <c r="W159">
        <f>COUNTIF($A$157:A159,A159)</f>
        <v>3</v>
      </c>
      <c r="X159" t="s">
        <v>1975</v>
      </c>
      <c r="Y159">
        <f t="shared" si="9"/>
        <v>249</v>
      </c>
      <c r="Z159" t="str">
        <f t="shared" si="10"/>
        <v>B-3</v>
      </c>
      <c r="AB159">
        <v>182</v>
      </c>
      <c r="AC159" t="s">
        <v>2161</v>
      </c>
    </row>
    <row r="160" spans="1:29">
      <c r="A160" s="8" t="s">
        <v>1705</v>
      </c>
      <c r="B160" s="192" t="str">
        <f>Texte!$B$273</f>
        <v>Chiusura della fossa dell'edificio, parete di palancole (SIA 2032)</v>
      </c>
      <c r="C160" s="8"/>
      <c r="D160" s="245"/>
      <c r="E160" s="8" t="s">
        <v>255</v>
      </c>
      <c r="F160" s="8" t="s">
        <v>30</v>
      </c>
      <c r="G160" s="8">
        <v>60</v>
      </c>
      <c r="H160" s="196">
        <v>12.45</v>
      </c>
      <c r="I160" s="207">
        <v>747</v>
      </c>
      <c r="J160" s="207">
        <v>0</v>
      </c>
      <c r="K160" s="200">
        <f>(L160+M160)/$G160</f>
        <v>2.7166666666666668</v>
      </c>
      <c r="L160" s="206">
        <v>163</v>
      </c>
      <c r="M160" s="206">
        <v>0</v>
      </c>
      <c r="N160" s="198">
        <f>(O160+P160)/$G160</f>
        <v>3800</v>
      </c>
      <c r="O160" s="202">
        <v>228000</v>
      </c>
      <c r="P160" s="202">
        <v>0</v>
      </c>
      <c r="Q160" s="8" t="s">
        <v>19</v>
      </c>
      <c r="R160" s="8"/>
      <c r="S160" s="8" t="s">
        <v>30</v>
      </c>
      <c r="T160" s="8" t="s">
        <v>2406</v>
      </c>
      <c r="U160" s="191" t="s">
        <v>796</v>
      </c>
      <c r="W160">
        <f>COUNTIF($A$157:A160,A160)</f>
        <v>4</v>
      </c>
      <c r="X160" t="s">
        <v>1976</v>
      </c>
      <c r="Y160">
        <f t="shared" si="9"/>
        <v>251</v>
      </c>
      <c r="Z160" t="str">
        <f t="shared" si="10"/>
        <v>B-4</v>
      </c>
      <c r="AB160">
        <v>183</v>
      </c>
      <c r="AC160" t="s">
        <v>2162</v>
      </c>
    </row>
    <row r="161" spans="1:29">
      <c r="A161" s="8" t="s">
        <v>1705</v>
      </c>
      <c r="B161" s="192" t="str">
        <f>Texte!$B$274</f>
        <v>Pali, micropali (SIA 2032)</v>
      </c>
      <c r="C161" s="8"/>
      <c r="D161" s="245"/>
      <c r="E161" s="8" t="s">
        <v>798</v>
      </c>
      <c r="F161" s="8" t="s">
        <v>30</v>
      </c>
      <c r="G161" s="8">
        <v>60</v>
      </c>
      <c r="H161" s="196">
        <v>2.9</v>
      </c>
      <c r="I161" s="207">
        <v>174</v>
      </c>
      <c r="J161" s="207">
        <v>0</v>
      </c>
      <c r="K161" s="200">
        <v>0.76500000000000012</v>
      </c>
      <c r="L161" s="206">
        <v>45.900000000000006</v>
      </c>
      <c r="M161" s="206">
        <v>0</v>
      </c>
      <c r="N161" s="198">
        <v>1215</v>
      </c>
      <c r="O161" s="202">
        <v>72900</v>
      </c>
      <c r="P161" s="202">
        <v>0</v>
      </c>
      <c r="Q161" s="8" t="s">
        <v>19</v>
      </c>
      <c r="R161" s="8"/>
      <c r="S161" s="8" t="s">
        <v>30</v>
      </c>
      <c r="T161" s="8" t="s">
        <v>368</v>
      </c>
      <c r="U161" s="191" t="s">
        <v>796</v>
      </c>
      <c r="W161">
        <f>COUNTIF($A$157:A161,A161)</f>
        <v>5</v>
      </c>
      <c r="X161" t="s">
        <v>1979</v>
      </c>
      <c r="Y161">
        <f t="shared" si="9"/>
        <v>252</v>
      </c>
      <c r="Z161" t="str">
        <f t="shared" si="10"/>
        <v>B-5</v>
      </c>
      <c r="AB161">
        <v>184</v>
      </c>
      <c r="AC161" t="s">
        <v>2163</v>
      </c>
    </row>
    <row r="162" spans="1:29">
      <c r="A162" s="8" t="s">
        <v>1705</v>
      </c>
      <c r="B162" s="192" t="str">
        <f>Texte!$B$275</f>
        <v>Palo, palo dislocante in calcestruzzo gettato in opera (SIA 2032)</v>
      </c>
      <c r="C162" s="8"/>
      <c r="D162" s="245"/>
      <c r="E162" s="8" t="s">
        <v>798</v>
      </c>
      <c r="F162" s="8" t="s">
        <v>30</v>
      </c>
      <c r="G162" s="8">
        <v>60</v>
      </c>
      <c r="H162" s="196">
        <v>6.8250000000000002</v>
      </c>
      <c r="I162" s="207">
        <v>409.5</v>
      </c>
      <c r="J162" s="207">
        <v>0</v>
      </c>
      <c r="K162" s="200">
        <v>2.2824999999999998</v>
      </c>
      <c r="L162" s="206">
        <v>136.94999999999999</v>
      </c>
      <c r="M162" s="206">
        <v>0</v>
      </c>
      <c r="N162" s="198">
        <v>3800</v>
      </c>
      <c r="O162" s="202">
        <v>228000</v>
      </c>
      <c r="P162" s="202">
        <v>0</v>
      </c>
      <c r="Q162" s="8" t="s">
        <v>19</v>
      </c>
      <c r="R162" s="8"/>
      <c r="S162" s="8" t="s">
        <v>30</v>
      </c>
      <c r="T162" s="8" t="s">
        <v>368</v>
      </c>
      <c r="U162" s="191" t="s">
        <v>796</v>
      </c>
      <c r="W162">
        <f>COUNTIF($A$157:A162,A162)</f>
        <v>6</v>
      </c>
      <c r="X162" t="s">
        <v>1980</v>
      </c>
      <c r="Y162">
        <f t="shared" si="9"/>
        <v>253</v>
      </c>
      <c r="Z162" t="str">
        <f t="shared" si="10"/>
        <v>B-6</v>
      </c>
      <c r="AB162">
        <v>185</v>
      </c>
      <c r="AC162" t="s">
        <v>2164</v>
      </c>
    </row>
    <row r="163" spans="1:29">
      <c r="A163" s="8" t="s">
        <v>1705</v>
      </c>
      <c r="B163" s="192" t="str">
        <f>Texte!$B$276</f>
        <v>Pali, palo prefabbricato in calcestruzzo (SIA 2032)</v>
      </c>
      <c r="C163" s="8"/>
      <c r="D163" s="245"/>
      <c r="E163" s="8" t="s">
        <v>798</v>
      </c>
      <c r="F163" s="8" t="s">
        <v>30</v>
      </c>
      <c r="G163" s="8">
        <v>60</v>
      </c>
      <c r="H163" s="196">
        <v>1.6524999999999999</v>
      </c>
      <c r="I163" s="196">
        <v>99.149999999999991</v>
      </c>
      <c r="J163" s="196">
        <v>0</v>
      </c>
      <c r="K163" s="200">
        <v>0.71500000000000008</v>
      </c>
      <c r="L163" s="206">
        <v>42.900000000000006</v>
      </c>
      <c r="M163" s="206">
        <v>0</v>
      </c>
      <c r="N163" s="198">
        <v>970</v>
      </c>
      <c r="O163" s="198">
        <v>58200</v>
      </c>
      <c r="P163" s="198">
        <v>0</v>
      </c>
      <c r="Q163" s="8" t="s">
        <v>19</v>
      </c>
      <c r="R163" s="8"/>
      <c r="S163" s="8" t="s">
        <v>30</v>
      </c>
      <c r="T163" s="8" t="s">
        <v>368</v>
      </c>
      <c r="U163" s="191" t="s">
        <v>796</v>
      </c>
      <c r="W163">
        <f>COUNTIF($A$157:A163,A163)</f>
        <v>7</v>
      </c>
      <c r="X163" t="s">
        <v>1981</v>
      </c>
      <c r="Y163">
        <f t="shared" si="9"/>
        <v>254</v>
      </c>
      <c r="Z163" t="str">
        <f t="shared" si="10"/>
        <v>B-7</v>
      </c>
      <c r="AB163">
        <v>186</v>
      </c>
      <c r="AC163" t="s">
        <v>2165</v>
      </c>
    </row>
    <row r="164" spans="1:29">
      <c r="A164" s="8" t="s">
        <v>274</v>
      </c>
      <c r="B164" s="8" t="str">
        <f>Texte!$B$330</f>
        <v>Lastre per pavimento, risanamento interno con rivestimento cementizio, 14 cm XPS (BKT)</v>
      </c>
      <c r="C164" s="8" t="s">
        <v>493</v>
      </c>
      <c r="D164" s="252" t="s">
        <v>496</v>
      </c>
      <c r="E164" s="8" t="s">
        <v>255</v>
      </c>
      <c r="F164" s="8" t="s">
        <v>30</v>
      </c>
      <c r="G164" s="177">
        <v>30.006430868167204</v>
      </c>
      <c r="H164" s="177">
        <v>6.2194444444444441</v>
      </c>
      <c r="I164" s="177">
        <v>179.29722222222222</v>
      </c>
      <c r="J164" s="177">
        <v>7.2916666666666661</v>
      </c>
      <c r="K164" s="8">
        <v>2.97</v>
      </c>
      <c r="L164" s="8">
        <v>71.81</v>
      </c>
      <c r="M164" s="8">
        <v>17.36</v>
      </c>
      <c r="N164" s="8">
        <v>2064</v>
      </c>
      <c r="O164" s="8">
        <v>47215</v>
      </c>
      <c r="P164" s="8">
        <v>14697</v>
      </c>
      <c r="Q164" s="8" t="s">
        <v>20</v>
      </c>
      <c r="R164" s="8"/>
      <c r="S164" s="8" t="s">
        <v>30</v>
      </c>
      <c r="T164" s="8" t="s">
        <v>368</v>
      </c>
      <c r="U164" s="191" t="s">
        <v>686</v>
      </c>
      <c r="W164">
        <f>COUNTIF($A$157:A164,A164)</f>
        <v>1</v>
      </c>
      <c r="X164" t="s">
        <v>2353</v>
      </c>
      <c r="Y164">
        <f t="shared" si="9"/>
        <v>308</v>
      </c>
      <c r="Z164" t="str">
        <f t="shared" si="10"/>
        <v>C1-1</v>
      </c>
      <c r="AB164">
        <v>187</v>
      </c>
      <c r="AC164" t="s">
        <v>2166</v>
      </c>
    </row>
    <row r="165" spans="1:29">
      <c r="A165" s="8" t="s">
        <v>274</v>
      </c>
      <c r="B165" s="8" t="str">
        <f>Texte!$B$278</f>
        <v>Piastra di base, fondazione isolata (SIA 2032)</v>
      </c>
      <c r="C165" s="8"/>
      <c r="D165" s="245"/>
      <c r="E165" s="8" t="s">
        <v>255</v>
      </c>
      <c r="F165" s="8" t="s">
        <v>30</v>
      </c>
      <c r="G165" s="8">
        <v>60</v>
      </c>
      <c r="H165" s="196">
        <v>7.3726666666666665</v>
      </c>
      <c r="I165" s="196">
        <v>397.44</v>
      </c>
      <c r="J165" s="196">
        <v>44.92</v>
      </c>
      <c r="K165" s="200">
        <v>2.7103333333333333</v>
      </c>
      <c r="L165" s="8">
        <v>143.54</v>
      </c>
      <c r="M165" s="8">
        <v>19.079999999999998</v>
      </c>
      <c r="N165" s="202">
        <v>3578.1183333333333</v>
      </c>
      <c r="O165" s="202">
        <v>187110.47</v>
      </c>
      <c r="P165" s="202">
        <v>27576.63</v>
      </c>
      <c r="Q165" s="8" t="s">
        <v>20</v>
      </c>
      <c r="R165" s="8"/>
      <c r="S165" s="8" t="s">
        <v>30</v>
      </c>
      <c r="T165" s="8" t="s">
        <v>368</v>
      </c>
      <c r="U165" s="191" t="s">
        <v>796</v>
      </c>
      <c r="W165">
        <f>COUNTIF($A$157:A165,A165)</f>
        <v>2</v>
      </c>
      <c r="X165" t="s">
        <v>1982</v>
      </c>
      <c r="Y165">
        <f t="shared" si="9"/>
        <v>256</v>
      </c>
      <c r="Z165" t="str">
        <f t="shared" si="10"/>
        <v>C1-2</v>
      </c>
      <c r="AB165">
        <v>188</v>
      </c>
      <c r="AC165" t="s">
        <v>2167</v>
      </c>
    </row>
    <row r="166" spans="1:29">
      <c r="A166" s="8" t="s">
        <v>274</v>
      </c>
      <c r="B166" s="8" t="str">
        <f>Texte!$B$277</f>
        <v>Piastra di base, fondazione non isolata (SIA 2032)</v>
      </c>
      <c r="C166" s="8"/>
      <c r="D166" s="245"/>
      <c r="E166" s="8" t="s">
        <v>255</v>
      </c>
      <c r="F166" s="8" t="s">
        <v>30</v>
      </c>
      <c r="G166" s="8">
        <v>60</v>
      </c>
      <c r="H166" s="196">
        <v>4.4995000000000003</v>
      </c>
      <c r="I166" s="196">
        <v>226.46</v>
      </c>
      <c r="J166" s="196">
        <v>43.51</v>
      </c>
      <c r="K166" s="200">
        <v>1.6329999999999998</v>
      </c>
      <c r="L166" s="8">
        <v>89.57</v>
      </c>
      <c r="M166" s="8">
        <v>8.41</v>
      </c>
      <c r="N166" s="202">
        <v>2734.7371666666668</v>
      </c>
      <c r="O166" s="202">
        <v>141955.97</v>
      </c>
      <c r="P166" s="202">
        <v>22128.26</v>
      </c>
      <c r="Q166" s="8" t="s">
        <v>19</v>
      </c>
      <c r="R166" s="8"/>
      <c r="S166" s="8" t="s">
        <v>30</v>
      </c>
      <c r="T166" s="8" t="s">
        <v>368</v>
      </c>
      <c r="U166" s="191" t="s">
        <v>796</v>
      </c>
      <c r="W166">
        <f>COUNTIF($A$157:A166,A166)</f>
        <v>3</v>
      </c>
      <c r="X166" t="s">
        <v>1983</v>
      </c>
      <c r="Y166">
        <f t="shared" si="9"/>
        <v>255</v>
      </c>
      <c r="Z166" t="str">
        <f t="shared" si="10"/>
        <v>C1-3</v>
      </c>
      <c r="AB166">
        <v>189</v>
      </c>
      <c r="AC166" t="s">
        <v>2171</v>
      </c>
    </row>
    <row r="167" spans="1:29">
      <c r="A167" s="8" t="s">
        <v>1706</v>
      </c>
      <c r="B167" s="8" t="str">
        <f>Texte!$B$280</f>
        <v>Parete esterna isolata sotto il terreno (SIA 2032)</v>
      </c>
      <c r="C167" s="8"/>
      <c r="D167" s="245"/>
      <c r="E167" s="8" t="s">
        <v>255</v>
      </c>
      <c r="F167" s="8" t="s">
        <v>30</v>
      </c>
      <c r="G167" s="8">
        <v>60</v>
      </c>
      <c r="H167" s="196">
        <v>8.2651666666666657</v>
      </c>
      <c r="I167" s="196">
        <v>462.78</v>
      </c>
      <c r="J167" s="196">
        <v>33.130000000000003</v>
      </c>
      <c r="K167" s="200">
        <v>2.7371666666666665</v>
      </c>
      <c r="L167" s="8">
        <v>131.26</v>
      </c>
      <c r="M167" s="8">
        <v>32.97</v>
      </c>
      <c r="N167" s="202">
        <v>3298.7833333333333</v>
      </c>
      <c r="O167" s="202">
        <v>168941.86</v>
      </c>
      <c r="P167" s="202">
        <v>28985.14</v>
      </c>
      <c r="Q167" s="8" t="s">
        <v>20</v>
      </c>
      <c r="R167" s="8"/>
      <c r="S167" s="8" t="s">
        <v>30</v>
      </c>
      <c r="T167" s="8" t="s">
        <v>368</v>
      </c>
      <c r="U167" s="191" t="s">
        <v>796</v>
      </c>
      <c r="W167">
        <f>COUNTIF($A$157:A167,A167)</f>
        <v>1</v>
      </c>
      <c r="X167" t="s">
        <v>1987</v>
      </c>
      <c r="Y167">
        <f t="shared" si="9"/>
        <v>258</v>
      </c>
      <c r="Z167" t="str">
        <f t="shared" si="10"/>
        <v>C211-1</v>
      </c>
      <c r="AB167">
        <v>190</v>
      </c>
      <c r="AC167" t="s">
        <v>2172</v>
      </c>
    </row>
    <row r="168" spans="1:29">
      <c r="A168" s="8" t="s">
        <v>1706</v>
      </c>
      <c r="B168" s="8" t="str">
        <f>Texte!$B$279</f>
        <v>Muro esterno sotto il terreno non isolato (SIA 2032)</v>
      </c>
      <c r="C168" s="8"/>
      <c r="D168" s="245"/>
      <c r="E168" s="8" t="s">
        <v>255</v>
      </c>
      <c r="F168" s="8" t="s">
        <v>30</v>
      </c>
      <c r="G168" s="8">
        <v>60</v>
      </c>
      <c r="H168" s="196">
        <v>4.6161666666666674</v>
      </c>
      <c r="I168" s="196">
        <v>245.9</v>
      </c>
      <c r="J168" s="196">
        <v>31.07</v>
      </c>
      <c r="K168" s="200">
        <v>1.5068333333333332</v>
      </c>
      <c r="L168" s="8">
        <v>75.22</v>
      </c>
      <c r="M168" s="8">
        <v>15.19</v>
      </c>
      <c r="N168" s="202">
        <v>2323.402</v>
      </c>
      <c r="O168" s="202">
        <v>119407.36</v>
      </c>
      <c r="P168" s="202">
        <v>19996.759999999998</v>
      </c>
      <c r="Q168" s="8" t="s">
        <v>19</v>
      </c>
      <c r="R168" s="8"/>
      <c r="S168" s="8" t="s">
        <v>30</v>
      </c>
      <c r="T168" s="8" t="s">
        <v>368</v>
      </c>
      <c r="U168" s="191" t="s">
        <v>796</v>
      </c>
      <c r="W168">
        <f>COUNTIF($A$157:A168,A168)</f>
        <v>2</v>
      </c>
      <c r="X168" t="s">
        <v>1988</v>
      </c>
      <c r="Y168">
        <f t="shared" si="9"/>
        <v>257</v>
      </c>
      <c r="Z168" t="str">
        <f t="shared" si="10"/>
        <v>C211-2</v>
      </c>
      <c r="AB168">
        <v>191</v>
      </c>
      <c r="AC168" t="s">
        <v>2173</v>
      </c>
    </row>
    <row r="169" spans="1:29">
      <c r="A169" s="8" t="s">
        <v>272</v>
      </c>
      <c r="B169" s="8" t="str">
        <f>Texte!B334</f>
        <v>Isolamento esterno su muratura contro non riscaldato (BTK)</v>
      </c>
      <c r="C169" s="8" t="s">
        <v>483</v>
      </c>
      <c r="D169" s="252" t="s">
        <v>500</v>
      </c>
      <c r="E169" s="8" t="s">
        <v>255</v>
      </c>
      <c r="F169" s="8" t="s">
        <v>30</v>
      </c>
      <c r="G169" s="177">
        <v>33.901910828025478</v>
      </c>
      <c r="H169" s="177">
        <v>4.3611111111111107</v>
      </c>
      <c r="I169" s="177">
        <v>146.57499999999999</v>
      </c>
      <c r="J169" s="177">
        <v>1.2749999999999999</v>
      </c>
      <c r="K169" s="8">
        <v>0.97</v>
      </c>
      <c r="L169" s="8">
        <v>23.47</v>
      </c>
      <c r="M169" s="8">
        <v>9.6300000000000008</v>
      </c>
      <c r="N169" s="8">
        <v>850</v>
      </c>
      <c r="O169" s="8">
        <v>22241</v>
      </c>
      <c r="P169" s="8">
        <v>6536</v>
      </c>
      <c r="Q169" s="8" t="s">
        <v>20</v>
      </c>
      <c r="R169" s="8"/>
      <c r="S169" s="8" t="s">
        <v>30</v>
      </c>
      <c r="T169" s="8" t="s">
        <v>368</v>
      </c>
      <c r="U169" s="191" t="s">
        <v>686</v>
      </c>
      <c r="W169">
        <f>COUNTIF($A$157:A169,A169)</f>
        <v>1</v>
      </c>
      <c r="X169" t="s">
        <v>2259</v>
      </c>
      <c r="Y169">
        <f t="shared" si="9"/>
        <v>312</v>
      </c>
      <c r="Z169" t="str">
        <f t="shared" si="10"/>
        <v>C212-1</v>
      </c>
      <c r="AB169">
        <v>192</v>
      </c>
      <c r="AC169" t="s">
        <v>2174</v>
      </c>
    </row>
    <row r="170" spans="1:29">
      <c r="A170" s="8" t="s">
        <v>272</v>
      </c>
      <c r="B170" s="8" t="str">
        <f>Texte!B332</f>
        <v>Isolamento esterno ventilato su muratura, 20 cm lana di roccia (BTK)</v>
      </c>
      <c r="C170" s="8" t="s">
        <v>480</v>
      </c>
      <c r="D170" s="252" t="s">
        <v>498</v>
      </c>
      <c r="E170" s="8" t="s">
        <v>255</v>
      </c>
      <c r="F170" s="8" t="s">
        <v>30</v>
      </c>
      <c r="G170" s="177">
        <v>39.9984496124031</v>
      </c>
      <c r="H170" s="177">
        <v>3.5833333333333335</v>
      </c>
      <c r="I170" s="177">
        <v>142.35277777777779</v>
      </c>
      <c r="J170" s="177">
        <v>0.97499999999999987</v>
      </c>
      <c r="K170" s="8">
        <v>0.43</v>
      </c>
      <c r="L170" s="8">
        <v>17.02</v>
      </c>
      <c r="M170" s="8">
        <v>0.17</v>
      </c>
      <c r="N170" s="8">
        <v>604</v>
      </c>
      <c r="O170" s="8">
        <v>20759</v>
      </c>
      <c r="P170" s="8">
        <v>3414</v>
      </c>
      <c r="Q170" s="8" t="s">
        <v>20</v>
      </c>
      <c r="R170" s="8"/>
      <c r="S170" s="8" t="s">
        <v>30</v>
      </c>
      <c r="T170" s="8" t="s">
        <v>368</v>
      </c>
      <c r="U170" s="191" t="s">
        <v>686</v>
      </c>
      <c r="W170">
        <f>COUNTIF($A$157:A170,A170)</f>
        <v>2</v>
      </c>
      <c r="X170" t="s">
        <v>2260</v>
      </c>
      <c r="Y170">
        <f t="shared" si="9"/>
        <v>310</v>
      </c>
      <c r="Z170" t="str">
        <f t="shared" si="10"/>
        <v>C212-2</v>
      </c>
      <c r="AB170">
        <v>193</v>
      </c>
      <c r="AC170" t="s">
        <v>2175</v>
      </c>
    </row>
    <row r="171" spans="1:29">
      <c r="A171" s="8" t="s">
        <v>272</v>
      </c>
      <c r="B171" s="8" t="str">
        <f>Texte!B333</f>
        <v xml:space="preserve">Isolamento interno con rivestimento, su muratura, 22 cm lana di roccia (BTK) </v>
      </c>
      <c r="C171" s="8" t="s">
        <v>482</v>
      </c>
      <c r="D171" s="252" t="s">
        <v>499</v>
      </c>
      <c r="E171" s="8" t="s">
        <v>255</v>
      </c>
      <c r="F171" s="8" t="s">
        <v>30</v>
      </c>
      <c r="G171" s="177">
        <v>30.020799999999998</v>
      </c>
      <c r="H171" s="177">
        <v>1.7361111111111112</v>
      </c>
      <c r="I171" s="177">
        <v>50.719444444444441</v>
      </c>
      <c r="J171" s="177">
        <v>1.4</v>
      </c>
      <c r="K171" s="8">
        <v>0.4</v>
      </c>
      <c r="L171" s="8">
        <v>11.18</v>
      </c>
      <c r="M171" s="8">
        <v>0.71</v>
      </c>
      <c r="N171" s="8">
        <v>500</v>
      </c>
      <c r="O171" s="8">
        <v>12390</v>
      </c>
      <c r="P171" s="8">
        <v>2624</v>
      </c>
      <c r="Q171" s="8" t="s">
        <v>20</v>
      </c>
      <c r="R171" s="8"/>
      <c r="S171" s="8" t="s">
        <v>30</v>
      </c>
      <c r="T171" s="8" t="s">
        <v>368</v>
      </c>
      <c r="U171" s="191" t="s">
        <v>686</v>
      </c>
      <c r="W171">
        <f>COUNTIF($A$157:A171,A171)</f>
        <v>3</v>
      </c>
      <c r="X171" t="s">
        <v>2261</v>
      </c>
      <c r="Y171">
        <f t="shared" si="9"/>
        <v>311</v>
      </c>
      <c r="Z171" t="str">
        <f t="shared" si="10"/>
        <v>C212-3</v>
      </c>
      <c r="AB171">
        <v>194</v>
      </c>
      <c r="AC171" t="s">
        <v>2176</v>
      </c>
    </row>
    <row r="172" spans="1:29">
      <c r="A172" s="8" t="s">
        <v>272</v>
      </c>
      <c r="B172" s="8" t="str">
        <f>Texte!B331</f>
        <v>Cappotto su muratura, 20 cm EPS (BTK)</v>
      </c>
      <c r="C172" s="8" t="s">
        <v>481</v>
      </c>
      <c r="D172" s="252" t="s">
        <v>497</v>
      </c>
      <c r="E172" s="8" t="s">
        <v>255</v>
      </c>
      <c r="F172" s="8" t="s">
        <v>30</v>
      </c>
      <c r="G172" s="177">
        <v>30.007816571130796</v>
      </c>
      <c r="H172" s="177">
        <v>5.3305555555555557</v>
      </c>
      <c r="I172" s="177">
        <v>159.29722222222222</v>
      </c>
      <c r="J172" s="177">
        <v>0.66111111111111109</v>
      </c>
      <c r="K172" s="206">
        <v>3.26</v>
      </c>
      <c r="L172" s="206">
        <v>78.760000000000005</v>
      </c>
      <c r="M172" s="206">
        <v>19.079999999999998</v>
      </c>
      <c r="N172" s="237">
        <v>2212</v>
      </c>
      <c r="O172" s="237">
        <v>53977</v>
      </c>
      <c r="P172" s="8">
        <v>12373</v>
      </c>
      <c r="Q172" s="8" t="s">
        <v>20</v>
      </c>
      <c r="R172" s="8"/>
      <c r="S172" s="8" t="s">
        <v>30</v>
      </c>
      <c r="T172" s="8" t="s">
        <v>368</v>
      </c>
      <c r="U172" s="191" t="s">
        <v>686</v>
      </c>
      <c r="W172">
        <f>COUNTIF($A$157:A172,A172)</f>
        <v>4</v>
      </c>
      <c r="X172" t="s">
        <v>2262</v>
      </c>
      <c r="Y172">
        <f t="shared" si="9"/>
        <v>309</v>
      </c>
      <c r="Z172" t="str">
        <f t="shared" si="10"/>
        <v>C212-4</v>
      </c>
      <c r="AB172">
        <v>195</v>
      </c>
      <c r="AC172" t="s">
        <v>2177</v>
      </c>
    </row>
    <row r="173" spans="1:29">
      <c r="A173" s="8" t="s">
        <v>272</v>
      </c>
      <c r="B173" s="192" t="str">
        <f>$B$30</f>
        <v>Muro in mattoni con intonaco interno, parete a doppio guscio (SIA 2032)</v>
      </c>
      <c r="C173" s="192"/>
      <c r="D173" s="251"/>
      <c r="E173" s="192" t="str">
        <f t="shared" ref="E173:U177" si="11">E30</f>
        <v>BTF</v>
      </c>
      <c r="F173" s="192" t="str">
        <f t="shared" si="11"/>
        <v>m2</v>
      </c>
      <c r="G173" s="192">
        <f t="shared" si="11"/>
        <v>42</v>
      </c>
      <c r="H173" s="240">
        <f t="shared" si="11"/>
        <v>10.063867033333331</v>
      </c>
      <c r="I173" s="240">
        <f t="shared" si="11"/>
        <v>409.21360000000004</v>
      </c>
      <c r="J173" s="240">
        <f t="shared" si="11"/>
        <v>20.152518000000004</v>
      </c>
      <c r="K173" s="239">
        <f t="shared" si="11"/>
        <v>3.17469716</v>
      </c>
      <c r="L173" s="239">
        <f t="shared" si="11"/>
        <v>132.6225</v>
      </c>
      <c r="M173" s="239">
        <f t="shared" si="11"/>
        <v>4.1059374000000002</v>
      </c>
      <c r="N173" s="241">
        <f t="shared" si="11"/>
        <v>2884.3068666666672</v>
      </c>
      <c r="O173" s="241">
        <f t="shared" si="11"/>
        <v>113364.70000000001</v>
      </c>
      <c r="P173" s="241">
        <f t="shared" si="11"/>
        <v>9763.9480000000003</v>
      </c>
      <c r="Q173" s="192" t="str">
        <f t="shared" si="11"/>
        <v>Ja</v>
      </c>
      <c r="R173" s="192"/>
      <c r="S173" s="192" t="str">
        <f t="shared" si="11"/>
        <v>m2</v>
      </c>
      <c r="T173" s="8" t="s">
        <v>368</v>
      </c>
      <c r="U173" s="192" t="str">
        <f t="shared" si="11"/>
        <v>SIA2032</v>
      </c>
      <c r="W173">
        <f>COUNTIF($A$157:A173,A173)</f>
        <v>5</v>
      </c>
      <c r="X173" t="s">
        <v>2263</v>
      </c>
      <c r="Y173" t="str">
        <f t="shared" si="9"/>
        <v/>
      </c>
      <c r="Z173" t="str">
        <f t="shared" si="10"/>
        <v/>
      </c>
      <c r="AB173">
        <v>196</v>
      </c>
      <c r="AC173" t="s">
        <v>2178</v>
      </c>
    </row>
    <row r="174" spans="1:29">
      <c r="A174" s="8" t="s">
        <v>272</v>
      </c>
      <c r="B174" s="192" t="str">
        <f>$B$31</f>
        <v>Muro in mattoni con intonaco interno, rivest. in fibrocemento/pietra (SIA 2032)</v>
      </c>
      <c r="C174" s="192"/>
      <c r="D174" s="251"/>
      <c r="E174" s="192" t="str">
        <f t="shared" ref="E174:Q174" si="12">E31</f>
        <v>BTF</v>
      </c>
      <c r="F174" s="192" t="str">
        <f t="shared" si="12"/>
        <v>m2</v>
      </c>
      <c r="G174" s="192">
        <f t="shared" si="12"/>
        <v>42</v>
      </c>
      <c r="H174" s="240">
        <f t="shared" si="12"/>
        <v>8.1597471624999969</v>
      </c>
      <c r="I174" s="240">
        <f t="shared" si="12"/>
        <v>339.05445416666669</v>
      </c>
      <c r="J174" s="240">
        <f t="shared" si="12"/>
        <v>14.146869000000002</v>
      </c>
      <c r="K174" s="239">
        <f t="shared" si="12"/>
        <v>2.1583820344337603</v>
      </c>
      <c r="L174" s="239">
        <f t="shared" si="12"/>
        <v>93.025331677350437</v>
      </c>
      <c r="M174" s="239">
        <f t="shared" si="12"/>
        <v>3.0505007000000002</v>
      </c>
      <c r="N174" s="241">
        <f t="shared" si="12"/>
        <v>2200.1420107905988</v>
      </c>
      <c r="O174" s="241">
        <f t="shared" si="12"/>
        <v>89038.869764957271</v>
      </c>
      <c r="P174" s="241">
        <f t="shared" si="12"/>
        <v>6723.1840000000002</v>
      </c>
      <c r="Q174" s="192" t="str">
        <f t="shared" si="12"/>
        <v>Ja</v>
      </c>
      <c r="R174" s="192"/>
      <c r="S174" s="192" t="str">
        <f t="shared" si="11"/>
        <v>m2</v>
      </c>
      <c r="T174" s="8" t="s">
        <v>368</v>
      </c>
      <c r="U174" s="192" t="str">
        <f t="shared" si="11"/>
        <v>SIA2032</v>
      </c>
      <c r="W174">
        <f>COUNTIF($A$157:A174,A174)</f>
        <v>6</v>
      </c>
      <c r="X174" t="s">
        <v>2264</v>
      </c>
      <c r="Y174" t="str">
        <f t="shared" si="9"/>
        <v/>
      </c>
      <c r="Z174" t="str">
        <f t="shared" si="10"/>
        <v/>
      </c>
      <c r="AB174">
        <v>197</v>
      </c>
      <c r="AC174" t="s">
        <v>2179</v>
      </c>
    </row>
    <row r="175" spans="1:29">
      <c r="A175" s="8" t="s">
        <v>272</v>
      </c>
      <c r="B175" s="192" t="str">
        <f>$B$32</f>
        <v>Muro in mattoni con intonaco interno, rivest. in legno (SIA 2032)</v>
      </c>
      <c r="C175" s="192"/>
      <c r="D175" s="251"/>
      <c r="E175" s="192" t="str">
        <f t="shared" ref="E175" si="13">E32</f>
        <v>BTF</v>
      </c>
      <c r="F175" s="192" t="str">
        <f t="shared" si="11"/>
        <v>m2</v>
      </c>
      <c r="G175" s="192">
        <f t="shared" si="11"/>
        <v>42</v>
      </c>
      <c r="H175" s="240">
        <f t="shared" si="11"/>
        <v>5.9280046608333308</v>
      </c>
      <c r="I175" s="240">
        <f t="shared" si="11"/>
        <v>251.62047000000001</v>
      </c>
      <c r="J175" s="240">
        <f t="shared" si="11"/>
        <v>12.311153100000002</v>
      </c>
      <c r="K175" s="239">
        <f t="shared" si="11"/>
        <v>1.5775585087499999</v>
      </c>
      <c r="L175" s="239">
        <f t="shared" si="11"/>
        <v>69.307242500000001</v>
      </c>
      <c r="M175" s="239">
        <f t="shared" si="11"/>
        <v>3.5356488500000003</v>
      </c>
      <c r="N175" s="241">
        <f t="shared" si="11"/>
        <v>1847.8339741666668</v>
      </c>
      <c r="O175" s="241">
        <f t="shared" si="11"/>
        <v>75287.156000000003</v>
      </c>
      <c r="P175" s="241">
        <f t="shared" si="11"/>
        <v>6382.5763000000006</v>
      </c>
      <c r="Q175" s="192" t="str">
        <f t="shared" si="11"/>
        <v>Ja</v>
      </c>
      <c r="R175" s="192"/>
      <c r="S175" s="192" t="str">
        <f t="shared" si="11"/>
        <v>m2</v>
      </c>
      <c r="T175" s="8" t="s">
        <v>368</v>
      </c>
      <c r="U175" s="192" t="str">
        <f t="shared" si="11"/>
        <v>SIA2032</v>
      </c>
      <c r="W175">
        <f>COUNTIF($A$157:A175,A175)</f>
        <v>7</v>
      </c>
      <c r="X175" t="s">
        <v>2265</v>
      </c>
      <c r="Y175" t="str">
        <f t="shared" si="9"/>
        <v/>
      </c>
      <c r="Z175" t="str">
        <f t="shared" si="10"/>
        <v/>
      </c>
      <c r="AB175">
        <v>198</v>
      </c>
      <c r="AC175" t="s">
        <v>2180</v>
      </c>
    </row>
    <row r="176" spans="1:29">
      <c r="A176" s="8" t="s">
        <v>272</v>
      </c>
      <c r="B176" s="192" t="str">
        <f>$B$33</f>
        <v>Muro in mattoni con intonaco interno, rivest. in metallo/vetro (SIA 2032)</v>
      </c>
      <c r="C176" s="192"/>
      <c r="D176" s="251"/>
      <c r="E176" s="192" t="str">
        <f t="shared" ref="E176" si="14">E33</f>
        <v>BTF</v>
      </c>
      <c r="F176" s="192" t="str">
        <f t="shared" si="11"/>
        <v>m2</v>
      </c>
      <c r="G176" s="192">
        <f t="shared" si="11"/>
        <v>42</v>
      </c>
      <c r="H176" s="240">
        <f t="shared" si="11"/>
        <v>11.582977287499997</v>
      </c>
      <c r="I176" s="240">
        <f t="shared" si="11"/>
        <v>477.09785416666659</v>
      </c>
      <c r="J176" s="240">
        <f t="shared" si="11"/>
        <v>13.032674000000002</v>
      </c>
      <c r="K176" s="239">
        <f t="shared" si="11"/>
        <v>2.9094727001388883</v>
      </c>
      <c r="L176" s="239">
        <f t="shared" si="11"/>
        <v>119.06726180555555</v>
      </c>
      <c r="M176" s="239">
        <f t="shared" si="11"/>
        <v>7.0521972000000002</v>
      </c>
      <c r="N176" s="241">
        <f t="shared" si="11"/>
        <v>3015.1850652777775</v>
      </c>
      <c r="O176" s="241">
        <f t="shared" si="11"/>
        <v>120445.23194444443</v>
      </c>
      <c r="P176" s="241">
        <f t="shared" si="11"/>
        <v>7918.5439999999999</v>
      </c>
      <c r="Q176" s="192" t="str">
        <f t="shared" si="11"/>
        <v>Ja</v>
      </c>
      <c r="R176" s="192"/>
      <c r="S176" s="192" t="str">
        <f t="shared" si="11"/>
        <v>m2</v>
      </c>
      <c r="T176" s="8" t="s">
        <v>368</v>
      </c>
      <c r="U176" s="192" t="str">
        <f t="shared" si="11"/>
        <v>SIA2032</v>
      </c>
      <c r="W176">
        <f>COUNTIF($A$157:A176,A176)</f>
        <v>8</v>
      </c>
      <c r="X176" t="s">
        <v>2266</v>
      </c>
      <c r="Y176" t="str">
        <f t="shared" si="9"/>
        <v/>
      </c>
      <c r="Z176" t="str">
        <f t="shared" si="10"/>
        <v/>
      </c>
      <c r="AB176">
        <v>199</v>
      </c>
      <c r="AC176" t="s">
        <v>2181</v>
      </c>
    </row>
    <row r="177" spans="1:29">
      <c r="A177" s="8" t="s">
        <v>272</v>
      </c>
      <c r="B177" s="192" t="str">
        <f>$B$34</f>
        <v>Muro in mattoni con intonaco interno, isolamento esterno intonacato (SIA 2032)</v>
      </c>
      <c r="C177" s="192"/>
      <c r="D177" s="251"/>
      <c r="E177" s="192" t="str">
        <f t="shared" ref="E177" si="15">E34</f>
        <v>BTF</v>
      </c>
      <c r="F177" s="192" t="str">
        <f t="shared" si="11"/>
        <v>m2</v>
      </c>
      <c r="G177" s="192">
        <f t="shared" si="11"/>
        <v>39</v>
      </c>
      <c r="H177" s="240">
        <f t="shared" si="11"/>
        <v>7.7843524166666604</v>
      </c>
      <c r="I177" s="240">
        <f t="shared" si="11"/>
        <v>280.75422500000002</v>
      </c>
      <c r="J177" s="240">
        <f t="shared" si="11"/>
        <v>13.403352500000002</v>
      </c>
      <c r="K177" s="239">
        <f t="shared" si="11"/>
        <v>2.2586531916666663</v>
      </c>
      <c r="L177" s="239">
        <f t="shared" si="11"/>
        <v>80.51155</v>
      </c>
      <c r="M177" s="239">
        <f t="shared" si="11"/>
        <v>8.185167250000001</v>
      </c>
      <c r="N177" s="241">
        <f t="shared" si="11"/>
        <v>1979.0583333333334</v>
      </c>
      <c r="O177" s="241">
        <f t="shared" si="11"/>
        <v>68374.8</v>
      </c>
      <c r="P177" s="241">
        <f t="shared" si="11"/>
        <v>8642.8100000000013</v>
      </c>
      <c r="Q177" s="192" t="str">
        <f t="shared" si="11"/>
        <v>Ja</v>
      </c>
      <c r="R177" s="192"/>
      <c r="S177" s="192" t="str">
        <f t="shared" si="11"/>
        <v>m2</v>
      </c>
      <c r="T177" s="8" t="s">
        <v>368</v>
      </c>
      <c r="U177" s="192" t="str">
        <f t="shared" si="11"/>
        <v>SIA2032</v>
      </c>
      <c r="W177">
        <f>COUNTIF($A$157:A177,A177)</f>
        <v>9</v>
      </c>
      <c r="X177" t="s">
        <v>2267</v>
      </c>
      <c r="Y177" t="str">
        <f t="shared" si="9"/>
        <v/>
      </c>
      <c r="Z177" t="str">
        <f t="shared" si="10"/>
        <v/>
      </c>
      <c r="AB177">
        <v>200</v>
      </c>
      <c r="AC177" t="s">
        <v>2182</v>
      </c>
    </row>
    <row r="178" spans="1:29">
      <c r="A178" s="8" t="s">
        <v>272</v>
      </c>
      <c r="B178" s="192" t="str">
        <f>$B$35</f>
        <v>Parete in calcestruzzo con intonaco interno, parete esterna in mattoni (SIA 2032)</v>
      </c>
      <c r="C178" s="192"/>
      <c r="D178" s="251"/>
      <c r="E178" s="192" t="str">
        <f t="shared" ref="E178:Q178" si="16">E35</f>
        <v>BTF</v>
      </c>
      <c r="F178" s="192" t="str">
        <f t="shared" si="16"/>
        <v>m2</v>
      </c>
      <c r="G178" s="192">
        <f t="shared" si="16"/>
        <v>49</v>
      </c>
      <c r="H178" s="240">
        <f t="shared" si="16"/>
        <v>10.276493946284502</v>
      </c>
      <c r="I178" s="240">
        <f t="shared" si="16"/>
        <v>427.68462038216563</v>
      </c>
      <c r="J178" s="240">
        <f t="shared" si="16"/>
        <v>34.848962394904461</v>
      </c>
      <c r="K178" s="239">
        <f t="shared" si="16"/>
        <v>3.2803793063906586</v>
      </c>
      <c r="L178" s="239">
        <f t="shared" si="16"/>
        <v>141.02148089171976</v>
      </c>
      <c r="M178" s="239">
        <f t="shared" si="16"/>
        <v>8.3741802917197461</v>
      </c>
      <c r="N178" s="241">
        <f t="shared" si="16"/>
        <v>3845.7318443736731</v>
      </c>
      <c r="O178" s="241">
        <f t="shared" si="16"/>
        <v>168531.38980891719</v>
      </c>
      <c r="P178" s="192">
        <f t="shared" si="16"/>
        <v>18294.056853503185</v>
      </c>
      <c r="Q178" s="192" t="str">
        <f t="shared" si="16"/>
        <v>Ja</v>
      </c>
      <c r="R178" s="8"/>
      <c r="S178" s="8" t="s">
        <v>30</v>
      </c>
      <c r="T178" s="8" t="s">
        <v>368</v>
      </c>
      <c r="U178" s="191" t="s">
        <v>796</v>
      </c>
      <c r="W178">
        <f>COUNTIF($A$157:A178,A178)</f>
        <v>10</v>
      </c>
      <c r="X178" t="s">
        <v>2268</v>
      </c>
      <c r="Y178" t="str">
        <f t="shared" si="9"/>
        <v/>
      </c>
      <c r="Z178" t="str">
        <f t="shared" si="10"/>
        <v/>
      </c>
      <c r="AB178">
        <v>201</v>
      </c>
      <c r="AC178" t="s">
        <v>2183</v>
      </c>
    </row>
    <row r="179" spans="1:29">
      <c r="A179" s="8" t="s">
        <v>272</v>
      </c>
      <c r="B179" s="192" t="str">
        <f>$B$36</f>
        <v>Parete in calcestruzzo con intonaco interno, rivest. in fibrocemento/pietra (SIA 2032)</v>
      </c>
      <c r="C179" s="192"/>
      <c r="D179" s="251"/>
      <c r="E179" s="192" t="str">
        <f t="shared" ref="E179:Q181" si="17">E36</f>
        <v>BTF</v>
      </c>
      <c r="F179" s="192" t="str">
        <f t="shared" si="17"/>
        <v>m2</v>
      </c>
      <c r="G179" s="192">
        <f t="shared" si="17"/>
        <v>50</v>
      </c>
      <c r="H179" s="240">
        <f t="shared" si="17"/>
        <v>8.372374075451166</v>
      </c>
      <c r="I179" s="240">
        <f t="shared" si="17"/>
        <v>357.52547454883228</v>
      </c>
      <c r="J179" s="240">
        <f t="shared" si="17"/>
        <v>28.843313394904463</v>
      </c>
      <c r="K179" s="239">
        <f t="shared" si="17"/>
        <v>2.2640641808244188</v>
      </c>
      <c r="L179" s="239">
        <f t="shared" si="17"/>
        <v>101.42431256907017</v>
      </c>
      <c r="M179" s="239">
        <f t="shared" si="17"/>
        <v>7.3187435917197465</v>
      </c>
      <c r="N179" s="241">
        <f t="shared" si="17"/>
        <v>3161.5669884976051</v>
      </c>
      <c r="O179" s="241">
        <f t="shared" si="17"/>
        <v>144205.55957387446</v>
      </c>
      <c r="P179" s="241">
        <f t="shared" si="17"/>
        <v>15253.292853503186</v>
      </c>
      <c r="Q179" s="192" t="str">
        <f t="shared" si="17"/>
        <v>Ja</v>
      </c>
      <c r="R179" s="8"/>
      <c r="S179" s="8" t="s">
        <v>30</v>
      </c>
      <c r="T179" s="8" t="s">
        <v>368</v>
      </c>
      <c r="U179" s="191" t="s">
        <v>796</v>
      </c>
      <c r="W179">
        <f>COUNTIF($A$157:A179,A179)</f>
        <v>11</v>
      </c>
      <c r="X179" t="s">
        <v>2269</v>
      </c>
      <c r="Y179" t="str">
        <f t="shared" si="9"/>
        <v/>
      </c>
      <c r="Z179" t="str">
        <f t="shared" si="10"/>
        <v/>
      </c>
      <c r="AB179">
        <v>202</v>
      </c>
      <c r="AC179" t="s">
        <v>2184</v>
      </c>
    </row>
    <row r="180" spans="1:29">
      <c r="A180" s="8" t="s">
        <v>272</v>
      </c>
      <c r="B180" s="192" t="str">
        <f>$B$37</f>
        <v>Parete in calcestruzzo con intonaco interno, rivest. in metallo/vetro (SIA 2032)</v>
      </c>
      <c r="C180" s="192"/>
      <c r="D180" s="251"/>
      <c r="E180" s="192" t="str">
        <f t="shared" si="17"/>
        <v>BTF</v>
      </c>
      <c r="F180" s="192" t="str">
        <f t="shared" si="17"/>
        <v>m2</v>
      </c>
      <c r="G180" s="192">
        <f t="shared" si="17"/>
        <v>48</v>
      </c>
      <c r="H180" s="240">
        <f t="shared" si="17"/>
        <v>11.795604200451166</v>
      </c>
      <c r="I180" s="240">
        <f t="shared" si="17"/>
        <v>495.56887454883224</v>
      </c>
      <c r="J180" s="240">
        <f t="shared" si="17"/>
        <v>27.729118394904461</v>
      </c>
      <c r="K180" s="239">
        <f t="shared" si="17"/>
        <v>3.0151548465295468</v>
      </c>
      <c r="L180" s="239">
        <f t="shared" si="17"/>
        <v>127.46624269727529</v>
      </c>
      <c r="M180" s="239">
        <f t="shared" si="17"/>
        <v>11.320440091719746</v>
      </c>
      <c r="N180" s="241">
        <f t="shared" si="17"/>
        <v>3976.6100429847838</v>
      </c>
      <c r="O180" s="241">
        <f t="shared" si="17"/>
        <v>175611.92175336162</v>
      </c>
      <c r="P180" s="241">
        <f t="shared" si="17"/>
        <v>16448.652853503187</v>
      </c>
      <c r="Q180" s="192" t="str">
        <f t="shared" si="17"/>
        <v>Ja</v>
      </c>
      <c r="R180" s="8"/>
      <c r="S180" s="8" t="s">
        <v>30</v>
      </c>
      <c r="T180" s="8" t="s">
        <v>368</v>
      </c>
      <c r="U180" s="191" t="s">
        <v>796</v>
      </c>
      <c r="W180">
        <f>COUNTIF($A$157:A180,A180)</f>
        <v>12</v>
      </c>
      <c r="X180" t="s">
        <v>2270</v>
      </c>
      <c r="Y180" t="str">
        <f t="shared" si="9"/>
        <v/>
      </c>
      <c r="Z180" t="str">
        <f t="shared" si="10"/>
        <v/>
      </c>
      <c r="AB180">
        <v>203</v>
      </c>
      <c r="AC180" t="s">
        <v>2189</v>
      </c>
    </row>
    <row r="181" spans="1:29">
      <c r="A181" s="8" t="s">
        <v>272</v>
      </c>
      <c r="B181" s="192" t="str">
        <f>$B$38</f>
        <v>Parete in calcestruzzo con intonaco interno, isolamento esterno intonacato (SIA 2032)</v>
      </c>
      <c r="C181" s="192"/>
      <c r="D181" s="251"/>
      <c r="E181" s="192" t="str">
        <f t="shared" si="17"/>
        <v>BTF</v>
      </c>
      <c r="F181" s="192" t="str">
        <f t="shared" si="17"/>
        <v>m2</v>
      </c>
      <c r="G181" s="192">
        <f t="shared" si="17"/>
        <v>48</v>
      </c>
      <c r="H181" s="240">
        <f t="shared" si="17"/>
        <v>7.9969793296178313</v>
      </c>
      <c r="I181" s="240">
        <f t="shared" si="17"/>
        <v>299.22524538216561</v>
      </c>
      <c r="J181" s="240">
        <f t="shared" si="17"/>
        <v>28.099796894904465</v>
      </c>
      <c r="K181" s="239">
        <f t="shared" si="17"/>
        <v>2.3643353380573249</v>
      </c>
      <c r="L181" s="239">
        <f t="shared" si="17"/>
        <v>88.910530891719745</v>
      </c>
      <c r="M181" s="239">
        <f t="shared" si="17"/>
        <v>12.453410141719747</v>
      </c>
      <c r="N181" s="241">
        <f t="shared" si="17"/>
        <v>2940.4833110403397</v>
      </c>
      <c r="O181" s="241">
        <f t="shared" si="17"/>
        <v>123541.48980891719</v>
      </c>
      <c r="P181" s="241">
        <f t="shared" si="17"/>
        <v>17172.918853503186</v>
      </c>
      <c r="Q181" s="192" t="str">
        <f t="shared" si="17"/>
        <v>Ja</v>
      </c>
      <c r="R181" s="8"/>
      <c r="S181" s="8" t="s">
        <v>30</v>
      </c>
      <c r="T181" s="8" t="s">
        <v>368</v>
      </c>
      <c r="U181" s="191" t="s">
        <v>796</v>
      </c>
      <c r="W181">
        <f>COUNTIF($A$157:A181,A181)</f>
        <v>13</v>
      </c>
      <c r="X181" t="s">
        <v>2271</v>
      </c>
      <c r="Y181" t="str">
        <f t="shared" si="9"/>
        <v/>
      </c>
      <c r="Z181" t="str">
        <f t="shared" si="10"/>
        <v/>
      </c>
      <c r="AB181">
        <v>204</v>
      </c>
      <c r="AC181" t="s">
        <v>2190</v>
      </c>
    </row>
    <row r="182" spans="1:29">
      <c r="A182" s="8" t="s">
        <v>272</v>
      </c>
      <c r="B182" s="192" t="str">
        <f>$B$39</f>
        <v>Muratura monoblocco isolante, con intonaco interno e esterno (SIA 2032)</v>
      </c>
      <c r="C182" s="192"/>
      <c r="D182" s="251"/>
      <c r="E182" s="192" t="str">
        <f t="shared" ref="E182:Q182" si="18">E39</f>
        <v>BTF</v>
      </c>
      <c r="F182" s="192" t="str">
        <f t="shared" si="18"/>
        <v>m2</v>
      </c>
      <c r="G182" s="192">
        <f t="shared" si="18"/>
        <v>56</v>
      </c>
      <c r="H182" s="240">
        <f t="shared" si="18"/>
        <v>7.6175259666666646</v>
      </c>
      <c r="I182" s="240">
        <f t="shared" si="18"/>
        <v>382.0262249999999</v>
      </c>
      <c r="J182" s="240">
        <f t="shared" si="18"/>
        <v>16.925525499999999</v>
      </c>
      <c r="K182" s="239">
        <f t="shared" si="18"/>
        <v>2.183743363333333</v>
      </c>
      <c r="L182" s="239">
        <f t="shared" si="18"/>
        <v>108.65345999999998</v>
      </c>
      <c r="M182" s="239">
        <f t="shared" si="18"/>
        <v>3.6094595499999991</v>
      </c>
      <c r="N182" s="241">
        <f t="shared" si="18"/>
        <v>1947.7177333333329</v>
      </c>
      <c r="O182" s="241">
        <f t="shared" si="18"/>
        <v>90515.98</v>
      </c>
      <c r="P182" s="241">
        <f t="shared" si="18"/>
        <v>8587.3939999999984</v>
      </c>
      <c r="Q182" s="192" t="str">
        <f t="shared" si="18"/>
        <v>Ja</v>
      </c>
      <c r="R182" s="8"/>
      <c r="S182" s="8" t="s">
        <v>30</v>
      </c>
      <c r="T182" s="8" t="s">
        <v>368</v>
      </c>
      <c r="U182" s="191" t="s">
        <v>796</v>
      </c>
      <c r="W182">
        <f>COUNTIF($A$157:A182,A182)</f>
        <v>14</v>
      </c>
      <c r="X182" t="s">
        <v>2272</v>
      </c>
      <c r="Y182" t="str">
        <f t="shared" si="9"/>
        <v/>
      </c>
      <c r="Z182" t="str">
        <f t="shared" si="10"/>
        <v/>
      </c>
      <c r="AB182">
        <v>205</v>
      </c>
      <c r="AC182" t="s">
        <v>2381</v>
      </c>
    </row>
    <row r="183" spans="1:29">
      <c r="A183" s="8" t="s">
        <v>272</v>
      </c>
      <c r="B183" s="192" t="str">
        <f>$B$40</f>
        <v>Muratura monoblocco isolante, con intonaco int., isolamento est. intonacato  (SIA 2032)</v>
      </c>
      <c r="C183" s="192"/>
      <c r="D183" s="251"/>
      <c r="E183" s="192" t="str">
        <f t="shared" ref="E183:Q183" si="19">E40</f>
        <v>BTF</v>
      </c>
      <c r="F183" s="192" t="str">
        <f t="shared" si="19"/>
        <v>m2</v>
      </c>
      <c r="G183" s="192">
        <f t="shared" si="19"/>
        <v>48</v>
      </c>
      <c r="H183" s="240">
        <f t="shared" si="19"/>
        <v>11.444317966666663</v>
      </c>
      <c r="I183" s="240">
        <f t="shared" si="19"/>
        <v>495.85622499999988</v>
      </c>
      <c r="J183" s="240">
        <f t="shared" si="19"/>
        <v>17.899285499999998</v>
      </c>
      <c r="K183" s="239">
        <f t="shared" si="19"/>
        <v>3.1191030966666662</v>
      </c>
      <c r="L183" s="239">
        <f t="shared" si="19"/>
        <v>131.30415999999997</v>
      </c>
      <c r="M183" s="239">
        <f t="shared" si="19"/>
        <v>9.0195515499999992</v>
      </c>
      <c r="N183" s="241">
        <f t="shared" si="19"/>
        <v>2746.5910666666664</v>
      </c>
      <c r="O183" s="241">
        <f t="shared" si="19"/>
        <v>111567.98</v>
      </c>
      <c r="P183" s="241">
        <f t="shared" si="19"/>
        <v>11501.593999999999</v>
      </c>
      <c r="Q183" s="192" t="str">
        <f t="shared" si="19"/>
        <v>Ja</v>
      </c>
      <c r="R183" s="8"/>
      <c r="S183" s="8" t="s">
        <v>30</v>
      </c>
      <c r="T183" s="8" t="s">
        <v>368</v>
      </c>
      <c r="U183" s="191" t="s">
        <v>796</v>
      </c>
      <c r="W183">
        <f>COUNTIF($A$157:A183,A183)</f>
        <v>15</v>
      </c>
      <c r="X183" t="s">
        <v>2273</v>
      </c>
      <c r="Y183" t="str">
        <f t="shared" si="9"/>
        <v/>
      </c>
      <c r="Z183" t="str">
        <f t="shared" si="10"/>
        <v/>
      </c>
      <c r="AB183">
        <v>206</v>
      </c>
      <c r="AC183" t="s">
        <v>2382</v>
      </c>
    </row>
    <row r="184" spans="1:29">
      <c r="A184" s="8" t="s">
        <v>272</v>
      </c>
      <c r="B184" s="192" t="str">
        <f>$B$41</f>
        <v>Muro in legno, rivest. interno in gesso, rivest. esterno in fibrocemento/pietra (SIA 2032)</v>
      </c>
      <c r="C184" s="192"/>
      <c r="D184" s="251"/>
      <c r="E184" s="192" t="str">
        <f t="shared" ref="E184:Q184" si="20">E41</f>
        <v>BTF</v>
      </c>
      <c r="F184" s="192" t="str">
        <f t="shared" si="20"/>
        <v>m2</v>
      </c>
      <c r="G184" s="192">
        <f t="shared" si="20"/>
        <v>42</v>
      </c>
      <c r="H184" s="240">
        <f t="shared" si="20"/>
        <v>5.9633039458333323</v>
      </c>
      <c r="I184" s="240">
        <f t="shared" si="20"/>
        <v>233.37337416666668</v>
      </c>
      <c r="J184" s="240">
        <f t="shared" si="20"/>
        <v>5.5393474999999999</v>
      </c>
      <c r="K184" s="239">
        <f t="shared" si="20"/>
        <v>1.3044654144337606</v>
      </c>
      <c r="L184" s="239">
        <f t="shared" si="20"/>
        <v>49.465459677350431</v>
      </c>
      <c r="M184" s="239">
        <f t="shared" si="20"/>
        <v>2.4919075999999998</v>
      </c>
      <c r="N184" s="241">
        <f t="shared" si="20"/>
        <v>1694.0468607905987</v>
      </c>
      <c r="O184" s="241">
        <f t="shared" si="20"/>
        <v>67571.64976495727</v>
      </c>
      <c r="P184" s="241">
        <f t="shared" si="20"/>
        <v>3769.1644999999999</v>
      </c>
      <c r="Q184" s="192" t="str">
        <f t="shared" si="20"/>
        <v>Ja</v>
      </c>
      <c r="R184" s="8"/>
      <c r="S184" s="8" t="s">
        <v>30</v>
      </c>
      <c r="T184" s="8" t="s">
        <v>368</v>
      </c>
      <c r="U184" s="191" t="s">
        <v>796</v>
      </c>
      <c r="W184">
        <f>COUNTIF($A$157:A184,A184)</f>
        <v>16</v>
      </c>
      <c r="X184" t="s">
        <v>2274</v>
      </c>
      <c r="Y184" t="str">
        <f t="shared" si="9"/>
        <v/>
      </c>
      <c r="Z184" t="str">
        <f t="shared" si="10"/>
        <v/>
      </c>
      <c r="AB184">
        <v>216</v>
      </c>
      <c r="AC184" t="s">
        <v>2209</v>
      </c>
    </row>
    <row r="185" spans="1:29">
      <c r="A185" s="8" t="s">
        <v>272</v>
      </c>
      <c r="B185" s="192" t="str">
        <f>$B$42</f>
        <v>Muro in legno, rivest. interno in gesso, rivest. esterno in legno (SIA 2032)</v>
      </c>
      <c r="C185" s="192"/>
      <c r="D185" s="251"/>
      <c r="E185" s="192" t="str">
        <f t="shared" ref="E185:Q186" si="21">E42</f>
        <v>BTF</v>
      </c>
      <c r="F185" s="192" t="str">
        <f t="shared" si="21"/>
        <v>m2</v>
      </c>
      <c r="G185" s="192">
        <f t="shared" si="21"/>
        <v>43</v>
      </c>
      <c r="H185" s="240">
        <f t="shared" si="21"/>
        <v>3.7315614441666671</v>
      </c>
      <c r="I185" s="240">
        <f t="shared" si="21"/>
        <v>145.93939</v>
      </c>
      <c r="J185" s="240">
        <f t="shared" si="21"/>
        <v>3.7036316000000005</v>
      </c>
      <c r="K185" s="239">
        <f t="shared" si="21"/>
        <v>0.72364188875000002</v>
      </c>
      <c r="L185" s="239">
        <f t="shared" si="21"/>
        <v>25.747370500000002</v>
      </c>
      <c r="M185" s="239">
        <f t="shared" si="21"/>
        <v>2.9770557499999999</v>
      </c>
      <c r="N185" s="241">
        <f t="shared" si="21"/>
        <v>1341.7388241666667</v>
      </c>
      <c r="O185" s="241">
        <f t="shared" si="21"/>
        <v>53819.936000000002</v>
      </c>
      <c r="P185" s="241">
        <f t="shared" si="21"/>
        <v>3428.5568000000003</v>
      </c>
      <c r="Q185" s="192" t="str">
        <f t="shared" si="21"/>
        <v>Ja</v>
      </c>
      <c r="R185" s="8"/>
      <c r="S185" s="8" t="s">
        <v>30</v>
      </c>
      <c r="T185" s="8" t="s">
        <v>368</v>
      </c>
      <c r="U185" s="191" t="s">
        <v>796</v>
      </c>
      <c r="W185">
        <f>COUNTIF($A$157:A185,A185)</f>
        <v>17</v>
      </c>
      <c r="X185" t="s">
        <v>2275</v>
      </c>
      <c r="Y185" t="str">
        <f t="shared" si="9"/>
        <v/>
      </c>
      <c r="Z185" t="str">
        <f t="shared" si="10"/>
        <v/>
      </c>
      <c r="AB185">
        <v>217</v>
      </c>
      <c r="AC185" t="s">
        <v>2210</v>
      </c>
    </row>
    <row r="186" spans="1:29">
      <c r="A186" s="8" t="s">
        <v>272</v>
      </c>
      <c r="B186" s="192" t="str">
        <f>$B$43</f>
        <v>Muro in legno, rivest. interno in gesso, rivest. esterno in metallo/vetro (SIA 2032)</v>
      </c>
      <c r="C186" s="192"/>
      <c r="D186" s="251"/>
      <c r="E186" s="192" t="str">
        <f t="shared" si="21"/>
        <v>BTF</v>
      </c>
      <c r="F186" s="192" t="str">
        <f t="shared" si="21"/>
        <v>m2</v>
      </c>
      <c r="G186" s="192">
        <f t="shared" si="21"/>
        <v>42</v>
      </c>
      <c r="H186" s="240">
        <f t="shared" si="21"/>
        <v>9.3865340708333331</v>
      </c>
      <c r="I186" s="240">
        <f t="shared" si="21"/>
        <v>371.41677416666664</v>
      </c>
      <c r="J186" s="240">
        <f t="shared" si="21"/>
        <v>4.4251525000000003</v>
      </c>
      <c r="K186" s="239">
        <f t="shared" si="21"/>
        <v>2.0555560801388886</v>
      </c>
      <c r="L186" s="239">
        <f t="shared" si="21"/>
        <v>75.507389805555547</v>
      </c>
      <c r="M186" s="239">
        <f t="shared" si="21"/>
        <v>6.4936040999999998</v>
      </c>
      <c r="N186" s="241">
        <f t="shared" si="21"/>
        <v>2509.0899152777774</v>
      </c>
      <c r="O186" s="241">
        <f t="shared" si="21"/>
        <v>98978.011944444428</v>
      </c>
      <c r="P186" s="241">
        <f t="shared" si="21"/>
        <v>4964.5244999999995</v>
      </c>
      <c r="Q186" s="192" t="str">
        <f t="shared" si="21"/>
        <v>Ja</v>
      </c>
      <c r="R186" s="8"/>
      <c r="S186" s="8" t="s">
        <v>30</v>
      </c>
      <c r="T186" s="8" t="s">
        <v>368</v>
      </c>
      <c r="U186" s="191" t="s">
        <v>796</v>
      </c>
      <c r="W186">
        <f>COUNTIF($A$157:A186,A186)</f>
        <v>18</v>
      </c>
      <c r="X186" t="s">
        <v>2276</v>
      </c>
      <c r="Y186" t="str">
        <f t="shared" si="9"/>
        <v/>
      </c>
      <c r="Z186" t="str">
        <f t="shared" si="10"/>
        <v/>
      </c>
      <c r="AB186">
        <v>218</v>
      </c>
      <c r="AC186" t="s">
        <v>2211</v>
      </c>
    </row>
    <row r="187" spans="1:29">
      <c r="A187" s="8" t="s">
        <v>272</v>
      </c>
      <c r="B187" s="192" t="str">
        <f>$B$44</f>
        <v>Griglia a colonna con sistema di facciata alluminio/vetro (SIA 2032)</v>
      </c>
      <c r="C187" s="192"/>
      <c r="D187" s="251"/>
      <c r="E187" s="192" t="str">
        <f t="shared" ref="E187:Q187" si="22">E44</f>
        <v>BTF</v>
      </c>
      <c r="F187" s="192" t="str">
        <f t="shared" si="22"/>
        <v>m2</v>
      </c>
      <c r="G187" s="192">
        <f t="shared" si="22"/>
        <v>50</v>
      </c>
      <c r="H187" s="240">
        <f t="shared" si="22"/>
        <v>26.550826305590945</v>
      </c>
      <c r="I187" s="240">
        <f t="shared" si="22"/>
        <v>1067.9082078556264</v>
      </c>
      <c r="J187" s="240">
        <f t="shared" si="22"/>
        <v>5.1458704798301493</v>
      </c>
      <c r="K187" s="239">
        <f t="shared" si="22"/>
        <v>6.0838588280254777</v>
      </c>
      <c r="L187" s="239">
        <f t="shared" si="22"/>
        <v>231.00473847133759</v>
      </c>
      <c r="M187" s="239">
        <f t="shared" si="22"/>
        <v>15.179291210191083</v>
      </c>
      <c r="N187" s="241">
        <f t="shared" si="22"/>
        <v>9751.6586996461428</v>
      </c>
      <c r="O187" s="241">
        <f t="shared" si="22"/>
        <v>388757.2518046709</v>
      </c>
      <c r="P187" s="241">
        <f t="shared" si="22"/>
        <v>8851.2701740976645</v>
      </c>
      <c r="Q187" s="192" t="str">
        <f t="shared" si="22"/>
        <v>Nein</v>
      </c>
      <c r="R187" s="8"/>
      <c r="S187" s="8" t="s">
        <v>30</v>
      </c>
      <c r="T187" s="8" t="s">
        <v>368</v>
      </c>
      <c r="U187" s="191" t="s">
        <v>796</v>
      </c>
      <c r="W187">
        <f>COUNTIF($A$157:A187,A187)</f>
        <v>19</v>
      </c>
      <c r="X187" t="s">
        <v>2277</v>
      </c>
      <c r="Y187" t="str">
        <f t="shared" si="9"/>
        <v/>
      </c>
      <c r="Z187" t="str">
        <f t="shared" si="10"/>
        <v/>
      </c>
      <c r="AB187">
        <v>219</v>
      </c>
      <c r="AC187" t="s">
        <v>2212</v>
      </c>
    </row>
    <row r="188" spans="1:29">
      <c r="A188" s="191" t="s">
        <v>495</v>
      </c>
      <c r="B188" s="192" t="str">
        <f>Texte!B202</f>
        <v>Parete interna in cotto intonacata (BKT)</v>
      </c>
      <c r="C188" s="191" t="s">
        <v>632</v>
      </c>
      <c r="D188" s="248" t="s">
        <v>633</v>
      </c>
      <c r="E188" s="191" t="s">
        <v>255</v>
      </c>
      <c r="F188" s="191" t="s">
        <v>30</v>
      </c>
      <c r="G188" s="193">
        <f>(I188+J188)/H188</f>
        <v>52.412663755458517</v>
      </c>
      <c r="H188" s="195">
        <v>2.5444444444444443</v>
      </c>
      <c r="I188" s="195">
        <v>123.83333333333333</v>
      </c>
      <c r="J188" s="195">
        <v>9.5277777777777768</v>
      </c>
      <c r="K188" s="199">
        <v>0.76</v>
      </c>
      <c r="L188" s="199">
        <v>40.46</v>
      </c>
      <c r="M188" s="199">
        <v>1.68</v>
      </c>
      <c r="N188" s="202">
        <v>698</v>
      </c>
      <c r="O188" s="202">
        <v>30497</v>
      </c>
      <c r="P188" s="202">
        <v>4700</v>
      </c>
      <c r="Q188" s="191" t="s">
        <v>19</v>
      </c>
      <c r="R188" s="191" t="s">
        <v>282</v>
      </c>
      <c r="S188" s="8" t="s">
        <v>30</v>
      </c>
      <c r="T188" s="8" t="s">
        <v>368</v>
      </c>
      <c r="U188" s="191" t="s">
        <v>686</v>
      </c>
      <c r="W188">
        <f>COUNTIF($A$157:A188,A188)</f>
        <v>1</v>
      </c>
      <c r="X188" t="s">
        <v>2278</v>
      </c>
      <c r="Y188">
        <f t="shared" si="9"/>
        <v>180</v>
      </c>
      <c r="Z188" t="str">
        <f t="shared" si="10"/>
        <v>C22-1</v>
      </c>
      <c r="AB188">
        <v>220</v>
      </c>
      <c r="AC188" t="s">
        <v>2213</v>
      </c>
    </row>
    <row r="189" spans="1:29">
      <c r="A189" s="191" t="s">
        <v>495</v>
      </c>
      <c r="B189" s="192" t="str">
        <f>Texte!B203</f>
        <v>Parete in CLS 20 cm (BTK)</v>
      </c>
      <c r="C189" s="191" t="s">
        <v>636</v>
      </c>
      <c r="D189" s="248" t="s">
        <v>637</v>
      </c>
      <c r="E189" s="191" t="s">
        <v>255</v>
      </c>
      <c r="F189" s="191" t="s">
        <v>30</v>
      </c>
      <c r="G189" s="193">
        <f>(I189+J189)/H189</f>
        <v>59.97933884297521</v>
      </c>
      <c r="H189" s="195">
        <v>2.6888888888888887</v>
      </c>
      <c r="I189" s="195">
        <v>135.25</v>
      </c>
      <c r="J189" s="195">
        <v>26.027777777777779</v>
      </c>
      <c r="K189" s="199">
        <v>1.1399999999999999</v>
      </c>
      <c r="L189" s="199">
        <v>63.46</v>
      </c>
      <c r="M189" s="199">
        <v>5.21</v>
      </c>
      <c r="N189" s="202">
        <v>1501</v>
      </c>
      <c r="O189" s="202">
        <v>76973</v>
      </c>
      <c r="P189" s="202">
        <v>13082</v>
      </c>
      <c r="Q189" s="191" t="s">
        <v>19</v>
      </c>
      <c r="R189" s="191" t="s">
        <v>282</v>
      </c>
      <c r="S189" s="8" t="s">
        <v>30</v>
      </c>
      <c r="T189" s="8" t="s">
        <v>368</v>
      </c>
      <c r="U189" s="191" t="s">
        <v>686</v>
      </c>
      <c r="W189">
        <f>COUNTIF($A$157:A189,A189)</f>
        <v>2</v>
      </c>
      <c r="X189" t="s">
        <v>2279</v>
      </c>
      <c r="Y189">
        <f t="shared" si="9"/>
        <v>181</v>
      </c>
      <c r="Z189" t="str">
        <f t="shared" si="10"/>
        <v>C22-2</v>
      </c>
      <c r="AB189">
        <v>221</v>
      </c>
      <c r="AC189" t="s">
        <v>2214</v>
      </c>
    </row>
    <row r="190" spans="1:29">
      <c r="A190" s="191" t="s">
        <v>495</v>
      </c>
      <c r="B190" s="192" t="str">
        <f>Texte!B204</f>
        <v>Parete leggera in carongesso, rivestita sui due lati (BTK)</v>
      </c>
      <c r="C190" s="191" t="s">
        <v>638</v>
      </c>
      <c r="D190" s="248" t="s">
        <v>639</v>
      </c>
      <c r="E190" s="191" t="s">
        <v>255</v>
      </c>
      <c r="F190" s="191" t="s">
        <v>30</v>
      </c>
      <c r="G190" s="193">
        <f>(I190+J190)/H190</f>
        <v>30.340398201669878</v>
      </c>
      <c r="H190" s="195">
        <v>4.3250000000000002</v>
      </c>
      <c r="I190" s="195">
        <v>127.72222222222223</v>
      </c>
      <c r="J190" s="195">
        <v>3.5</v>
      </c>
      <c r="K190" s="199">
        <v>0.93</v>
      </c>
      <c r="L190" s="199">
        <v>27.17</v>
      </c>
      <c r="M190" s="199">
        <v>0.57999999999999996</v>
      </c>
      <c r="N190" s="202">
        <v>2025</v>
      </c>
      <c r="O190" s="202">
        <v>59064</v>
      </c>
      <c r="P190" s="202">
        <v>1698</v>
      </c>
      <c r="Q190" s="191" t="s">
        <v>19</v>
      </c>
      <c r="R190" s="191" t="s">
        <v>282</v>
      </c>
      <c r="S190" s="8" t="s">
        <v>30</v>
      </c>
      <c r="T190" s="8" t="s">
        <v>368</v>
      </c>
      <c r="U190" s="191" t="s">
        <v>686</v>
      </c>
      <c r="W190">
        <f>COUNTIF($A$157:A190,A190)</f>
        <v>3</v>
      </c>
      <c r="X190" t="s">
        <v>2280</v>
      </c>
      <c r="Y190">
        <f t="shared" si="9"/>
        <v>182</v>
      </c>
      <c r="Z190" t="str">
        <f t="shared" si="10"/>
        <v>C22-3</v>
      </c>
      <c r="AB190">
        <v>222</v>
      </c>
      <c r="AC190" t="s">
        <v>2215</v>
      </c>
    </row>
    <row r="191" spans="1:29">
      <c r="A191" s="191" t="s">
        <v>495</v>
      </c>
      <c r="B191" s="192" t="str">
        <f>Texte!B205</f>
        <v>Parete divisoria monostrato, intelaiatura, cartongesso a uno strato (Lignum)</v>
      </c>
      <c r="C191" s="191" t="s">
        <v>537</v>
      </c>
      <c r="D191" s="248" t="s">
        <v>534</v>
      </c>
      <c r="E191" s="191" t="s">
        <v>255</v>
      </c>
      <c r="F191" s="191" t="s">
        <v>30</v>
      </c>
      <c r="G191" s="191">
        <v>30</v>
      </c>
      <c r="H191" s="195">
        <v>3.5833333333333335</v>
      </c>
      <c r="I191" s="195">
        <v>0</v>
      </c>
      <c r="J191" s="195">
        <v>0</v>
      </c>
      <c r="K191" s="199">
        <v>0.77333333333333332</v>
      </c>
      <c r="L191" s="199"/>
      <c r="M191" s="199"/>
      <c r="N191" s="202">
        <v>1180.9000000000001</v>
      </c>
      <c r="O191" s="202"/>
      <c r="P191" s="202"/>
      <c r="Q191" s="191" t="s">
        <v>19</v>
      </c>
      <c r="R191" s="191" t="s">
        <v>282</v>
      </c>
      <c r="S191" s="8" t="s">
        <v>30</v>
      </c>
      <c r="T191" s="8" t="s">
        <v>368</v>
      </c>
      <c r="U191" s="191" t="s">
        <v>687</v>
      </c>
      <c r="W191">
        <f>COUNTIF($A$157:A191,A191)</f>
        <v>4</v>
      </c>
      <c r="X191" t="s">
        <v>2281</v>
      </c>
      <c r="Y191">
        <f t="shared" si="9"/>
        <v>183</v>
      </c>
      <c r="Z191" t="str">
        <f t="shared" si="10"/>
        <v>C22-4</v>
      </c>
      <c r="AB191">
        <v>223</v>
      </c>
      <c r="AC191" t="s">
        <v>2216</v>
      </c>
    </row>
    <row r="192" spans="1:29">
      <c r="A192" s="191" t="s">
        <v>495</v>
      </c>
      <c r="B192" s="192" t="str">
        <f>Texte!B206</f>
        <v>Parete divisoria bistrato, intelaiatura, cartongesso a uno strato (Lignum)</v>
      </c>
      <c r="C192" s="191" t="s">
        <v>536</v>
      </c>
      <c r="D192" s="248" t="s">
        <v>533</v>
      </c>
      <c r="E192" s="191" t="s">
        <v>255</v>
      </c>
      <c r="F192" s="191" t="s">
        <v>30</v>
      </c>
      <c r="G192" s="191">
        <v>30</v>
      </c>
      <c r="H192" s="195">
        <v>2.5925925925925926</v>
      </c>
      <c r="I192" s="195">
        <v>0</v>
      </c>
      <c r="J192" s="195">
        <v>0</v>
      </c>
      <c r="K192" s="199">
        <v>0.58666666666666667</v>
      </c>
      <c r="L192" s="199"/>
      <c r="M192" s="199"/>
      <c r="N192" s="202">
        <v>864.76666666666665</v>
      </c>
      <c r="O192" s="202"/>
      <c r="P192" s="202"/>
      <c r="Q192" s="191" t="s">
        <v>19</v>
      </c>
      <c r="R192" s="191" t="s">
        <v>282</v>
      </c>
      <c r="S192" s="8" t="s">
        <v>30</v>
      </c>
      <c r="T192" s="8" t="s">
        <v>368</v>
      </c>
      <c r="U192" s="191" t="s">
        <v>687</v>
      </c>
      <c r="W192">
        <f>COUNTIF($A$157:A192,A192)</f>
        <v>5</v>
      </c>
      <c r="X192" t="s">
        <v>2282</v>
      </c>
      <c r="Y192">
        <f t="shared" si="9"/>
        <v>184</v>
      </c>
      <c r="Z192" t="str">
        <f t="shared" si="10"/>
        <v>C22-5</v>
      </c>
      <c r="AB192">
        <v>224</v>
      </c>
      <c r="AC192" t="s">
        <v>2217</v>
      </c>
    </row>
    <row r="193" spans="1:29">
      <c r="A193" s="191" t="s">
        <v>495</v>
      </c>
      <c r="B193" s="192" t="str">
        <f>Texte!B207</f>
        <v>Parete divisoria in legno (BTK)</v>
      </c>
      <c r="C193" s="191" t="s">
        <v>642</v>
      </c>
      <c r="D193" s="248" t="s">
        <v>643</v>
      </c>
      <c r="E193" s="191" t="s">
        <v>255</v>
      </c>
      <c r="F193" s="191" t="s">
        <v>30</v>
      </c>
      <c r="G193" s="193">
        <f>(I193+J193)/H193</f>
        <v>30.014644351464433</v>
      </c>
      <c r="H193" s="195">
        <v>2.6555555555555554</v>
      </c>
      <c r="I193" s="195">
        <v>78.305555555555543</v>
      </c>
      <c r="J193" s="195">
        <v>1.4</v>
      </c>
      <c r="K193" s="199">
        <v>0.5</v>
      </c>
      <c r="L193" s="199">
        <v>11.95</v>
      </c>
      <c r="M193" s="199">
        <v>3.01</v>
      </c>
      <c r="N193" s="202">
        <v>957</v>
      </c>
      <c r="O193" s="202">
        <v>14422</v>
      </c>
      <c r="P193" s="202">
        <v>14298</v>
      </c>
      <c r="Q193" s="191" t="s">
        <v>19</v>
      </c>
      <c r="R193" s="191" t="s">
        <v>282</v>
      </c>
      <c r="S193" s="8" t="s">
        <v>30</v>
      </c>
      <c r="T193" s="8" t="s">
        <v>368</v>
      </c>
      <c r="U193" s="191" t="s">
        <v>686</v>
      </c>
      <c r="W193">
        <f>COUNTIF($A$157:A193,A193)</f>
        <v>6</v>
      </c>
      <c r="X193" t="s">
        <v>2283</v>
      </c>
      <c r="Y193">
        <f t="shared" si="9"/>
        <v>185</v>
      </c>
      <c r="Z193" t="str">
        <f t="shared" si="10"/>
        <v>C22-6</v>
      </c>
      <c r="AB193">
        <v>225</v>
      </c>
      <c r="AC193" t="s">
        <v>2218</v>
      </c>
    </row>
    <row r="194" spans="1:29">
      <c r="A194" s="191" t="s">
        <v>495</v>
      </c>
      <c r="B194" s="192" t="str">
        <f>Texte!B208</f>
        <v>Parete divisoria massiccia in legno, con rivestimento in cartongesso doppio strato</v>
      </c>
      <c r="C194" s="191" t="s">
        <v>538</v>
      </c>
      <c r="D194" s="248" t="s">
        <v>535</v>
      </c>
      <c r="E194" s="191" t="s">
        <v>255</v>
      </c>
      <c r="F194" s="191" t="s">
        <v>30</v>
      </c>
      <c r="G194" s="191">
        <v>30</v>
      </c>
      <c r="H194" s="195">
        <v>7.2962962962962958</v>
      </c>
      <c r="I194" s="195">
        <v>0</v>
      </c>
      <c r="J194" s="195">
        <v>0</v>
      </c>
      <c r="K194" s="199">
        <v>1.5363333333333336</v>
      </c>
      <c r="L194" s="199"/>
      <c r="M194" s="199"/>
      <c r="N194" s="202">
        <v>2293.2666666666669</v>
      </c>
      <c r="O194" s="202"/>
      <c r="P194" s="202"/>
      <c r="Q194" s="191" t="s">
        <v>19</v>
      </c>
      <c r="R194" s="191" t="s">
        <v>282</v>
      </c>
      <c r="S194" s="8" t="s">
        <v>30</v>
      </c>
      <c r="T194" s="8" t="s">
        <v>368</v>
      </c>
      <c r="U194" s="191" t="s">
        <v>687</v>
      </c>
      <c r="W194">
        <f>COUNTIF($A$157:A194,A194)</f>
        <v>7</v>
      </c>
      <c r="X194" t="s">
        <v>2284</v>
      </c>
      <c r="Y194">
        <f t="shared" si="9"/>
        <v>186</v>
      </c>
      <c r="Z194" t="str">
        <f t="shared" si="10"/>
        <v>C22-7</v>
      </c>
      <c r="AB194">
        <v>226</v>
      </c>
      <c r="AC194" t="s">
        <v>2219</v>
      </c>
    </row>
    <row r="195" spans="1:29">
      <c r="A195" s="191" t="s">
        <v>495</v>
      </c>
      <c r="B195" s="192" t="str">
        <f>Texte!B209</f>
        <v>Parete divisoria massiccia in gesso (BTK)</v>
      </c>
      <c r="C195" s="191" t="s">
        <v>640</v>
      </c>
      <c r="D195" s="248" t="s">
        <v>641</v>
      </c>
      <c r="E195" s="191" t="s">
        <v>255</v>
      </c>
      <c r="F195" s="191" t="s">
        <v>30</v>
      </c>
      <c r="G195" s="193">
        <v>30</v>
      </c>
      <c r="H195" s="195">
        <v>4.8694444444444445</v>
      </c>
      <c r="I195" s="195">
        <v>131.5</v>
      </c>
      <c r="J195" s="195">
        <v>7.9166666666666661</v>
      </c>
      <c r="K195" s="199">
        <v>1.06</v>
      </c>
      <c r="L195" s="199">
        <v>29.34</v>
      </c>
      <c r="M195" s="199">
        <v>1.3</v>
      </c>
      <c r="N195" s="202">
        <v>1167</v>
      </c>
      <c r="O195" s="202">
        <v>29667</v>
      </c>
      <c r="P195" s="202">
        <v>3044</v>
      </c>
      <c r="Q195" s="191" t="s">
        <v>19</v>
      </c>
      <c r="R195" s="191" t="s">
        <v>282</v>
      </c>
      <c r="S195" s="8" t="s">
        <v>30</v>
      </c>
      <c r="T195" s="8" t="s">
        <v>368</v>
      </c>
      <c r="U195" s="191" t="s">
        <v>686</v>
      </c>
      <c r="W195">
        <f>COUNTIF($A$157:A195,A195)</f>
        <v>8</v>
      </c>
      <c r="X195" t="s">
        <v>2285</v>
      </c>
      <c r="Y195">
        <f t="shared" si="9"/>
        <v>187</v>
      </c>
      <c r="Z195" t="str">
        <f t="shared" si="10"/>
        <v>C22-8</v>
      </c>
      <c r="AB195">
        <v>227</v>
      </c>
      <c r="AC195" t="s">
        <v>2220</v>
      </c>
    </row>
    <row r="196" spans="1:29">
      <c r="A196" s="191" t="s">
        <v>495</v>
      </c>
      <c r="B196" s="192" t="str">
        <f>Texte!B210</f>
        <v>Doppia parete in mattoni di cotto, intonacata (BTK)</v>
      </c>
      <c r="C196" s="191" t="s">
        <v>634</v>
      </c>
      <c r="D196" s="248" t="s">
        <v>635</v>
      </c>
      <c r="E196" s="191" t="s">
        <v>255</v>
      </c>
      <c r="F196" s="191" t="s">
        <v>30</v>
      </c>
      <c r="G196" s="193">
        <f>(I196+J196)/H196</f>
        <v>57.192285876347135</v>
      </c>
      <c r="H196" s="195">
        <v>4.8972222222222221</v>
      </c>
      <c r="I196" s="195">
        <v>260.97222222222223</v>
      </c>
      <c r="J196" s="195">
        <v>19.111111111111111</v>
      </c>
      <c r="K196" s="199">
        <v>1.53</v>
      </c>
      <c r="L196" s="199">
        <v>85.78</v>
      </c>
      <c r="M196" s="199">
        <v>3.39</v>
      </c>
      <c r="N196" s="202">
        <v>1239</v>
      </c>
      <c r="O196" s="202">
        <v>60343</v>
      </c>
      <c r="P196" s="202">
        <v>9197</v>
      </c>
      <c r="Q196" s="191" t="s">
        <v>19</v>
      </c>
      <c r="R196" s="191" t="s">
        <v>282</v>
      </c>
      <c r="S196" s="8" t="s">
        <v>30</v>
      </c>
      <c r="T196" s="8" t="s">
        <v>368</v>
      </c>
      <c r="U196" s="191" t="s">
        <v>686</v>
      </c>
      <c r="W196">
        <f>COUNTIF($A$157:A196,A196)</f>
        <v>9</v>
      </c>
      <c r="X196" t="s">
        <v>2286</v>
      </c>
      <c r="Y196">
        <f t="shared" si="9"/>
        <v>188</v>
      </c>
      <c r="Z196" t="str">
        <f t="shared" si="10"/>
        <v>C22-9</v>
      </c>
      <c r="AB196">
        <v>228</v>
      </c>
      <c r="AC196" t="s">
        <v>2221</v>
      </c>
    </row>
    <row r="197" spans="1:29">
      <c r="A197" s="8" t="s">
        <v>495</v>
      </c>
      <c r="B197" s="192" t="str">
        <f>Texte!B305</f>
        <v>Valore medio parete interna non portante (con intonaco interno) (SIA 2032)</v>
      </c>
      <c r="C197" s="8"/>
      <c r="D197" s="245"/>
      <c r="E197" s="8" t="s">
        <v>255</v>
      </c>
      <c r="F197" s="8" t="s">
        <v>30</v>
      </c>
      <c r="G197" s="8">
        <v>30</v>
      </c>
      <c r="H197" s="196">
        <v>4.1233929666666667</v>
      </c>
      <c r="I197" s="196">
        <v>119.74312399999999</v>
      </c>
      <c r="J197" s="196">
        <v>3.9586650000000003</v>
      </c>
      <c r="K197" s="200">
        <v>0.92104072000000003</v>
      </c>
      <c r="L197" s="206">
        <v>25.6368796</v>
      </c>
      <c r="M197" s="206">
        <v>1.9943420000000001</v>
      </c>
      <c r="N197" s="202">
        <v>908.45949999999993</v>
      </c>
      <c r="O197" s="202">
        <v>25252.199999999997</v>
      </c>
      <c r="P197" s="208">
        <v>2001.585</v>
      </c>
      <c r="Q197" s="8" t="s">
        <v>19</v>
      </c>
      <c r="R197" s="191" t="s">
        <v>282</v>
      </c>
      <c r="S197" s="8" t="s">
        <v>30</v>
      </c>
      <c r="T197" s="8" t="s">
        <v>368</v>
      </c>
      <c r="U197" s="191" t="s">
        <v>796</v>
      </c>
      <c r="W197">
        <f>COUNTIF($A$157:A197,A197)</f>
        <v>10</v>
      </c>
      <c r="X197" t="s">
        <v>2354</v>
      </c>
      <c r="Y197">
        <f t="shared" si="9"/>
        <v>283</v>
      </c>
      <c r="Z197" t="str">
        <f t="shared" si="10"/>
        <v>C22-10</v>
      </c>
      <c r="AB197">
        <v>229</v>
      </c>
      <c r="AC197" t="s">
        <v>2222</v>
      </c>
    </row>
    <row r="198" spans="1:29">
      <c r="A198" s="8" t="s">
        <v>495</v>
      </c>
      <c r="B198" s="192" t="str">
        <f>Texte!B304</f>
        <v>Valore medio portante della parete interna (con intonaco interno) (SIA 2032)</v>
      </c>
      <c r="C198" s="8"/>
      <c r="D198" s="245"/>
      <c r="E198" s="8" t="s">
        <v>255</v>
      </c>
      <c r="F198" s="8" t="s">
        <v>30</v>
      </c>
      <c r="G198" s="8">
        <v>56</v>
      </c>
      <c r="H198" s="196">
        <v>3.7155000993170564</v>
      </c>
      <c r="I198" s="196">
        <v>163.75522812738851</v>
      </c>
      <c r="J198" s="196">
        <v>18.355077831634819</v>
      </c>
      <c r="K198" s="200">
        <v>1.2346430856302195</v>
      </c>
      <c r="L198" s="206">
        <v>56.58724696390658</v>
      </c>
      <c r="M198" s="206">
        <v>4.8387481739065814</v>
      </c>
      <c r="N198" s="202">
        <v>1444.3141881245576</v>
      </c>
      <c r="O198" s="202">
        <v>65360.809269639059</v>
      </c>
      <c r="P198" s="208">
        <v>9275.4420178343953</v>
      </c>
      <c r="Q198" s="8" t="s">
        <v>19</v>
      </c>
      <c r="R198" s="191" t="s">
        <v>282</v>
      </c>
      <c r="S198" s="8" t="s">
        <v>30</v>
      </c>
      <c r="T198" s="8" t="s">
        <v>368</v>
      </c>
      <c r="U198" s="191" t="s">
        <v>796</v>
      </c>
      <c r="W198">
        <f>COUNTIF($A$157:A198,A198)</f>
        <v>11</v>
      </c>
      <c r="X198" t="s">
        <v>2355</v>
      </c>
      <c r="Y198">
        <f t="shared" si="9"/>
        <v>282</v>
      </c>
      <c r="Z198" t="str">
        <f t="shared" si="10"/>
        <v>C22-11</v>
      </c>
      <c r="AB198">
        <v>230</v>
      </c>
      <c r="AC198" t="s">
        <v>2223</v>
      </c>
    </row>
    <row r="199" spans="1:29">
      <c r="A199" s="8" t="s">
        <v>273</v>
      </c>
      <c r="B199" s="8" t="str">
        <f>Texte!B335</f>
        <v>Isolamento esterno su soletta in CLS contro non riscaldato (BTK)</v>
      </c>
      <c r="C199" s="8" t="s">
        <v>487</v>
      </c>
      <c r="D199" s="252" t="s">
        <v>501</v>
      </c>
      <c r="E199" s="8" t="s">
        <v>255</v>
      </c>
      <c r="F199" s="8" t="s">
        <v>30</v>
      </c>
      <c r="G199" s="177">
        <v>29.998268897864978</v>
      </c>
      <c r="H199" s="177">
        <v>4.8138888888888882</v>
      </c>
      <c r="I199" s="177">
        <v>143.44999999999999</v>
      </c>
      <c r="J199" s="177">
        <v>0.95833333333333337</v>
      </c>
      <c r="K199" s="8">
        <v>1.1399999999999999</v>
      </c>
      <c r="L199" s="8">
        <v>21.22</v>
      </c>
      <c r="M199" s="8">
        <v>13.12</v>
      </c>
      <c r="N199" s="8">
        <v>1090</v>
      </c>
      <c r="O199" s="8">
        <v>18396</v>
      </c>
      <c r="P199" s="8">
        <v>14313</v>
      </c>
      <c r="Q199" s="8" t="s">
        <v>20</v>
      </c>
      <c r="R199" s="8"/>
      <c r="S199" s="8" t="s">
        <v>30</v>
      </c>
      <c r="T199" s="8" t="s">
        <v>368</v>
      </c>
      <c r="U199" s="191" t="s">
        <v>686</v>
      </c>
      <c r="W199">
        <f>COUNTIF($A$157:A199,A199)</f>
        <v>1</v>
      </c>
      <c r="X199" t="s">
        <v>2287</v>
      </c>
      <c r="Y199">
        <f t="shared" si="9"/>
        <v>313</v>
      </c>
      <c r="Z199" t="str">
        <f t="shared" si="10"/>
        <v>C41-1</v>
      </c>
      <c r="AB199">
        <v>231</v>
      </c>
      <c r="AC199" t="s">
        <v>2224</v>
      </c>
    </row>
    <row r="200" spans="1:29">
      <c r="A200" s="191" t="s">
        <v>273</v>
      </c>
      <c r="B200" s="192" t="str">
        <f>Texte!B211</f>
        <v>Solaio con travetti, massetto con controsoffitto sospeso (Lignum)</v>
      </c>
      <c r="C200" s="191" t="s">
        <v>542</v>
      </c>
      <c r="D200" s="248" t="s">
        <v>552</v>
      </c>
      <c r="E200" s="191" t="s">
        <v>255</v>
      </c>
      <c r="F200" s="191" t="s">
        <v>30</v>
      </c>
      <c r="G200" s="191">
        <v>60</v>
      </c>
      <c r="H200" s="195">
        <v>3.6111111111111112</v>
      </c>
      <c r="I200" s="195">
        <v>0</v>
      </c>
      <c r="J200" s="195">
        <v>0</v>
      </c>
      <c r="K200" s="199">
        <v>0.95133333333333325</v>
      </c>
      <c r="L200" s="199"/>
      <c r="M200" s="199"/>
      <c r="N200" s="202">
        <v>1397.65</v>
      </c>
      <c r="O200" s="202"/>
      <c r="P200" s="202"/>
      <c r="Q200" s="191" t="s">
        <v>19</v>
      </c>
      <c r="R200" s="191" t="s">
        <v>283</v>
      </c>
      <c r="S200" s="8" t="s">
        <v>30</v>
      </c>
      <c r="T200" s="8" t="s">
        <v>368</v>
      </c>
      <c r="U200" s="191" t="s">
        <v>687</v>
      </c>
      <c r="W200">
        <f>COUNTIF($A$157:A200,A200)</f>
        <v>2</v>
      </c>
      <c r="X200" t="s">
        <v>2288</v>
      </c>
      <c r="Y200">
        <f t="shared" si="9"/>
        <v>189</v>
      </c>
      <c r="Z200" t="str">
        <f t="shared" si="10"/>
        <v>C41-2</v>
      </c>
      <c r="AB200">
        <v>232</v>
      </c>
      <c r="AC200" t="s">
        <v>2225</v>
      </c>
    </row>
    <row r="201" spans="1:29">
      <c r="A201" s="191" t="s">
        <v>273</v>
      </c>
      <c r="B201" s="192" t="str">
        <f>Texte!B212</f>
        <v>Solaio con travetti in vista, soffitto semplice, massetto normale (Lignum)</v>
      </c>
      <c r="C201" s="191" t="s">
        <v>541</v>
      </c>
      <c r="D201" s="248" t="s">
        <v>551</v>
      </c>
      <c r="E201" s="191" t="s">
        <v>255</v>
      </c>
      <c r="F201" s="191" t="s">
        <v>30</v>
      </c>
      <c r="G201" s="191">
        <v>60</v>
      </c>
      <c r="H201" s="195">
        <v>2.6064814814814814</v>
      </c>
      <c r="I201" s="195">
        <v>0</v>
      </c>
      <c r="J201" s="195">
        <v>0</v>
      </c>
      <c r="K201" s="199">
        <v>0.71716666666666673</v>
      </c>
      <c r="L201" s="199"/>
      <c r="M201" s="199"/>
      <c r="N201" s="202">
        <v>1173.4000000000001</v>
      </c>
      <c r="O201" s="202"/>
      <c r="P201" s="202"/>
      <c r="Q201" s="191" t="s">
        <v>19</v>
      </c>
      <c r="R201" s="191" t="s">
        <v>283</v>
      </c>
      <c r="S201" s="8" t="s">
        <v>30</v>
      </c>
      <c r="T201" s="8" t="s">
        <v>368</v>
      </c>
      <c r="U201" s="191" t="s">
        <v>687</v>
      </c>
      <c r="W201">
        <f>COUNTIF($A$157:A201,A201)</f>
        <v>3</v>
      </c>
      <c r="X201" t="s">
        <v>2289</v>
      </c>
      <c r="Y201">
        <f t="shared" si="9"/>
        <v>190</v>
      </c>
      <c r="Z201" t="str">
        <f t="shared" si="10"/>
        <v>C41-3</v>
      </c>
      <c r="AB201">
        <v>233</v>
      </c>
      <c r="AC201" t="s">
        <v>2226</v>
      </c>
    </row>
    <row r="202" spans="1:29">
      <c r="A202" s="191" t="s">
        <v>273</v>
      </c>
      <c r="B202" s="192" t="str">
        <f>Texte!B213</f>
        <v>Solaio con travetti in vista, soffitto semplice, massetto a secco (Lignum)</v>
      </c>
      <c r="C202" s="191" t="s">
        <v>544</v>
      </c>
      <c r="D202" s="248" t="s">
        <v>554</v>
      </c>
      <c r="E202" s="191" t="s">
        <v>255</v>
      </c>
      <c r="F202" s="191" t="s">
        <v>30</v>
      </c>
      <c r="G202" s="191">
        <v>60</v>
      </c>
      <c r="H202" s="195">
        <v>2.9861111111111112</v>
      </c>
      <c r="I202" s="195">
        <v>0</v>
      </c>
      <c r="J202" s="195">
        <v>0</v>
      </c>
      <c r="K202" s="199">
        <v>0.60833333333333328</v>
      </c>
      <c r="L202" s="199"/>
      <c r="M202" s="199"/>
      <c r="N202" s="202">
        <v>1054.2833333333333</v>
      </c>
      <c r="O202" s="202"/>
      <c r="P202" s="202"/>
      <c r="Q202" s="191" t="s">
        <v>19</v>
      </c>
      <c r="R202" s="191" t="s">
        <v>283</v>
      </c>
      <c r="S202" s="8" t="s">
        <v>30</v>
      </c>
      <c r="T202" s="8" t="s">
        <v>368</v>
      </c>
      <c r="U202" s="191" t="s">
        <v>687</v>
      </c>
      <c r="W202">
        <f>COUNTIF($A$157:A202,A202)</f>
        <v>4</v>
      </c>
      <c r="X202" t="s">
        <v>2290</v>
      </c>
      <c r="Y202">
        <f t="shared" si="9"/>
        <v>191</v>
      </c>
      <c r="Z202" t="str">
        <f t="shared" si="10"/>
        <v>C41-4</v>
      </c>
      <c r="AB202">
        <v>234</v>
      </c>
      <c r="AC202" t="s">
        <v>2227</v>
      </c>
    </row>
    <row r="203" spans="1:29">
      <c r="A203" s="191" t="s">
        <v>273</v>
      </c>
      <c r="B203" s="192" t="str">
        <f>Texte!B214</f>
        <v>Solaio con travetti, sottofondo a secco e con soffitto ribassato (Lignum)</v>
      </c>
      <c r="C203" s="191" t="s">
        <v>543</v>
      </c>
      <c r="D203" s="248" t="s">
        <v>553</v>
      </c>
      <c r="E203" s="191" t="s">
        <v>255</v>
      </c>
      <c r="F203" s="191" t="s">
        <v>30</v>
      </c>
      <c r="G203" s="191">
        <v>60</v>
      </c>
      <c r="H203" s="195">
        <v>4.5648148148148149</v>
      </c>
      <c r="I203" s="195">
        <v>0</v>
      </c>
      <c r="J203" s="195">
        <v>0</v>
      </c>
      <c r="K203" s="199">
        <v>0.97349999999999992</v>
      </c>
      <c r="L203" s="199"/>
      <c r="M203" s="199"/>
      <c r="N203" s="202">
        <v>1332.65</v>
      </c>
      <c r="O203" s="202"/>
      <c r="P203" s="202"/>
      <c r="Q203" s="191" t="s">
        <v>19</v>
      </c>
      <c r="R203" s="191" t="s">
        <v>283</v>
      </c>
      <c r="S203" s="8" t="s">
        <v>30</v>
      </c>
      <c r="T203" s="8" t="s">
        <v>368</v>
      </c>
      <c r="U203" s="191" t="s">
        <v>687</v>
      </c>
      <c r="W203">
        <f>COUNTIF($A$157:A203,A203)</f>
        <v>5</v>
      </c>
      <c r="X203" t="s">
        <v>2291</v>
      </c>
      <c r="Y203">
        <f t="shared" si="9"/>
        <v>192</v>
      </c>
      <c r="Z203" t="str">
        <f t="shared" si="10"/>
        <v>C41-5</v>
      </c>
      <c r="AB203">
        <v>235</v>
      </c>
      <c r="AC203" t="s">
        <v>2228</v>
      </c>
    </row>
    <row r="204" spans="1:29">
      <c r="A204" s="191" t="s">
        <v>273</v>
      </c>
      <c r="B204" s="192" t="str">
        <f>Texte!B215</f>
        <v>Soletta in CLS 22 cm con isolamento termico interno EPS, strato anticalpestio, massetto (BTK)</v>
      </c>
      <c r="C204" s="191" t="s">
        <v>578</v>
      </c>
      <c r="D204" s="248" t="s">
        <v>579</v>
      </c>
      <c r="E204" s="191" t="s">
        <v>255</v>
      </c>
      <c r="F204" s="191" t="s">
        <v>30</v>
      </c>
      <c r="G204" s="193">
        <f>(I204+J204)/H204</f>
        <v>39.655571635311148</v>
      </c>
      <c r="H204" s="195">
        <v>9.5972222222222214</v>
      </c>
      <c r="I204" s="195">
        <v>344.66666666666663</v>
      </c>
      <c r="J204" s="195">
        <v>35.916666666666671</v>
      </c>
      <c r="K204" s="199">
        <v>3.22</v>
      </c>
      <c r="L204" s="199">
        <v>114.56</v>
      </c>
      <c r="M204" s="199">
        <v>20.59</v>
      </c>
      <c r="N204" s="202">
        <v>3345</v>
      </c>
      <c r="O204" s="202">
        <v>127506</v>
      </c>
      <c r="P204" s="202">
        <v>26097</v>
      </c>
      <c r="Q204" s="191" t="s">
        <v>20</v>
      </c>
      <c r="R204" s="191" t="s">
        <v>283</v>
      </c>
      <c r="S204" s="8" t="s">
        <v>30</v>
      </c>
      <c r="T204" s="8" t="s">
        <v>368</v>
      </c>
      <c r="U204" s="191" t="s">
        <v>686</v>
      </c>
      <c r="W204">
        <f>COUNTIF($A$157:A204,A204)</f>
        <v>6</v>
      </c>
      <c r="X204" t="s">
        <v>2292</v>
      </c>
      <c r="Y204">
        <f t="shared" si="9"/>
        <v>193</v>
      </c>
      <c r="Z204" t="str">
        <f t="shared" si="10"/>
        <v>C41-6</v>
      </c>
      <c r="AB204">
        <v>236</v>
      </c>
      <c r="AC204" t="s">
        <v>2229</v>
      </c>
    </row>
    <row r="205" spans="1:29">
      <c r="A205" s="191" t="s">
        <v>273</v>
      </c>
      <c r="B205" s="192" t="str">
        <f>Texte!B216</f>
        <v>Soletta in CLS 22 cm con isolamento termico interno PUR, massetto (BTK)</v>
      </c>
      <c r="C205" s="191" t="s">
        <v>576</v>
      </c>
      <c r="D205" s="248" t="s">
        <v>577</v>
      </c>
      <c r="E205" s="191" t="s">
        <v>255</v>
      </c>
      <c r="F205" s="191" t="s">
        <v>30</v>
      </c>
      <c r="G205" s="193">
        <f>(I205+J205)/H205</f>
        <v>39.899079845651535</v>
      </c>
      <c r="H205" s="195">
        <v>9.3583333333333325</v>
      </c>
      <c r="I205" s="195">
        <v>335.19444444444446</v>
      </c>
      <c r="J205" s="195">
        <v>38.194444444444443</v>
      </c>
      <c r="K205" s="199">
        <v>3.29</v>
      </c>
      <c r="L205" s="199">
        <v>117.74</v>
      </c>
      <c r="M205" s="199">
        <v>19.38</v>
      </c>
      <c r="N205" s="202">
        <v>3576</v>
      </c>
      <c r="O205" s="202">
        <v>133795</v>
      </c>
      <c r="P205" s="202">
        <v>26727</v>
      </c>
      <c r="Q205" s="191" t="s">
        <v>20</v>
      </c>
      <c r="R205" s="191" t="s">
        <v>283</v>
      </c>
      <c r="S205" s="8" t="s">
        <v>30</v>
      </c>
      <c r="T205" s="8" t="s">
        <v>368</v>
      </c>
      <c r="U205" s="191" t="s">
        <v>686</v>
      </c>
      <c r="W205">
        <f>COUNTIF($A$157:A205,A205)</f>
        <v>7</v>
      </c>
      <c r="X205" t="s">
        <v>2293</v>
      </c>
      <c r="Y205">
        <f t="shared" si="9"/>
        <v>194</v>
      </c>
      <c r="Z205" t="str">
        <f t="shared" si="10"/>
        <v>C41-7</v>
      </c>
      <c r="AB205">
        <v>237</v>
      </c>
      <c r="AC205" t="s">
        <v>2230</v>
      </c>
    </row>
    <row r="206" spans="1:29">
      <c r="A206" s="191" t="s">
        <v>273</v>
      </c>
      <c r="B206" s="192" t="str">
        <f>Texte!B217</f>
        <v>Soletta in CLS 22 cm con strato anticalpestio e massetto</v>
      </c>
      <c r="C206" s="191" t="s">
        <v>581</v>
      </c>
      <c r="D206" s="248" t="s">
        <v>580</v>
      </c>
      <c r="E206" s="191" t="s">
        <v>255</v>
      </c>
      <c r="F206" s="191" t="s">
        <v>30</v>
      </c>
      <c r="G206" s="193">
        <f>(I206+J206)/H206</f>
        <v>42.734912146676855</v>
      </c>
      <c r="H206" s="195">
        <v>7.2722222222222221</v>
      </c>
      <c r="I206" s="195">
        <v>274.08333333333331</v>
      </c>
      <c r="J206" s="195">
        <v>36.694444444444443</v>
      </c>
      <c r="K206" s="199">
        <v>2.71</v>
      </c>
      <c r="L206" s="199">
        <v>107.33</v>
      </c>
      <c r="M206" s="199">
        <v>12.42</v>
      </c>
      <c r="N206" s="202">
        <v>2997</v>
      </c>
      <c r="O206" s="202">
        <v>121874</v>
      </c>
      <c r="P206" s="202">
        <v>21272</v>
      </c>
      <c r="Q206" s="191" t="s">
        <v>19</v>
      </c>
      <c r="R206" s="191" t="s">
        <v>283</v>
      </c>
      <c r="S206" s="8" t="s">
        <v>30</v>
      </c>
      <c r="T206" s="8" t="s">
        <v>368</v>
      </c>
      <c r="U206" s="191" t="s">
        <v>686</v>
      </c>
      <c r="W206">
        <f>COUNTIF($A$157:A206,A206)</f>
        <v>8</v>
      </c>
      <c r="X206" t="s">
        <v>2294</v>
      </c>
      <c r="Y206">
        <f t="shared" si="9"/>
        <v>195</v>
      </c>
      <c r="Z206" t="str">
        <f t="shared" si="10"/>
        <v>C41-8</v>
      </c>
      <c r="AB206">
        <v>238</v>
      </c>
      <c r="AC206" t="s">
        <v>2231</v>
      </c>
    </row>
    <row r="207" spans="1:29">
      <c r="A207" s="191" t="s">
        <v>273</v>
      </c>
      <c r="B207" s="192" t="str">
        <f>Texte!B218</f>
        <v>Soletta in CLS 22 cm con isolamento termico esterno intonacato (BTK)</v>
      </c>
      <c r="C207" s="191" t="s">
        <v>574</v>
      </c>
      <c r="D207" s="248" t="s">
        <v>575</v>
      </c>
      <c r="E207" s="191" t="s">
        <v>255</v>
      </c>
      <c r="F207" s="191" t="s">
        <v>30</v>
      </c>
      <c r="G207" s="193">
        <f>(I207+J207)/H207</f>
        <v>38.809272918861964</v>
      </c>
      <c r="H207" s="195">
        <v>10.544444444444444</v>
      </c>
      <c r="I207" s="195">
        <v>371.91666666666669</v>
      </c>
      <c r="J207" s="195">
        <v>37.305555555555557</v>
      </c>
      <c r="K207" s="199">
        <v>3.47</v>
      </c>
      <c r="L207" s="199">
        <v>125.9</v>
      </c>
      <c r="M207" s="199">
        <v>16.54</v>
      </c>
      <c r="N207" s="202">
        <v>3709</v>
      </c>
      <c r="O207" s="202">
        <v>140335</v>
      </c>
      <c r="P207" s="202">
        <v>24173</v>
      </c>
      <c r="Q207" s="191" t="s">
        <v>20</v>
      </c>
      <c r="R207" s="191" t="s">
        <v>283</v>
      </c>
      <c r="S207" s="8" t="s">
        <v>30</v>
      </c>
      <c r="T207" s="8" t="s">
        <v>368</v>
      </c>
      <c r="U207" s="191" t="s">
        <v>686</v>
      </c>
      <c r="W207">
        <f>COUNTIF($A$157:A207,A207)</f>
        <v>9</v>
      </c>
      <c r="X207" t="s">
        <v>2295</v>
      </c>
      <c r="Y207">
        <f t="shared" si="9"/>
        <v>196</v>
      </c>
      <c r="Z207" t="str">
        <f t="shared" si="10"/>
        <v>C41-9</v>
      </c>
      <c r="AB207">
        <v>239</v>
      </c>
      <c r="AC207" t="s">
        <v>2232</v>
      </c>
    </row>
    <row r="208" spans="1:29">
      <c r="A208" s="191" t="s">
        <v>273</v>
      </c>
      <c r="B208" s="192" t="str">
        <f>Texte!B219</f>
        <v>Soletta massiccia con tavole in legno 16 cm, strato anticalpestio, massetto (BTK)</v>
      </c>
      <c r="C208" s="191" t="s">
        <v>584</v>
      </c>
      <c r="D208" s="248" t="s">
        <v>585</v>
      </c>
      <c r="E208" s="191" t="s">
        <v>255</v>
      </c>
      <c r="F208" s="191" t="s">
        <v>30</v>
      </c>
      <c r="G208" s="193">
        <f>(I208+J208)/H208</f>
        <v>46.858071505958819</v>
      </c>
      <c r="H208" s="195">
        <v>5.1277777777777782</v>
      </c>
      <c r="I208" s="195">
        <v>228.9722222222222</v>
      </c>
      <c r="J208" s="195">
        <v>11.305555555555555</v>
      </c>
      <c r="K208" s="199">
        <v>0.99</v>
      </c>
      <c r="L208" s="199">
        <v>39.86</v>
      </c>
      <c r="M208" s="199">
        <v>10.1</v>
      </c>
      <c r="N208" s="202">
        <v>2054</v>
      </c>
      <c r="O208" s="202">
        <v>69584</v>
      </c>
      <c r="P208" s="202">
        <v>36903</v>
      </c>
      <c r="Q208" s="191" t="s">
        <v>19</v>
      </c>
      <c r="R208" s="191" t="s">
        <v>283</v>
      </c>
      <c r="S208" s="8" t="s">
        <v>30</v>
      </c>
      <c r="T208" s="8" t="s">
        <v>368</v>
      </c>
      <c r="U208" s="191" t="s">
        <v>686</v>
      </c>
      <c r="W208">
        <f>COUNTIF($A$157:A208,A208)</f>
        <v>10</v>
      </c>
      <c r="X208" t="s">
        <v>2296</v>
      </c>
      <c r="Y208">
        <f t="shared" si="9"/>
        <v>197</v>
      </c>
      <c r="Z208" t="str">
        <f t="shared" si="10"/>
        <v>C41-10</v>
      </c>
      <c r="AB208">
        <v>240</v>
      </c>
      <c r="AC208" t="s">
        <v>2233</v>
      </c>
    </row>
    <row r="209" spans="1:29">
      <c r="A209" s="191" t="s">
        <v>273</v>
      </c>
      <c r="B209" s="192" t="str">
        <f>Texte!B220</f>
        <v>Solaio a cassettoni in legno, massetto, soffitto ribassato (Lignum)</v>
      </c>
      <c r="C209" s="191" t="s">
        <v>546</v>
      </c>
      <c r="D209" s="248" t="s">
        <v>556</v>
      </c>
      <c r="E209" s="191" t="s">
        <v>255</v>
      </c>
      <c r="F209" s="191" t="s">
        <v>30</v>
      </c>
      <c r="G209" s="191">
        <v>60</v>
      </c>
      <c r="H209" s="195">
        <v>3.4722222222222223</v>
      </c>
      <c r="I209" s="195">
        <v>0</v>
      </c>
      <c r="J209" s="195">
        <v>0</v>
      </c>
      <c r="K209" s="199">
        <v>0.92500000000000004</v>
      </c>
      <c r="L209" s="199"/>
      <c r="M209" s="199"/>
      <c r="N209" s="202">
        <v>1330.7</v>
      </c>
      <c r="O209" s="202"/>
      <c r="P209" s="202"/>
      <c r="Q209" s="191" t="s">
        <v>19</v>
      </c>
      <c r="R209" s="191" t="s">
        <v>283</v>
      </c>
      <c r="S209" s="8" t="s">
        <v>30</v>
      </c>
      <c r="T209" s="8" t="s">
        <v>368</v>
      </c>
      <c r="U209" s="191" t="s">
        <v>687</v>
      </c>
      <c r="W209">
        <f>COUNTIF($A$157:A209,A209)</f>
        <v>11</v>
      </c>
      <c r="X209" t="s">
        <v>2297</v>
      </c>
      <c r="Y209">
        <f t="shared" si="9"/>
        <v>198</v>
      </c>
      <c r="Z209" t="str">
        <f t="shared" si="10"/>
        <v>C41-11</v>
      </c>
      <c r="AB209">
        <v>241</v>
      </c>
      <c r="AC209" t="s">
        <v>2234</v>
      </c>
    </row>
    <row r="210" spans="1:29">
      <c r="A210" s="191" t="s">
        <v>273</v>
      </c>
      <c r="B210" s="192" t="str">
        <f>Texte!B221</f>
        <v>Solaio a cassettoni in legno, massetto, senza soffitto ribassato (Lignum)</v>
      </c>
      <c r="C210" s="191" t="s">
        <v>545</v>
      </c>
      <c r="D210" s="248" t="s">
        <v>555</v>
      </c>
      <c r="E210" s="191" t="s">
        <v>255</v>
      </c>
      <c r="F210" s="191" t="s">
        <v>30</v>
      </c>
      <c r="G210" s="191">
        <v>60</v>
      </c>
      <c r="H210" s="195">
        <v>2.8657407407407405</v>
      </c>
      <c r="I210" s="195">
        <v>0</v>
      </c>
      <c r="J210" s="195">
        <v>0</v>
      </c>
      <c r="K210" s="199">
        <v>0.57266666666666666</v>
      </c>
      <c r="L210" s="199"/>
      <c r="M210" s="199"/>
      <c r="N210" s="202">
        <v>1117.7</v>
      </c>
      <c r="O210" s="202"/>
      <c r="P210" s="202"/>
      <c r="Q210" s="191" t="s">
        <v>19</v>
      </c>
      <c r="R210" s="191" t="s">
        <v>283</v>
      </c>
      <c r="S210" s="8" t="s">
        <v>30</v>
      </c>
      <c r="T210" s="8" t="s">
        <v>368</v>
      </c>
      <c r="U210" s="191" t="s">
        <v>687</v>
      </c>
      <c r="W210">
        <f>COUNTIF($A$157:A210,A210)</f>
        <v>12</v>
      </c>
      <c r="X210" t="s">
        <v>2298</v>
      </c>
      <c r="Y210">
        <f t="shared" si="9"/>
        <v>199</v>
      </c>
      <c r="Z210" t="str">
        <f t="shared" si="10"/>
        <v>C41-12</v>
      </c>
      <c r="AB210">
        <v>242</v>
      </c>
      <c r="AC210" t="s">
        <v>2235</v>
      </c>
    </row>
    <row r="211" spans="1:29">
      <c r="A211" s="191" t="s">
        <v>273</v>
      </c>
      <c r="B211" s="192" t="str">
        <f>Texte!B222</f>
        <v>Solaio con travetti con isolamento supplementare 8 cm lana di roccia, rivestimento esterno, pannello truciolare interno (BTK)</v>
      </c>
      <c r="C211" s="191" t="s">
        <v>586</v>
      </c>
      <c r="D211" s="248" t="s">
        <v>587</v>
      </c>
      <c r="E211" s="191" t="s">
        <v>255</v>
      </c>
      <c r="F211" s="191" t="s">
        <v>30</v>
      </c>
      <c r="G211" s="193">
        <f>(I211+J211)/H211</f>
        <v>31.213930348258703</v>
      </c>
      <c r="H211" s="195">
        <v>2.791666666666667</v>
      </c>
      <c r="I211" s="195">
        <v>85.305555555555557</v>
      </c>
      <c r="J211" s="195">
        <v>1.8333333333333333</v>
      </c>
      <c r="K211" s="199">
        <v>0.6</v>
      </c>
      <c r="L211" s="199">
        <v>15.98</v>
      </c>
      <c r="M211" s="199">
        <v>2.48</v>
      </c>
      <c r="N211" s="202">
        <v>1085</v>
      </c>
      <c r="O211" s="202">
        <v>20481</v>
      </c>
      <c r="P211" s="202">
        <v>16038</v>
      </c>
      <c r="Q211" s="191" t="s">
        <v>20</v>
      </c>
      <c r="R211" s="191" t="s">
        <v>283</v>
      </c>
      <c r="S211" s="8" t="s">
        <v>30</v>
      </c>
      <c r="T211" s="8" t="s">
        <v>368</v>
      </c>
      <c r="U211" s="191" t="s">
        <v>686</v>
      </c>
      <c r="W211">
        <f>COUNTIF($A$157:A211,A211)</f>
        <v>13</v>
      </c>
      <c r="X211" t="s">
        <v>2299</v>
      </c>
      <c r="Y211">
        <f t="shared" si="9"/>
        <v>200</v>
      </c>
      <c r="Z211" t="str">
        <f t="shared" si="10"/>
        <v>C41-13</v>
      </c>
      <c r="AB211">
        <v>243</v>
      </c>
      <c r="AC211" t="s">
        <v>2249</v>
      </c>
    </row>
    <row r="212" spans="1:29">
      <c r="A212" s="191" t="s">
        <v>273</v>
      </c>
      <c r="B212" s="192" t="str">
        <f>Texte!B223</f>
        <v>Solaio misto legno-calcestruzzo, massetto, senza soffitto ribassato. Soffitto (Lignum)</v>
      </c>
      <c r="C212" s="191" t="s">
        <v>550</v>
      </c>
      <c r="D212" s="248" t="s">
        <v>560</v>
      </c>
      <c r="E212" s="191" t="s">
        <v>255</v>
      </c>
      <c r="F212" s="191" t="s">
        <v>30</v>
      </c>
      <c r="G212" s="191">
        <v>60</v>
      </c>
      <c r="H212" s="195">
        <v>2.9027777777777777</v>
      </c>
      <c r="I212" s="195">
        <v>0</v>
      </c>
      <c r="J212" s="195">
        <v>0</v>
      </c>
      <c r="K212" s="199">
        <v>0.85249999999999992</v>
      </c>
      <c r="L212" s="199"/>
      <c r="M212" s="199"/>
      <c r="N212" s="202">
        <v>1554.8</v>
      </c>
      <c r="O212" s="202"/>
      <c r="P212" s="202"/>
      <c r="Q212" s="191" t="s">
        <v>19</v>
      </c>
      <c r="R212" s="191" t="s">
        <v>283</v>
      </c>
      <c r="S212" s="8" t="s">
        <v>30</v>
      </c>
      <c r="T212" s="8" t="s">
        <v>368</v>
      </c>
      <c r="U212" s="191" t="s">
        <v>687</v>
      </c>
      <c r="W212">
        <f>COUNTIF($A$157:A212,A212)</f>
        <v>14</v>
      </c>
      <c r="X212" t="s">
        <v>2300</v>
      </c>
      <c r="Y212">
        <f t="shared" si="9"/>
        <v>201</v>
      </c>
      <c r="Z212" t="str">
        <f t="shared" si="10"/>
        <v>C41-14</v>
      </c>
      <c r="AB212">
        <v>244</v>
      </c>
      <c r="AC212" t="s">
        <v>2250</v>
      </c>
    </row>
    <row r="213" spans="1:29">
      <c r="A213" s="191" t="s">
        <v>273</v>
      </c>
      <c r="B213" s="192" t="str">
        <f>Texte!B224</f>
        <v>Solaio a cassettoni isolato, strato anticalpestio, pannello truciolare (BTK)</v>
      </c>
      <c r="C213" s="191" t="s">
        <v>588</v>
      </c>
      <c r="D213" s="248" t="s">
        <v>589</v>
      </c>
      <c r="E213" s="191" t="s">
        <v>255</v>
      </c>
      <c r="F213" s="191" t="s">
        <v>30</v>
      </c>
      <c r="G213" s="193">
        <f>(I213+J213)/H213</f>
        <v>45.833807626636307</v>
      </c>
      <c r="H213" s="195">
        <v>4.8805555555555555</v>
      </c>
      <c r="I213" s="195">
        <v>220.66666666666666</v>
      </c>
      <c r="J213" s="195">
        <v>3.0277777777777777</v>
      </c>
      <c r="K213" s="199">
        <v>0.97</v>
      </c>
      <c r="L213" s="199">
        <v>39.35</v>
      </c>
      <c r="M213" s="199">
        <v>7.08</v>
      </c>
      <c r="N213" s="202">
        <v>1732</v>
      </c>
      <c r="O213" s="202">
        <v>58774</v>
      </c>
      <c r="P213" s="202">
        <v>26888</v>
      </c>
      <c r="Q213" s="191" t="s">
        <v>20</v>
      </c>
      <c r="R213" s="191" t="s">
        <v>283</v>
      </c>
      <c r="S213" s="8" t="s">
        <v>30</v>
      </c>
      <c r="T213" s="8" t="s">
        <v>368</v>
      </c>
      <c r="U213" s="191" t="s">
        <v>686</v>
      </c>
      <c r="W213">
        <f>COUNTIF($A$157:A213,A213)</f>
        <v>15</v>
      </c>
      <c r="X213" t="s">
        <v>2301</v>
      </c>
      <c r="Y213">
        <f t="shared" si="9"/>
        <v>202</v>
      </c>
      <c r="Z213" t="str">
        <f t="shared" si="10"/>
        <v>C41-15</v>
      </c>
      <c r="AB213">
        <v>245</v>
      </c>
      <c r="AC213" t="s">
        <v>2251</v>
      </c>
    </row>
    <row r="214" spans="1:29">
      <c r="A214" s="8" t="s">
        <v>273</v>
      </c>
      <c r="B214" s="8" t="str">
        <f>Texte!B339</f>
        <v>Isolamento interno sopra un solaio isolato con travetti, 16 cm lana di roccia (BTK)</v>
      </c>
      <c r="C214" s="8" t="s">
        <v>494</v>
      </c>
      <c r="D214" s="252" t="s">
        <v>505</v>
      </c>
      <c r="E214" s="8" t="s">
        <v>255</v>
      </c>
      <c r="F214" s="8" t="s">
        <v>30</v>
      </c>
      <c r="G214" s="177">
        <v>29.98740310077519</v>
      </c>
      <c r="H214" s="177">
        <v>2.8666666666666667</v>
      </c>
      <c r="I214" s="177">
        <v>84.569444444444443</v>
      </c>
      <c r="J214" s="177">
        <v>1.3944444444444444</v>
      </c>
      <c r="K214" s="8">
        <v>0.64</v>
      </c>
      <c r="L214" s="8">
        <v>16.72</v>
      </c>
      <c r="M214" s="8">
        <v>2.42</v>
      </c>
      <c r="N214" s="8">
        <v>859</v>
      </c>
      <c r="O214" s="8">
        <v>17578</v>
      </c>
      <c r="P214" s="8">
        <v>8179</v>
      </c>
      <c r="Q214" s="8" t="s">
        <v>20</v>
      </c>
      <c r="R214" s="8"/>
      <c r="S214" s="8" t="s">
        <v>30</v>
      </c>
      <c r="T214" s="8" t="s">
        <v>368</v>
      </c>
      <c r="U214" s="191" t="s">
        <v>686</v>
      </c>
      <c r="W214">
        <f>COUNTIF($A$157:A214,A214)</f>
        <v>16</v>
      </c>
      <c r="X214" t="s">
        <v>2302</v>
      </c>
      <c r="Y214">
        <f t="shared" si="9"/>
        <v>317</v>
      </c>
      <c r="Z214" t="str">
        <f t="shared" si="10"/>
        <v>C41-16</v>
      </c>
      <c r="AB214">
        <v>246</v>
      </c>
      <c r="AC214" t="s">
        <v>2252</v>
      </c>
    </row>
    <row r="215" spans="1:29">
      <c r="A215" s="8" t="s">
        <v>273</v>
      </c>
      <c r="B215" s="8" t="str">
        <f>Texte!B336</f>
        <v>Isolamento interno con rivestimento del soffitto di una soletta in CLS isolata, contro non riscaldato (BTK)</v>
      </c>
      <c r="C215" s="8" t="s">
        <v>488</v>
      </c>
      <c r="D215" s="252" t="s">
        <v>502</v>
      </c>
      <c r="E215" s="8" t="s">
        <v>255</v>
      </c>
      <c r="F215" s="8" t="s">
        <v>30</v>
      </c>
      <c r="G215" s="177">
        <v>29.987012987012989</v>
      </c>
      <c r="H215" s="177">
        <v>2.1388888888888888</v>
      </c>
      <c r="I215" s="177">
        <v>63.547222222222224</v>
      </c>
      <c r="J215" s="177">
        <v>0.59166666666666667</v>
      </c>
      <c r="K215" s="8">
        <v>0.28000000000000003</v>
      </c>
      <c r="L215" s="8">
        <v>7.81</v>
      </c>
      <c r="M215" s="8">
        <v>0.6</v>
      </c>
      <c r="N215" s="8">
        <v>524</v>
      </c>
      <c r="O215" s="8">
        <v>11042</v>
      </c>
      <c r="P215" s="8">
        <v>4680</v>
      </c>
      <c r="Q215" s="8" t="s">
        <v>20</v>
      </c>
      <c r="R215" s="8"/>
      <c r="S215" s="8" t="s">
        <v>30</v>
      </c>
      <c r="T215" s="8" t="s">
        <v>368</v>
      </c>
      <c r="U215" s="191" t="s">
        <v>686</v>
      </c>
      <c r="W215">
        <f>COUNTIF($A$157:A215,A215)</f>
        <v>17</v>
      </c>
      <c r="X215" t="s">
        <v>2303</v>
      </c>
      <c r="Y215">
        <f t="shared" si="9"/>
        <v>314</v>
      </c>
      <c r="Z215" t="str">
        <f t="shared" si="10"/>
        <v>C41-17</v>
      </c>
      <c r="AB215">
        <v>247</v>
      </c>
      <c r="AC215" t="s">
        <v>2253</v>
      </c>
    </row>
    <row r="216" spans="1:29">
      <c r="A216" s="8" t="s">
        <v>273</v>
      </c>
      <c r="B216" s="8" t="str">
        <f>Texte!B338</f>
        <v>Isolamento interno sotto un solaio con travetti riempito di scorie, verso non riscaldato (BTK)</v>
      </c>
      <c r="C216" s="8" t="s">
        <v>492</v>
      </c>
      <c r="D216" s="252" t="s">
        <v>504</v>
      </c>
      <c r="E216" s="8" t="s">
        <v>255</v>
      </c>
      <c r="F216" s="8" t="s">
        <v>30</v>
      </c>
      <c r="G216" s="177">
        <v>30.016877637130804</v>
      </c>
      <c r="H216" s="177">
        <v>1.9750000000000001</v>
      </c>
      <c r="I216" s="177">
        <v>58.208333333333336</v>
      </c>
      <c r="J216" s="177">
        <v>1.075</v>
      </c>
      <c r="K216" s="8">
        <v>0.45</v>
      </c>
      <c r="L216" s="8">
        <v>12.87</v>
      </c>
      <c r="M216" s="8">
        <v>0.67</v>
      </c>
      <c r="N216" s="8">
        <v>686</v>
      </c>
      <c r="O216" s="8">
        <v>15536</v>
      </c>
      <c r="P216" s="8">
        <v>5056</v>
      </c>
      <c r="Q216" s="8" t="s">
        <v>20</v>
      </c>
      <c r="R216" s="8"/>
      <c r="S216" s="8" t="s">
        <v>30</v>
      </c>
      <c r="T216" s="8" t="s">
        <v>368</v>
      </c>
      <c r="U216" s="191" t="s">
        <v>686</v>
      </c>
      <c r="W216">
        <f>COUNTIF($A$157:A216,A216)</f>
        <v>18</v>
      </c>
      <c r="X216" t="s">
        <v>2304</v>
      </c>
      <c r="Y216">
        <f t="shared" si="9"/>
        <v>316</v>
      </c>
      <c r="Z216" t="str">
        <f t="shared" si="10"/>
        <v>C41-18</v>
      </c>
      <c r="AB216">
        <v>248</v>
      </c>
      <c r="AC216" t="s">
        <v>2116</v>
      </c>
    </row>
    <row r="217" spans="1:29">
      <c r="A217" s="8" t="s">
        <v>273</v>
      </c>
      <c r="B217" s="8" t="str">
        <f>Texte!B337</f>
        <v>Isolamento tra i travetti di un solaio verso non riscaldato (BTK)</v>
      </c>
      <c r="C217" s="8" t="s">
        <v>491</v>
      </c>
      <c r="D217" s="252" t="s">
        <v>503</v>
      </c>
      <c r="E217" s="8" t="s">
        <v>255</v>
      </c>
      <c r="F217" s="8" t="s">
        <v>30</v>
      </c>
      <c r="G217" s="177">
        <v>29.981351981351981</v>
      </c>
      <c r="H217" s="177">
        <v>1.1916666666666667</v>
      </c>
      <c r="I217" s="177">
        <v>35.038888888888891</v>
      </c>
      <c r="J217" s="177">
        <v>0.68888888888888888</v>
      </c>
      <c r="K217" s="8">
        <v>0.26</v>
      </c>
      <c r="L217" s="8">
        <v>7.25</v>
      </c>
      <c r="M217" s="8">
        <v>0.61</v>
      </c>
      <c r="N217" s="8">
        <v>469</v>
      </c>
      <c r="O217" s="8">
        <v>9384</v>
      </c>
      <c r="P217" s="8">
        <v>4682</v>
      </c>
      <c r="Q217" s="8" t="s">
        <v>20</v>
      </c>
      <c r="R217" s="8"/>
      <c r="S217" s="8" t="s">
        <v>30</v>
      </c>
      <c r="T217" s="8" t="s">
        <v>368</v>
      </c>
      <c r="U217" s="191" t="s">
        <v>686</v>
      </c>
      <c r="W217">
        <f>COUNTIF($A$157:A217,A217)</f>
        <v>19</v>
      </c>
      <c r="X217" t="s">
        <v>2305</v>
      </c>
      <c r="Y217">
        <f t="shared" si="9"/>
        <v>315</v>
      </c>
      <c r="Z217" t="str">
        <f t="shared" si="10"/>
        <v>C41-19</v>
      </c>
      <c r="AB217">
        <v>249</v>
      </c>
      <c r="AC217" t="s">
        <v>2118</v>
      </c>
    </row>
    <row r="218" spans="1:29">
      <c r="A218" s="191" t="s">
        <v>273</v>
      </c>
      <c r="B218" s="192" t="str">
        <f>Texte!B225</f>
        <v>Soletta massiccia in legno, massetto, con soffitto ribassato (Lignum)</v>
      </c>
      <c r="C218" s="191" t="s">
        <v>549</v>
      </c>
      <c r="D218" s="248" t="s">
        <v>559</v>
      </c>
      <c r="E218" s="191" t="s">
        <v>255</v>
      </c>
      <c r="F218" s="191" t="s">
        <v>30</v>
      </c>
      <c r="G218" s="191">
        <v>60</v>
      </c>
      <c r="H218" s="195">
        <v>5.2268518518518521</v>
      </c>
      <c r="I218" s="195">
        <v>0</v>
      </c>
      <c r="J218" s="195">
        <v>0</v>
      </c>
      <c r="K218" s="199">
        <v>1.2495000000000001</v>
      </c>
      <c r="L218" s="199"/>
      <c r="M218" s="199"/>
      <c r="N218" s="202">
        <v>2206.4833333333331</v>
      </c>
      <c r="O218" s="202"/>
      <c r="P218" s="202"/>
      <c r="Q218" s="191" t="s">
        <v>19</v>
      </c>
      <c r="R218" s="191" t="s">
        <v>283</v>
      </c>
      <c r="S218" s="8" t="s">
        <v>30</v>
      </c>
      <c r="T218" s="8" t="s">
        <v>368</v>
      </c>
      <c r="U218" s="191" t="s">
        <v>687</v>
      </c>
      <c r="W218">
        <f>COUNTIF($A$157:A218,A218)</f>
        <v>20</v>
      </c>
      <c r="X218" t="s">
        <v>2306</v>
      </c>
      <c r="Y218">
        <f t="shared" si="9"/>
        <v>203</v>
      </c>
      <c r="Z218" t="str">
        <f t="shared" si="10"/>
        <v>C41-20</v>
      </c>
      <c r="AB218">
        <v>250</v>
      </c>
      <c r="AC218" t="s">
        <v>2117</v>
      </c>
    </row>
    <row r="219" spans="1:29">
      <c r="A219" s="191" t="s">
        <v>273</v>
      </c>
      <c r="B219" s="192" t="str">
        <f>Texte!B226</f>
        <v>Soletta massiccia in legno, massetto, senza soffitto ribassato (Lignum)</v>
      </c>
      <c r="C219" s="191" t="s">
        <v>547</v>
      </c>
      <c r="D219" s="248" t="s">
        <v>557</v>
      </c>
      <c r="E219" s="191" t="s">
        <v>255</v>
      </c>
      <c r="F219" s="191" t="s">
        <v>30</v>
      </c>
      <c r="G219" s="191">
        <v>60</v>
      </c>
      <c r="H219" s="195">
        <v>2.4953703703703702</v>
      </c>
      <c r="I219" s="195">
        <v>0</v>
      </c>
      <c r="J219" s="195">
        <v>0</v>
      </c>
      <c r="K219" s="199">
        <v>0.5116666666666666</v>
      </c>
      <c r="L219" s="199"/>
      <c r="M219" s="199"/>
      <c r="N219" s="202">
        <v>1336.6833333333334</v>
      </c>
      <c r="O219" s="202"/>
      <c r="P219" s="202"/>
      <c r="Q219" s="191" t="s">
        <v>19</v>
      </c>
      <c r="R219" s="191" t="s">
        <v>283</v>
      </c>
      <c r="S219" s="8" t="s">
        <v>30</v>
      </c>
      <c r="T219" s="8" t="s">
        <v>368</v>
      </c>
      <c r="U219" s="191" t="s">
        <v>687</v>
      </c>
      <c r="W219">
        <f>COUNTIF($A$157:A219,A219)</f>
        <v>21</v>
      </c>
      <c r="X219" t="s">
        <v>2307</v>
      </c>
      <c r="Y219">
        <f t="shared" si="9"/>
        <v>204</v>
      </c>
      <c r="Z219" t="str">
        <f t="shared" si="10"/>
        <v>C41-21</v>
      </c>
      <c r="AB219">
        <v>251</v>
      </c>
      <c r="AC219" t="s">
        <v>2119</v>
      </c>
    </row>
    <row r="220" spans="1:29">
      <c r="A220" s="191" t="s">
        <v>273</v>
      </c>
      <c r="B220" s="192" t="str">
        <f>Texte!B227</f>
        <v>Soletta massiccia in legno, sottofondo a secco, con soffitto ribassato (Lignum)</v>
      </c>
      <c r="C220" s="191" t="s">
        <v>548</v>
      </c>
      <c r="D220" s="248" t="s">
        <v>558</v>
      </c>
      <c r="E220" s="191" t="s">
        <v>255</v>
      </c>
      <c r="F220" s="191" t="s">
        <v>30</v>
      </c>
      <c r="G220" s="191">
        <v>60</v>
      </c>
      <c r="H220" s="195">
        <v>6.2546296296296289</v>
      </c>
      <c r="I220" s="195">
        <v>0</v>
      </c>
      <c r="J220" s="195">
        <v>0</v>
      </c>
      <c r="K220" s="199">
        <v>1.294</v>
      </c>
      <c r="L220" s="199"/>
      <c r="M220" s="199"/>
      <c r="N220" s="202">
        <v>2153.4666666666667</v>
      </c>
      <c r="O220" s="202"/>
      <c r="P220" s="202"/>
      <c r="Q220" s="191" t="s">
        <v>19</v>
      </c>
      <c r="R220" s="191" t="s">
        <v>283</v>
      </c>
      <c r="S220" s="8" t="s">
        <v>30</v>
      </c>
      <c r="T220" s="8" t="s">
        <v>368</v>
      </c>
      <c r="U220" s="191" t="s">
        <v>687</v>
      </c>
      <c r="W220">
        <f>COUNTIF($A$157:A220,A220)</f>
        <v>22</v>
      </c>
      <c r="X220" t="s">
        <v>2308</v>
      </c>
      <c r="Y220">
        <f t="shared" si="9"/>
        <v>205</v>
      </c>
      <c r="Z220" t="str">
        <f t="shared" si="10"/>
        <v>C41-22</v>
      </c>
      <c r="AB220">
        <v>252</v>
      </c>
      <c r="AC220" t="s">
        <v>2120</v>
      </c>
    </row>
    <row r="221" spans="1:29">
      <c r="A221" s="191" t="s">
        <v>273</v>
      </c>
      <c r="B221" s="192" t="str">
        <f>Texte!B228</f>
        <v>Solaio il lamiera grecata con CLS 18 cm, strato anticalpestio, sottofondo (BTK)</v>
      </c>
      <c r="C221" s="191" t="s">
        <v>582</v>
      </c>
      <c r="D221" s="248" t="s">
        <v>583</v>
      </c>
      <c r="E221" s="191" t="s">
        <v>255</v>
      </c>
      <c r="F221" s="191" t="s">
        <v>30</v>
      </c>
      <c r="G221" s="193">
        <f>(I221+J221)/H221</f>
        <v>51.522004889975548</v>
      </c>
      <c r="H221" s="195">
        <v>9.0888888888888886</v>
      </c>
      <c r="I221" s="195">
        <v>437.83333333333331</v>
      </c>
      <c r="J221" s="195">
        <v>30.444444444444443</v>
      </c>
      <c r="K221" s="199">
        <v>2.88</v>
      </c>
      <c r="L221" s="199">
        <v>137.44999999999999</v>
      </c>
      <c r="M221" s="199">
        <v>6.83</v>
      </c>
      <c r="N221" s="202">
        <v>5806</v>
      </c>
      <c r="O221" s="202">
        <v>306475</v>
      </c>
      <c r="P221" s="202">
        <v>15756</v>
      </c>
      <c r="Q221" s="191" t="s">
        <v>19</v>
      </c>
      <c r="R221" s="191" t="s">
        <v>283</v>
      </c>
      <c r="S221" s="8" t="s">
        <v>30</v>
      </c>
      <c r="T221" s="8" t="s">
        <v>368</v>
      </c>
      <c r="U221" s="191" t="s">
        <v>686</v>
      </c>
      <c r="W221">
        <f>COUNTIF($A$157:A221,A221)</f>
        <v>23</v>
      </c>
      <c r="X221" t="s">
        <v>2309</v>
      </c>
      <c r="Y221">
        <f t="shared" si="9"/>
        <v>206</v>
      </c>
      <c r="Z221" t="str">
        <f t="shared" si="10"/>
        <v>C41-23</v>
      </c>
      <c r="AB221">
        <v>253</v>
      </c>
      <c r="AC221" t="s">
        <v>2121</v>
      </c>
    </row>
    <row r="222" spans="1:29">
      <c r="A222" s="8" t="s">
        <v>273</v>
      </c>
      <c r="B222" s="192" t="str">
        <f>Texte!B306</f>
        <v>Soffitto in calcestruzzo 25 cm con intonaco interno (SIA 2032)</v>
      </c>
      <c r="C222" s="8"/>
      <c r="D222" s="245"/>
      <c r="E222" s="8" t="s">
        <v>255</v>
      </c>
      <c r="F222" s="8" t="s">
        <v>30</v>
      </c>
      <c r="G222" s="8">
        <v>59</v>
      </c>
      <c r="H222" s="196">
        <v>4.1549401687898087</v>
      </c>
      <c r="I222" s="196">
        <v>196.8233312101911</v>
      </c>
      <c r="J222" s="196">
        <v>32.063228917197449</v>
      </c>
      <c r="K222" s="200">
        <v>1.448309483014862</v>
      </c>
      <c r="L222" s="206">
        <v>73.223839490445883</v>
      </c>
      <c r="M222" s="206">
        <v>7.3484344904458601</v>
      </c>
      <c r="N222" s="202">
        <v>2272.7338460721867</v>
      </c>
      <c r="O222" s="202">
        <v>113790.33439490446</v>
      </c>
      <c r="P222" s="208">
        <v>16562.396369426751</v>
      </c>
      <c r="Q222" s="8" t="s">
        <v>19</v>
      </c>
      <c r="R222" s="191" t="s">
        <v>283</v>
      </c>
      <c r="S222" s="8" t="s">
        <v>30</v>
      </c>
      <c r="T222" s="8" t="s">
        <v>368</v>
      </c>
      <c r="U222" s="191" t="s">
        <v>796</v>
      </c>
      <c r="W222">
        <f>COUNTIF($A$157:A222,A222)</f>
        <v>24</v>
      </c>
      <c r="X222" t="s">
        <v>2356</v>
      </c>
      <c r="Y222">
        <f t="shared" ref="Y222:Y285" si="23">IFERROR(RIGHT(X222,3)*1,"")</f>
        <v>284</v>
      </c>
      <c r="Z222" t="str">
        <f t="shared" ref="Z222:Z285" si="24">IF(Y222&lt;&gt;"",RIGHT(A222,LEN(A222)-SEARCH("_",A222,3))&amp;"-"&amp;W222,"")</f>
        <v>C41-24</v>
      </c>
      <c r="AB222">
        <v>254</v>
      </c>
      <c r="AC222" t="s">
        <v>2122</v>
      </c>
    </row>
    <row r="223" spans="1:29">
      <c r="A223" s="8" t="s">
        <v>273</v>
      </c>
      <c r="B223" s="192" t="str">
        <f>Texte!B308</f>
        <v>Composito legno-calcestruzzo (con rivestimento inferiore in gesso) (SIA 2032)</v>
      </c>
      <c r="C223" s="8"/>
      <c r="D223" s="245"/>
      <c r="E223" s="8" t="s">
        <v>255</v>
      </c>
      <c r="F223" s="8" t="s">
        <v>30</v>
      </c>
      <c r="G223" s="8">
        <v>58</v>
      </c>
      <c r="H223" s="196">
        <v>2.1596988969214435</v>
      </c>
      <c r="I223" s="196">
        <v>69.92656974522292</v>
      </c>
      <c r="J223" s="196">
        <v>13.011947070063695</v>
      </c>
      <c r="K223" s="200">
        <v>0.66206773796178342</v>
      </c>
      <c r="L223" s="206">
        <v>25.923532738853506</v>
      </c>
      <c r="M223" s="206">
        <v>2.7284157388535029</v>
      </c>
      <c r="N223" s="202">
        <v>1019.7199481953292</v>
      </c>
      <c r="O223" s="202">
        <v>41901.960127388535</v>
      </c>
      <c r="P223" s="208">
        <v>7124.9757643312105</v>
      </c>
      <c r="Q223" s="8" t="s">
        <v>19</v>
      </c>
      <c r="R223" s="191" t="s">
        <v>283</v>
      </c>
      <c r="S223" s="8" t="s">
        <v>30</v>
      </c>
      <c r="T223" s="8" t="s">
        <v>368</v>
      </c>
      <c r="U223" s="191" t="s">
        <v>796</v>
      </c>
      <c r="W223">
        <f>COUNTIF($A$157:A223,A223)</f>
        <v>25</v>
      </c>
      <c r="X223" t="s">
        <v>2357</v>
      </c>
      <c r="Y223">
        <f t="shared" si="23"/>
        <v>286</v>
      </c>
      <c r="Z223" t="str">
        <f t="shared" si="24"/>
        <v>C41-25</v>
      </c>
      <c r="AB223">
        <v>255</v>
      </c>
      <c r="AC223" t="s">
        <v>2127</v>
      </c>
    </row>
    <row r="224" spans="1:29">
      <c r="A224" s="8" t="s">
        <v>273</v>
      </c>
      <c r="B224" s="192" t="str">
        <f>Texte!B307</f>
        <v>Soffitto a elementi in legno (con rivestimento inferiore in gesso) (SIA 2032)</v>
      </c>
      <c r="C224" s="8"/>
      <c r="D224" s="245"/>
      <c r="E224" s="8" t="s">
        <v>255</v>
      </c>
      <c r="F224" s="8" t="s">
        <v>30</v>
      </c>
      <c r="G224" s="8">
        <v>56</v>
      </c>
      <c r="H224" s="196">
        <v>1.5354086300000001</v>
      </c>
      <c r="I224" s="196">
        <v>40.186591999999997</v>
      </c>
      <c r="J224" s="196">
        <v>5.2945088</v>
      </c>
      <c r="K224" s="200">
        <v>0.32159057000000002</v>
      </c>
      <c r="L224" s="206">
        <v>6.8233120000000005</v>
      </c>
      <c r="M224" s="206">
        <v>1.4000064000000001</v>
      </c>
      <c r="N224" s="202">
        <v>659.23981666666668</v>
      </c>
      <c r="O224" s="202">
        <v>24114.400000000001</v>
      </c>
      <c r="P224" s="208">
        <v>3283.7280000000001</v>
      </c>
      <c r="Q224" s="8" t="s">
        <v>19</v>
      </c>
      <c r="R224" s="191" t="s">
        <v>283</v>
      </c>
      <c r="S224" s="8" t="s">
        <v>30</v>
      </c>
      <c r="T224" s="8" t="s">
        <v>368</v>
      </c>
      <c r="U224" s="191" t="s">
        <v>796</v>
      </c>
      <c r="W224">
        <f>COUNTIF($A$157:A224,A224)</f>
        <v>26</v>
      </c>
      <c r="X224" t="s">
        <v>2358</v>
      </c>
      <c r="Y224">
        <f t="shared" si="23"/>
        <v>285</v>
      </c>
      <c r="Z224" t="str">
        <f t="shared" si="24"/>
        <v>C41-26</v>
      </c>
      <c r="AB224">
        <v>256</v>
      </c>
      <c r="AC224" t="s">
        <v>2126</v>
      </c>
    </row>
    <row r="225" spans="1:29">
      <c r="A225" s="8" t="s">
        <v>1707</v>
      </c>
      <c r="B225" s="192" t="str">
        <f>Texte!B313</f>
        <v>Balcone incl. protezione anticaduta (SIA 2032)</v>
      </c>
      <c r="C225" s="8"/>
      <c r="D225" s="245"/>
      <c r="E225" s="8" t="s">
        <v>255</v>
      </c>
      <c r="F225" s="8" t="s">
        <v>30</v>
      </c>
      <c r="G225" s="8">
        <v>40</v>
      </c>
      <c r="H225" s="196">
        <v>12.294208041089965</v>
      </c>
      <c r="I225" s="196">
        <v>466.0375525519031</v>
      </c>
      <c r="J225" s="196">
        <v>25.730769091695496</v>
      </c>
      <c r="K225" s="200">
        <v>3.5227781790657433</v>
      </c>
      <c r="L225" s="206">
        <v>134.49696245674738</v>
      </c>
      <c r="M225" s="206">
        <v>6.4141647058823521</v>
      </c>
      <c r="N225" s="202">
        <v>28400.913812499999</v>
      </c>
      <c r="O225" s="202">
        <v>1113550.0874999999</v>
      </c>
      <c r="P225" s="208">
        <v>22486.464999999997</v>
      </c>
      <c r="Q225" s="8" t="s">
        <v>19</v>
      </c>
      <c r="R225" s="8"/>
      <c r="S225" s="8" t="s">
        <v>30</v>
      </c>
      <c r="T225" s="8" t="s">
        <v>368</v>
      </c>
      <c r="U225" s="191" t="s">
        <v>796</v>
      </c>
      <c r="W225">
        <f>COUNTIF($A$157:A225,A225)</f>
        <v>1</v>
      </c>
      <c r="X225" t="s">
        <v>2359</v>
      </c>
      <c r="Y225">
        <f t="shared" si="23"/>
        <v>291</v>
      </c>
      <c r="Z225" t="str">
        <f t="shared" si="24"/>
        <v>C43-1</v>
      </c>
      <c r="AB225">
        <v>257</v>
      </c>
      <c r="AC225" t="s">
        <v>2131</v>
      </c>
    </row>
    <row r="226" spans="1:29">
      <c r="A226" s="8" t="s">
        <v>271</v>
      </c>
      <c r="B226" s="8" t="str">
        <f>Texte!B343</f>
        <v>Risanamento esterno tetto a falde non isolato (BTK)</v>
      </c>
      <c r="C226" s="8" t="s">
        <v>489</v>
      </c>
      <c r="D226" s="252" t="s">
        <v>509</v>
      </c>
      <c r="E226" s="8" t="s">
        <v>255</v>
      </c>
      <c r="F226" s="8" t="s">
        <v>30</v>
      </c>
      <c r="G226" s="177">
        <v>35.422072451558549</v>
      </c>
      <c r="H226" s="177">
        <v>3.2972222222222221</v>
      </c>
      <c r="I226" s="177">
        <v>114.86944444444444</v>
      </c>
      <c r="J226" s="177">
        <v>1.9249999999999998</v>
      </c>
      <c r="K226" s="8">
        <v>0.87</v>
      </c>
      <c r="L226" s="8">
        <v>30.13</v>
      </c>
      <c r="M226" s="8">
        <v>1.4</v>
      </c>
      <c r="N226" s="8">
        <v>1038</v>
      </c>
      <c r="O226" s="8">
        <v>27118</v>
      </c>
      <c r="P226" s="8">
        <v>9101</v>
      </c>
      <c r="Q226" s="8" t="s">
        <v>20</v>
      </c>
      <c r="R226" s="8"/>
      <c r="S226" s="8" t="s">
        <v>30</v>
      </c>
      <c r="T226" s="8" t="s">
        <v>368</v>
      </c>
      <c r="U226" s="191" t="s">
        <v>686</v>
      </c>
      <c r="W226">
        <f>COUNTIF($A$157:A226,A226)</f>
        <v>1</v>
      </c>
      <c r="X226" t="s">
        <v>2310</v>
      </c>
      <c r="Y226">
        <f t="shared" si="23"/>
        <v>321</v>
      </c>
      <c r="Z226" t="str">
        <f t="shared" si="24"/>
        <v>C44-1</v>
      </c>
      <c r="AB226">
        <v>258</v>
      </c>
      <c r="AC226" t="s">
        <v>2130</v>
      </c>
    </row>
    <row r="227" spans="1:29">
      <c r="A227" s="8" t="s">
        <v>271</v>
      </c>
      <c r="B227" s="8" t="str">
        <f>Texte!B340</f>
        <v>Doppio tetto su soletta in CLS (BTK)</v>
      </c>
      <c r="C227" s="8" t="s">
        <v>484</v>
      </c>
      <c r="D227" s="252" t="s">
        <v>506</v>
      </c>
      <c r="E227" s="8" t="s">
        <v>255</v>
      </c>
      <c r="F227" s="8" t="s">
        <v>30</v>
      </c>
      <c r="G227" s="177">
        <v>30.003441156228494</v>
      </c>
      <c r="H227" s="177">
        <v>8.0722222222222211</v>
      </c>
      <c r="I227" s="177">
        <v>234.30277777777778</v>
      </c>
      <c r="J227" s="177">
        <v>7.8916666666666666</v>
      </c>
      <c r="K227" s="8">
        <v>2.02</v>
      </c>
      <c r="L227" s="8">
        <v>29.44</v>
      </c>
      <c r="M227" s="8">
        <v>31.02</v>
      </c>
      <c r="N227" s="8">
        <v>1726</v>
      </c>
      <c r="O227" s="8">
        <v>29003</v>
      </c>
      <c r="P227" s="8">
        <v>22781</v>
      </c>
      <c r="Q227" s="8" t="s">
        <v>20</v>
      </c>
      <c r="R227" s="8"/>
      <c r="S227" s="8" t="s">
        <v>30</v>
      </c>
      <c r="T227" s="8" t="s">
        <v>368</v>
      </c>
      <c r="U227" s="191" t="s">
        <v>686</v>
      </c>
      <c r="W227">
        <f>COUNTIF($A$157:A227,A227)</f>
        <v>2</v>
      </c>
      <c r="X227" t="s">
        <v>2311</v>
      </c>
      <c r="Y227">
        <f t="shared" si="23"/>
        <v>318</v>
      </c>
      <c r="Z227" t="str">
        <f t="shared" si="24"/>
        <v>C44-2</v>
      </c>
      <c r="AB227">
        <v>276</v>
      </c>
      <c r="AC227" t="s">
        <v>2254</v>
      </c>
    </row>
    <row r="228" spans="1:29">
      <c r="A228" s="8" t="s">
        <v>271</v>
      </c>
      <c r="B228" s="8" t="str">
        <f>Texte!B342</f>
        <v>Tetto doppio calpestabile su soletta in CLS (BTK)</v>
      </c>
      <c r="C228" s="8" t="s">
        <v>486</v>
      </c>
      <c r="D228" s="252" t="s">
        <v>508</v>
      </c>
      <c r="E228" s="8" t="s">
        <v>255</v>
      </c>
      <c r="F228" s="8" t="s">
        <v>30</v>
      </c>
      <c r="G228" s="177">
        <v>30.001705902422383</v>
      </c>
      <c r="H228" s="177">
        <v>8.1416666666666657</v>
      </c>
      <c r="I228" s="177">
        <v>233.02499999999998</v>
      </c>
      <c r="J228" s="177">
        <v>11.238888888888889</v>
      </c>
      <c r="K228" s="8">
        <v>2.2400000000000002</v>
      </c>
      <c r="L228" s="8">
        <v>39.450000000000003</v>
      </c>
      <c r="M228" s="8">
        <v>27.88</v>
      </c>
      <c r="N228" s="8">
        <v>1991</v>
      </c>
      <c r="O228" s="8">
        <v>37640</v>
      </c>
      <c r="P228" s="8">
        <v>22093</v>
      </c>
      <c r="Q228" s="8" t="s">
        <v>20</v>
      </c>
      <c r="R228" s="8"/>
      <c r="S228" s="8" t="s">
        <v>30</v>
      </c>
      <c r="T228" s="8" t="s">
        <v>368</v>
      </c>
      <c r="U228" s="191" t="s">
        <v>686</v>
      </c>
      <c r="W228">
        <f>COUNTIF($A$157:A228,A228)</f>
        <v>3</v>
      </c>
      <c r="X228" t="s">
        <v>2312</v>
      </c>
      <c r="Y228">
        <f t="shared" si="23"/>
        <v>320</v>
      </c>
      <c r="Z228" t="str">
        <f t="shared" si="24"/>
        <v>C44-3</v>
      </c>
      <c r="AB228">
        <v>282</v>
      </c>
      <c r="AC228" t="s">
        <v>2169</v>
      </c>
    </row>
    <row r="229" spans="1:29">
      <c r="A229" s="8" t="s">
        <v>271</v>
      </c>
      <c r="B229" s="8" t="str">
        <f>Texte!B344</f>
        <v>Risanamento strutturale tetto a falde non isolato (BTK)</v>
      </c>
      <c r="C229" s="8" t="s">
        <v>490</v>
      </c>
      <c r="D229" s="252" t="s">
        <v>510</v>
      </c>
      <c r="E229" s="8" t="s">
        <v>255</v>
      </c>
      <c r="F229" s="8" t="s">
        <v>30</v>
      </c>
      <c r="G229" s="177">
        <v>29.994152046783626</v>
      </c>
      <c r="H229" s="177">
        <v>1.425</v>
      </c>
      <c r="I229" s="177">
        <v>41.994444444444447</v>
      </c>
      <c r="J229" s="177">
        <v>0.74722222222222223</v>
      </c>
      <c r="K229" s="8">
        <v>0.33</v>
      </c>
      <c r="L229" s="8">
        <v>9.2899999999999991</v>
      </c>
      <c r="M229" s="8">
        <v>0.61</v>
      </c>
      <c r="N229" s="8">
        <v>468</v>
      </c>
      <c r="O229" s="8">
        <v>10675</v>
      </c>
      <c r="P229" s="8">
        <v>3354</v>
      </c>
      <c r="Q229" s="8" t="s">
        <v>20</v>
      </c>
      <c r="R229" s="8"/>
      <c r="S229" s="8" t="s">
        <v>30</v>
      </c>
      <c r="T229" s="8" t="s">
        <v>368</v>
      </c>
      <c r="U229" s="191" t="s">
        <v>686</v>
      </c>
      <c r="W229">
        <f>COUNTIF($A$157:A229,A229)</f>
        <v>4</v>
      </c>
      <c r="X229" t="s">
        <v>2313</v>
      </c>
      <c r="Y229">
        <f t="shared" si="23"/>
        <v>322</v>
      </c>
      <c r="Z229" t="str">
        <f t="shared" si="24"/>
        <v>C44-4</v>
      </c>
      <c r="AB229">
        <v>283</v>
      </c>
      <c r="AC229" t="s">
        <v>2168</v>
      </c>
    </row>
    <row r="230" spans="1:29">
      <c r="A230" s="8" t="s">
        <v>271</v>
      </c>
      <c r="B230" s="8" t="str">
        <f>Texte!B341</f>
        <v>Tetto rovescio / aggiunto su soletta in CLS, 22 cm XPS (BTK)</v>
      </c>
      <c r="C230" s="8" t="s">
        <v>485</v>
      </c>
      <c r="D230" s="252" t="s">
        <v>507</v>
      </c>
      <c r="E230" s="8" t="s">
        <v>255</v>
      </c>
      <c r="F230" s="8" t="s">
        <v>30</v>
      </c>
      <c r="G230" s="177">
        <v>30.001848428835487</v>
      </c>
      <c r="H230" s="177">
        <v>9.0166666666666675</v>
      </c>
      <c r="I230" s="177">
        <v>262.58333333333331</v>
      </c>
      <c r="J230" s="177">
        <v>7.9333333333333327</v>
      </c>
      <c r="K230" s="8">
        <v>2.2200000000000002</v>
      </c>
      <c r="L230" s="8">
        <v>33.549999999999997</v>
      </c>
      <c r="M230" s="8">
        <v>32.909999999999997</v>
      </c>
      <c r="N230" s="8">
        <v>1882</v>
      </c>
      <c r="O230" s="8">
        <v>32493</v>
      </c>
      <c r="P230" s="8">
        <v>23980</v>
      </c>
      <c r="Q230" s="8" t="s">
        <v>20</v>
      </c>
      <c r="R230" s="8"/>
      <c r="S230" s="8" t="s">
        <v>30</v>
      </c>
      <c r="T230" s="8" t="s">
        <v>368</v>
      </c>
      <c r="U230" s="191" t="s">
        <v>686</v>
      </c>
      <c r="W230">
        <f>COUNTIF($A$157:A230,A230)</f>
        <v>5</v>
      </c>
      <c r="X230" t="s">
        <v>2314</v>
      </c>
      <c r="Y230">
        <f t="shared" si="23"/>
        <v>319</v>
      </c>
      <c r="Z230" t="str">
        <f t="shared" si="24"/>
        <v>C44-5</v>
      </c>
      <c r="AB230">
        <v>284</v>
      </c>
      <c r="AC230" t="s">
        <v>2383</v>
      </c>
    </row>
    <row r="231" spans="1:29">
      <c r="A231" s="8" t="s">
        <v>271</v>
      </c>
      <c r="B231" s="192" t="str">
        <f>B85</f>
        <v>Soffitto in calcestruzzo 25 cm con intonaco interno, isolato (SIA 2032)</v>
      </c>
      <c r="C231" s="192"/>
      <c r="D231" s="251"/>
      <c r="E231" s="192" t="str">
        <f t="shared" ref="E231:P231" si="25">E85</f>
        <v>BTF</v>
      </c>
      <c r="F231" s="192" t="str">
        <f t="shared" si="25"/>
        <v>m2</v>
      </c>
      <c r="G231" s="192">
        <f t="shared" si="25"/>
        <v>59</v>
      </c>
      <c r="H231" s="192">
        <f t="shared" si="25"/>
        <v>26.659946835456481</v>
      </c>
      <c r="I231" s="192">
        <f t="shared" si="25"/>
        <v>868.30333121019112</v>
      </c>
      <c r="J231" s="192">
        <f t="shared" si="25"/>
        <v>35.73342891719745</v>
      </c>
      <c r="K231" s="192">
        <f t="shared" si="25"/>
        <v>6.6894694830148618</v>
      </c>
      <c r="L231" s="192">
        <f t="shared" si="25"/>
        <v>218.88983949044587</v>
      </c>
      <c r="M231" s="192">
        <f t="shared" si="25"/>
        <v>18.91723449044586</v>
      </c>
      <c r="N231" s="192">
        <f t="shared" si="25"/>
        <v>10235.867179405519</v>
      </c>
      <c r="O231" s="192">
        <f t="shared" si="25"/>
        <v>345312.33439490444</v>
      </c>
      <c r="P231" s="192">
        <f t="shared" si="25"/>
        <v>23934.396369426751</v>
      </c>
      <c r="Q231" s="192" t="s">
        <v>20</v>
      </c>
      <c r="R231" s="8"/>
      <c r="S231" s="8" t="s">
        <v>30</v>
      </c>
      <c r="T231" s="8" t="s">
        <v>368</v>
      </c>
      <c r="U231" s="191" t="s">
        <v>796</v>
      </c>
      <c r="W231">
        <f>COUNTIF($A$157:A231,A231)</f>
        <v>6</v>
      </c>
      <c r="X231" t="s">
        <v>2315</v>
      </c>
      <c r="Y231" t="str">
        <f t="shared" si="23"/>
        <v/>
      </c>
      <c r="Z231" t="str">
        <f t="shared" si="24"/>
        <v/>
      </c>
      <c r="AB231">
        <v>285</v>
      </c>
      <c r="AC231" t="s">
        <v>2385</v>
      </c>
    </row>
    <row r="232" spans="1:29">
      <c r="A232" s="8" t="s">
        <v>271</v>
      </c>
      <c r="B232" s="192" t="str">
        <f>B86</f>
        <v>Soffitto in calcestruzzo 40 cm con intonaco interno, isolato (SIA 2032)</v>
      </c>
      <c r="C232" s="192"/>
      <c r="D232" s="251"/>
      <c r="E232" s="192" t="str">
        <f t="shared" ref="E232:P232" si="26">E86</f>
        <v>BTF</v>
      </c>
      <c r="F232" s="192" t="str">
        <f t="shared" si="26"/>
        <v>m2</v>
      </c>
      <c r="G232" s="192">
        <f t="shared" si="26"/>
        <v>59</v>
      </c>
      <c r="H232" s="192">
        <f t="shared" si="26"/>
        <v>29.942240253715504</v>
      </c>
      <c r="I232" s="192">
        <f t="shared" si="26"/>
        <v>1047.3555796178343</v>
      </c>
      <c r="J232" s="192">
        <f t="shared" si="26"/>
        <v>53.618785605095539</v>
      </c>
      <c r="K232" s="192">
        <f t="shared" si="26"/>
        <v>7.6576288036093416</v>
      </c>
      <c r="L232" s="192">
        <f t="shared" si="26"/>
        <v>273.50261910828027</v>
      </c>
      <c r="M232" s="192">
        <f t="shared" si="26"/>
        <v>22.394014108280253</v>
      </c>
      <c r="N232" s="192">
        <f t="shared" si="26"/>
        <v>12501.117688959661</v>
      </c>
      <c r="O232" s="192">
        <f t="shared" si="26"/>
        <v>472201.11019108281</v>
      </c>
      <c r="P232" s="192">
        <f t="shared" si="26"/>
        <v>32960.651146496821</v>
      </c>
      <c r="Q232" s="192" t="s">
        <v>20</v>
      </c>
      <c r="R232" s="8"/>
      <c r="S232" s="8" t="s">
        <v>30</v>
      </c>
      <c r="T232" s="8" t="s">
        <v>368</v>
      </c>
      <c r="U232" s="191" t="s">
        <v>796</v>
      </c>
      <c r="W232">
        <f>COUNTIF($A$157:A232,A232)</f>
        <v>7</v>
      </c>
      <c r="X232" t="s">
        <v>2316</v>
      </c>
      <c r="Y232" t="str">
        <f t="shared" si="23"/>
        <v/>
      </c>
      <c r="Z232" t="str">
        <f t="shared" si="24"/>
        <v/>
      </c>
      <c r="AB232">
        <v>286</v>
      </c>
      <c r="AC232" t="s">
        <v>2384</v>
      </c>
    </row>
    <row r="233" spans="1:29">
      <c r="A233" s="8" t="s">
        <v>271</v>
      </c>
      <c r="B233" s="192" t="str">
        <f t="shared" ref="B233:B234" si="27">B87</f>
        <v>Tetto isolato sotto il terreno (SIA 2032)</v>
      </c>
      <c r="C233" s="8"/>
      <c r="D233" s="245"/>
      <c r="E233" s="8" t="s">
        <v>255</v>
      </c>
      <c r="F233" s="8" t="s">
        <v>30</v>
      </c>
      <c r="G233" s="8">
        <v>60</v>
      </c>
      <c r="H233" s="196">
        <v>11.342333333333332</v>
      </c>
      <c r="I233" s="196">
        <v>635.54</v>
      </c>
      <c r="J233" s="196">
        <v>45</v>
      </c>
      <c r="K233" s="200">
        <v>3.6171666666666669</v>
      </c>
      <c r="L233" s="206">
        <v>153</v>
      </c>
      <c r="M233" s="206">
        <v>64.03</v>
      </c>
      <c r="N233" s="202">
        <v>4462.2994999999992</v>
      </c>
      <c r="O233" s="202">
        <v>219495</v>
      </c>
      <c r="P233" s="202">
        <v>48242.97</v>
      </c>
      <c r="Q233" s="8" t="s">
        <v>20</v>
      </c>
      <c r="R233" s="8"/>
      <c r="S233" s="8" t="s">
        <v>30</v>
      </c>
      <c r="T233" s="8" t="s">
        <v>368</v>
      </c>
      <c r="U233" s="191" t="s">
        <v>796</v>
      </c>
      <c r="W233">
        <f>COUNTIF($A$157:A233,A233)</f>
        <v>8</v>
      </c>
      <c r="X233" t="s">
        <v>2360</v>
      </c>
      <c r="Y233" t="str">
        <f t="shared" si="23"/>
        <v/>
      </c>
      <c r="Z233" t="str">
        <f t="shared" si="24"/>
        <v/>
      </c>
      <c r="AB233">
        <v>287</v>
      </c>
      <c r="AC233" t="s">
        <v>2257</v>
      </c>
    </row>
    <row r="234" spans="1:29">
      <c r="A234" s="8" t="s">
        <v>271</v>
      </c>
      <c r="B234" s="192" t="str">
        <f t="shared" si="27"/>
        <v>Tetto sotto il terreno non isolato (SIA 2032)</v>
      </c>
      <c r="C234" s="8"/>
      <c r="D234" s="245"/>
      <c r="E234" s="8" t="s">
        <v>255</v>
      </c>
      <c r="F234" s="8" t="s">
        <v>30</v>
      </c>
      <c r="G234" s="8">
        <v>60</v>
      </c>
      <c r="H234" s="196">
        <v>5.8386666666666667</v>
      </c>
      <c r="I234" s="196">
        <v>309.45</v>
      </c>
      <c r="J234" s="196">
        <v>40.869999999999997</v>
      </c>
      <c r="K234" s="200">
        <v>1.911</v>
      </c>
      <c r="L234" s="8">
        <v>90.92</v>
      </c>
      <c r="M234" s="8">
        <v>23.74</v>
      </c>
      <c r="N234" s="202">
        <v>3106.1016666666669</v>
      </c>
      <c r="O234" s="202">
        <v>158321.5</v>
      </c>
      <c r="P234" s="202">
        <v>28044.6</v>
      </c>
      <c r="Q234" s="8" t="s">
        <v>19</v>
      </c>
      <c r="R234" s="8"/>
      <c r="S234" s="8" t="s">
        <v>30</v>
      </c>
      <c r="T234" s="8" t="s">
        <v>368</v>
      </c>
      <c r="U234" s="191" t="s">
        <v>796</v>
      </c>
      <c r="W234">
        <f>COUNTIF($A$157:A234,A234)</f>
        <v>9</v>
      </c>
      <c r="X234" t="s">
        <v>2361</v>
      </c>
      <c r="Y234" t="str">
        <f t="shared" si="23"/>
        <v/>
      </c>
      <c r="Z234" t="str">
        <f t="shared" si="24"/>
        <v/>
      </c>
      <c r="AB234">
        <v>288</v>
      </c>
      <c r="AC234" t="s">
        <v>2258</v>
      </c>
    </row>
    <row r="235" spans="1:29">
      <c r="A235" s="8" t="s">
        <v>271</v>
      </c>
      <c r="B235" s="192" t="str">
        <f>B96</f>
        <v>Soffitto in legno con rivestimento inferiore in gesso, isolato (SIA 2032)</v>
      </c>
      <c r="C235" s="192"/>
      <c r="D235" s="251"/>
      <c r="E235" s="192" t="str">
        <f t="shared" ref="E235:Q235" si="28">E96</f>
        <v>BTF</v>
      </c>
      <c r="F235" s="192" t="str">
        <f t="shared" si="28"/>
        <v>m2</v>
      </c>
      <c r="G235" s="192">
        <f t="shared" si="28"/>
        <v>56</v>
      </c>
      <c r="H235" s="192">
        <f t="shared" si="28"/>
        <v>25.199062450000003</v>
      </c>
      <c r="I235" s="192">
        <f t="shared" si="28"/>
        <v>804.51391999999998</v>
      </c>
      <c r="J235" s="192">
        <f t="shared" si="28"/>
        <v>8.9579184999999999</v>
      </c>
      <c r="K235" s="192">
        <f t="shared" si="28"/>
        <v>5.7627076800000001</v>
      </c>
      <c r="L235" s="192">
        <f t="shared" si="28"/>
        <v>168.413578</v>
      </c>
      <c r="M235" s="192">
        <f t="shared" si="28"/>
        <v>14.578024899999999</v>
      </c>
      <c r="N235" s="192">
        <f t="shared" si="28"/>
        <v>9273.5723500000004</v>
      </c>
      <c r="O235" s="192">
        <f t="shared" si="28"/>
        <v>299634.32999999996</v>
      </c>
      <c r="P235" s="192">
        <f t="shared" si="28"/>
        <v>11807.880499999999</v>
      </c>
      <c r="Q235" s="192" t="str">
        <f t="shared" si="28"/>
        <v>Ja</v>
      </c>
      <c r="R235" s="8"/>
      <c r="S235" s="8" t="s">
        <v>30</v>
      </c>
      <c r="T235" s="8" t="s">
        <v>368</v>
      </c>
      <c r="U235" s="191" t="s">
        <v>796</v>
      </c>
      <c r="W235">
        <f>COUNTIF($A$157:A235,A235)</f>
        <v>10</v>
      </c>
      <c r="X235" t="s">
        <v>2317</v>
      </c>
      <c r="Y235" t="str">
        <f t="shared" si="23"/>
        <v/>
      </c>
      <c r="Z235" t="str">
        <f t="shared" si="24"/>
        <v/>
      </c>
      <c r="AB235">
        <v>289</v>
      </c>
      <c r="AC235" t="s">
        <v>2256</v>
      </c>
    </row>
    <row r="236" spans="1:29">
      <c r="A236" s="8" t="s">
        <v>271</v>
      </c>
      <c r="B236" s="192" t="str">
        <f t="shared" ref="B236:Q238" si="29">B97</f>
        <v>Costruzione in legno, tetto a falda, isolato (SIA 2032)</v>
      </c>
      <c r="C236" s="192"/>
      <c r="D236" s="251"/>
      <c r="E236" s="192" t="str">
        <f t="shared" si="29"/>
        <v>BTF</v>
      </c>
      <c r="F236" s="192" t="str">
        <f t="shared" si="29"/>
        <v>m2</v>
      </c>
      <c r="G236" s="192">
        <f t="shared" si="29"/>
        <v>50</v>
      </c>
      <c r="H236" s="192">
        <f t="shared" si="29"/>
        <v>25.206535750000004</v>
      </c>
      <c r="I236" s="192">
        <f t="shared" si="29"/>
        <v>785.30312000000004</v>
      </c>
      <c r="J236" s="192">
        <f t="shared" si="29"/>
        <v>5.2954080000000001</v>
      </c>
      <c r="K236" s="192">
        <f t="shared" si="29"/>
        <v>5.8077673299999999</v>
      </c>
      <c r="L236" s="192">
        <f t="shared" si="29"/>
        <v>166.62011999999999</v>
      </c>
      <c r="M236" s="192">
        <f t="shared" si="29"/>
        <v>13.539004</v>
      </c>
      <c r="N236" s="192">
        <f t="shared" si="29"/>
        <v>8849.6643499999991</v>
      </c>
      <c r="O236" s="192">
        <f t="shared" si="29"/>
        <v>270687</v>
      </c>
      <c r="P236" s="192">
        <f t="shared" si="29"/>
        <v>9242.6</v>
      </c>
      <c r="Q236" s="192" t="str">
        <f t="shared" si="29"/>
        <v>Ja</v>
      </c>
      <c r="R236" s="8"/>
      <c r="S236" s="8" t="s">
        <v>30</v>
      </c>
      <c r="T236" s="8" t="s">
        <v>368</v>
      </c>
      <c r="U236" s="191" t="s">
        <v>796</v>
      </c>
      <c r="W236">
        <f>COUNTIF($A$157:A236,A236)</f>
        <v>11</v>
      </c>
      <c r="X236" t="s">
        <v>2318</v>
      </c>
      <c r="Y236" t="str">
        <f t="shared" si="23"/>
        <v/>
      </c>
      <c r="Z236" t="str">
        <f t="shared" si="24"/>
        <v/>
      </c>
      <c r="AB236">
        <v>290</v>
      </c>
      <c r="AC236" t="s">
        <v>2255</v>
      </c>
    </row>
    <row r="237" spans="1:29">
      <c r="A237" s="8" t="s">
        <v>271</v>
      </c>
      <c r="B237" s="192" t="str">
        <f t="shared" si="29"/>
        <v>Costruzione in legno, tetto a falda, non isolato (SIA 2032)</v>
      </c>
      <c r="C237" s="192"/>
      <c r="D237" s="251"/>
      <c r="E237" s="192" t="str">
        <f t="shared" si="29"/>
        <v>BTF</v>
      </c>
      <c r="F237" s="192" t="str">
        <f t="shared" si="29"/>
        <v>m2</v>
      </c>
      <c r="G237" s="192">
        <f t="shared" si="29"/>
        <v>50</v>
      </c>
      <c r="H237" s="192">
        <f t="shared" si="29"/>
        <v>11.551852222222223</v>
      </c>
      <c r="I237" s="192">
        <f t="shared" si="29"/>
        <v>334.89083333333338</v>
      </c>
      <c r="J237" s="192">
        <f t="shared" si="29"/>
        <v>13.289941333333333</v>
      </c>
      <c r="K237" s="192">
        <f t="shared" si="29"/>
        <v>3.5100179077777787</v>
      </c>
      <c r="L237" s="192">
        <f t="shared" si="29"/>
        <v>67.380670000000009</v>
      </c>
      <c r="M237" s="192">
        <f t="shared" si="29"/>
        <v>43.845971333333338</v>
      </c>
      <c r="N237" s="192">
        <f t="shared" si="29"/>
        <v>3602.3870166666666</v>
      </c>
      <c r="O237" s="192">
        <f t="shared" si="29"/>
        <v>96575.43333333332</v>
      </c>
      <c r="P237" s="192">
        <f t="shared" si="29"/>
        <v>25935.846666666668</v>
      </c>
      <c r="Q237" s="192" t="str">
        <f t="shared" si="29"/>
        <v>Nein</v>
      </c>
      <c r="R237" s="8"/>
      <c r="S237" s="8" t="s">
        <v>30</v>
      </c>
      <c r="T237" s="8" t="s">
        <v>368</v>
      </c>
      <c r="U237" s="191" t="s">
        <v>796</v>
      </c>
      <c r="W237">
        <f>COUNTIF($A$157:A237,A237)</f>
        <v>12</v>
      </c>
      <c r="X237" t="s">
        <v>2319</v>
      </c>
      <c r="Y237" t="str">
        <f t="shared" si="23"/>
        <v/>
      </c>
      <c r="Z237" t="str">
        <f t="shared" si="24"/>
        <v/>
      </c>
      <c r="AB237">
        <v>291</v>
      </c>
      <c r="AC237" t="s">
        <v>2191</v>
      </c>
    </row>
    <row r="238" spans="1:29">
      <c r="A238" s="8" t="s">
        <v>271</v>
      </c>
      <c r="B238" s="192" t="str">
        <f t="shared" si="29"/>
        <v>Soffitto in lamiera profilata composita, isolato (SIA 2032)</v>
      </c>
      <c r="C238" s="192"/>
      <c r="D238" s="251"/>
      <c r="E238" s="192" t="str">
        <f t="shared" si="29"/>
        <v>BTF</v>
      </c>
      <c r="F238" s="192" t="str">
        <f t="shared" si="29"/>
        <v>m2</v>
      </c>
      <c r="G238" s="192">
        <f t="shared" si="29"/>
        <v>60</v>
      </c>
      <c r="H238" s="192">
        <f t="shared" si="29"/>
        <v>27.84500606157113</v>
      </c>
      <c r="I238" s="192">
        <f t="shared" si="29"/>
        <v>978.48240509554148</v>
      </c>
      <c r="J238" s="192">
        <f t="shared" si="29"/>
        <v>17.067758598726112</v>
      </c>
      <c r="K238" s="192">
        <f t="shared" si="29"/>
        <v>6.6384678407643314</v>
      </c>
      <c r="L238" s="192">
        <f t="shared" si="29"/>
        <v>226.90008522292993</v>
      </c>
      <c r="M238" s="192">
        <f t="shared" si="29"/>
        <v>14.173185222929936</v>
      </c>
      <c r="N238" s="192">
        <f t="shared" si="29"/>
        <v>12431.179369426751</v>
      </c>
      <c r="O238" s="192">
        <f t="shared" si="29"/>
        <v>492843.37745222927</v>
      </c>
      <c r="P238" s="192">
        <f t="shared" si="29"/>
        <v>14133.384713375795</v>
      </c>
      <c r="Q238" s="192" t="str">
        <f t="shared" si="29"/>
        <v>Ja</v>
      </c>
      <c r="R238" s="8"/>
      <c r="S238" s="8" t="s">
        <v>30</v>
      </c>
      <c r="T238" s="8" t="s">
        <v>368</v>
      </c>
      <c r="U238" s="191" t="s">
        <v>796</v>
      </c>
      <c r="W238">
        <f>COUNTIF($A$157:A238,A238)</f>
        <v>13</v>
      </c>
      <c r="X238" t="s">
        <v>2320</v>
      </c>
      <c r="Y238" t="str">
        <f t="shared" si="23"/>
        <v/>
      </c>
      <c r="Z238" t="str">
        <f t="shared" si="24"/>
        <v/>
      </c>
      <c r="AB238">
        <v>292</v>
      </c>
      <c r="AC238" t="s">
        <v>2238</v>
      </c>
    </row>
    <row r="239" spans="1:29">
      <c r="A239" s="191" t="s">
        <v>724</v>
      </c>
      <c r="B239" s="192" t="str">
        <f>Texte!B238</f>
        <v>Impianto di estrazione aria domestico, cucina e bagno</v>
      </c>
      <c r="C239" s="191" t="s">
        <v>713</v>
      </c>
      <c r="D239" s="249" t="s">
        <v>694</v>
      </c>
      <c r="E239" s="191" t="s">
        <v>259</v>
      </c>
      <c r="F239" s="191" t="s">
        <v>30</v>
      </c>
      <c r="G239" s="191">
        <v>30</v>
      </c>
      <c r="H239" s="196">
        <v>0.50388333333333335</v>
      </c>
      <c r="I239" s="196">
        <v>15.1</v>
      </c>
      <c r="J239" s="196">
        <v>1.6500000000000001E-2</v>
      </c>
      <c r="K239" s="200">
        <f t="shared" ref="K239:K265" si="30">(L239+M239)/$G239</f>
        <v>0.11353333333333332</v>
      </c>
      <c r="L239" s="200">
        <v>3.28</v>
      </c>
      <c r="M239" s="200">
        <v>0.126</v>
      </c>
      <c r="N239" s="198">
        <f t="shared" ref="N239:N265" si="31">(O239+P239)/$G239</f>
        <v>445.52333333333337</v>
      </c>
      <c r="O239" s="198">
        <v>13300</v>
      </c>
      <c r="P239" s="198">
        <v>65.7</v>
      </c>
      <c r="Q239" s="191" t="s">
        <v>19</v>
      </c>
      <c r="R239" s="191" t="s">
        <v>284</v>
      </c>
      <c r="S239" s="8" t="s">
        <v>30</v>
      </c>
      <c r="T239" s="8" t="s">
        <v>2407</v>
      </c>
      <c r="U239" s="191" t="s">
        <v>692</v>
      </c>
      <c r="W239">
        <f>COUNTIF($A$157:A239,A239)</f>
        <v>1</v>
      </c>
      <c r="X239" t="s">
        <v>2321</v>
      </c>
      <c r="Y239">
        <f t="shared" si="23"/>
        <v>216</v>
      </c>
      <c r="Z239" t="str">
        <f t="shared" si="24"/>
        <v>D-1</v>
      </c>
      <c r="AB239">
        <v>293</v>
      </c>
      <c r="AC239" t="s">
        <v>2237</v>
      </c>
    </row>
    <row r="240" spans="1:29">
      <c r="A240" s="191" t="s">
        <v>724</v>
      </c>
      <c r="B240" s="192" t="str">
        <f>Texte!B239</f>
        <v>Impianto elettrico ufficio</v>
      </c>
      <c r="C240" s="190" t="s">
        <v>718</v>
      </c>
      <c r="D240" s="249" t="s">
        <v>694</v>
      </c>
      <c r="E240" s="191" t="s">
        <v>259</v>
      </c>
      <c r="F240" s="191" t="s">
        <v>30</v>
      </c>
      <c r="G240" s="191">
        <v>30</v>
      </c>
      <c r="H240" s="196">
        <v>3.7944</v>
      </c>
      <c r="I240" s="196">
        <v>113</v>
      </c>
      <c r="J240" s="196">
        <v>0.83199999999999996</v>
      </c>
      <c r="K240" s="200">
        <f t="shared" si="30"/>
        <v>0.79499999999999993</v>
      </c>
      <c r="L240" s="200">
        <v>22.4</v>
      </c>
      <c r="M240" s="200">
        <v>1.45</v>
      </c>
      <c r="N240" s="198">
        <f t="shared" si="31"/>
        <v>3896.6666666666665</v>
      </c>
      <c r="O240" s="198">
        <v>116000</v>
      </c>
      <c r="P240" s="198">
        <v>900</v>
      </c>
      <c r="Q240" s="191" t="s">
        <v>19</v>
      </c>
      <c r="R240" s="191" t="s">
        <v>284</v>
      </c>
      <c r="S240" s="8" t="s">
        <v>30</v>
      </c>
      <c r="T240" s="8" t="s">
        <v>2408</v>
      </c>
      <c r="U240" s="191" t="s">
        <v>692</v>
      </c>
      <c r="W240">
        <f>COUNTIF($A$157:A240,A240)</f>
        <v>2</v>
      </c>
      <c r="X240" t="s">
        <v>2322</v>
      </c>
      <c r="Y240">
        <f t="shared" si="23"/>
        <v>217</v>
      </c>
      <c r="Z240" t="str">
        <f t="shared" si="24"/>
        <v>D-2</v>
      </c>
      <c r="AB240">
        <v>294</v>
      </c>
      <c r="AC240" t="s">
        <v>2245</v>
      </c>
    </row>
    <row r="241" spans="1:29">
      <c r="A241" s="191" t="s">
        <v>724</v>
      </c>
      <c r="B241" s="192" t="str">
        <f>Texte!B240</f>
        <v>Impianto elettrico abitazione</v>
      </c>
      <c r="C241" s="190" t="s">
        <v>717</v>
      </c>
      <c r="D241" s="249" t="s">
        <v>694</v>
      </c>
      <c r="E241" s="191" t="s">
        <v>259</v>
      </c>
      <c r="F241" s="191" t="s">
        <v>30</v>
      </c>
      <c r="G241" s="191">
        <v>30</v>
      </c>
      <c r="H241" s="196">
        <v>1.8452333333333333</v>
      </c>
      <c r="I241" s="196">
        <v>54.6</v>
      </c>
      <c r="J241" s="196">
        <v>0.75700000000000001</v>
      </c>
      <c r="K241" s="200">
        <f t="shared" si="30"/>
        <v>0.42333333333333339</v>
      </c>
      <c r="L241" s="200">
        <v>9.3000000000000007</v>
      </c>
      <c r="M241" s="200">
        <v>3.4</v>
      </c>
      <c r="N241" s="198">
        <f t="shared" si="31"/>
        <v>1574</v>
      </c>
      <c r="O241" s="198">
        <v>45400</v>
      </c>
      <c r="P241" s="198">
        <v>1820</v>
      </c>
      <c r="Q241" s="191" t="s">
        <v>19</v>
      </c>
      <c r="R241" s="191" t="s">
        <v>284</v>
      </c>
      <c r="S241" s="8" t="s">
        <v>30</v>
      </c>
      <c r="T241" s="8" t="s">
        <v>2408</v>
      </c>
      <c r="U241" s="191" t="s">
        <v>692</v>
      </c>
      <c r="W241">
        <f>COUNTIF($A$157:A241,A241)</f>
        <v>3</v>
      </c>
      <c r="X241" t="s">
        <v>2323</v>
      </c>
      <c r="Y241">
        <f t="shared" si="23"/>
        <v>218</v>
      </c>
      <c r="Z241" t="str">
        <f t="shared" si="24"/>
        <v>D-3</v>
      </c>
      <c r="AB241">
        <v>295</v>
      </c>
      <c r="AC241" t="s">
        <v>2246</v>
      </c>
    </row>
    <row r="242" spans="1:29">
      <c r="A242" s="191" t="s">
        <v>724</v>
      </c>
      <c r="B242" s="192" t="str">
        <f>Texte!B241</f>
        <v>Sonde geotermiche, per pompa di calore salamoia-acqua</v>
      </c>
      <c r="C242" s="191" t="s">
        <v>704</v>
      </c>
      <c r="D242" s="249" t="s">
        <v>694</v>
      </c>
      <c r="E242" s="191" t="s">
        <v>690</v>
      </c>
      <c r="F242" s="191" t="s">
        <v>190</v>
      </c>
      <c r="G242" s="191">
        <v>40</v>
      </c>
      <c r="H242" s="196">
        <v>3.2619999999999996</v>
      </c>
      <c r="I242" s="195">
        <v>129</v>
      </c>
      <c r="J242" s="195">
        <v>1.48</v>
      </c>
      <c r="K242" s="200">
        <f t="shared" si="30"/>
        <v>0.70074999999999998</v>
      </c>
      <c r="L242" s="199">
        <v>25.3</v>
      </c>
      <c r="M242" s="199">
        <v>2.73</v>
      </c>
      <c r="N242" s="198">
        <f t="shared" si="31"/>
        <v>865</v>
      </c>
      <c r="O242" s="202">
        <v>30500</v>
      </c>
      <c r="P242" s="202">
        <v>4100</v>
      </c>
      <c r="Q242" s="191" t="s">
        <v>19</v>
      </c>
      <c r="R242" s="191" t="s">
        <v>1790</v>
      </c>
      <c r="S242" s="8" t="s">
        <v>190</v>
      </c>
      <c r="T242" s="8" t="s">
        <v>2410</v>
      </c>
      <c r="U242" s="191" t="s">
        <v>692</v>
      </c>
      <c r="W242">
        <f>COUNTIF($A$157:A242,A242)</f>
        <v>4</v>
      </c>
      <c r="X242" t="s">
        <v>2324</v>
      </c>
      <c r="Y242">
        <f t="shared" si="23"/>
        <v>219</v>
      </c>
      <c r="Z242" t="str">
        <f t="shared" si="24"/>
        <v>D-4</v>
      </c>
      <c r="AB242">
        <v>296</v>
      </c>
      <c r="AC242" t="s">
        <v>2248</v>
      </c>
    </row>
    <row r="243" spans="1:29">
      <c r="A243" s="191" t="s">
        <v>724</v>
      </c>
      <c r="B243" s="192" t="str">
        <f>Texte!B242</f>
        <v>Collettore solare piano per il riscaldamento e l'acqua calda casa monofamiliare</v>
      </c>
      <c r="C243" s="191" t="s">
        <v>706</v>
      </c>
      <c r="D243" s="249" t="s">
        <v>694</v>
      </c>
      <c r="E243" s="191" t="s">
        <v>691</v>
      </c>
      <c r="F243" s="191" t="s">
        <v>30</v>
      </c>
      <c r="G243" s="191">
        <v>30</v>
      </c>
      <c r="H243" s="196">
        <v>27.466666666666665</v>
      </c>
      <c r="I243" s="195">
        <v>824</v>
      </c>
      <c r="J243" s="195">
        <v>0</v>
      </c>
      <c r="K243" s="200">
        <f t="shared" si="30"/>
        <v>6.1333333333333337</v>
      </c>
      <c r="L243" s="199">
        <v>184</v>
      </c>
      <c r="M243" s="199">
        <v>0</v>
      </c>
      <c r="N243" s="198">
        <f t="shared" si="31"/>
        <v>15066.666666666666</v>
      </c>
      <c r="O243" s="202">
        <v>452000</v>
      </c>
      <c r="P243" s="202">
        <v>0</v>
      </c>
      <c r="Q243" s="191" t="s">
        <v>19</v>
      </c>
      <c r="R243" s="191"/>
      <c r="S243" s="8" t="s">
        <v>30</v>
      </c>
      <c r="T243" s="8" t="s">
        <v>2411</v>
      </c>
      <c r="U243" s="191" t="s">
        <v>692</v>
      </c>
      <c r="W243">
        <f>COUNTIF($A$157:A243,A243)</f>
        <v>5</v>
      </c>
      <c r="X243" t="s">
        <v>2325</v>
      </c>
      <c r="Y243">
        <f t="shared" si="23"/>
        <v>220</v>
      </c>
      <c r="Z243" t="str">
        <f t="shared" si="24"/>
        <v>D-5</v>
      </c>
      <c r="AB243">
        <v>297</v>
      </c>
      <c r="AC243" t="s">
        <v>2247</v>
      </c>
    </row>
    <row r="244" spans="1:29">
      <c r="A244" s="191" t="s">
        <v>724</v>
      </c>
      <c r="B244" s="192" t="str">
        <f>Texte!B243</f>
        <v>Collettore solare piano per l'acqua calda casa monofamiliare</v>
      </c>
      <c r="C244" s="191" t="s">
        <v>705</v>
      </c>
      <c r="D244" s="249" t="s">
        <v>694</v>
      </c>
      <c r="E244" s="191" t="s">
        <v>691</v>
      </c>
      <c r="F244" s="191" t="s">
        <v>30</v>
      </c>
      <c r="G244" s="191">
        <v>30</v>
      </c>
      <c r="H244" s="196">
        <v>38</v>
      </c>
      <c r="I244" s="195">
        <v>1140</v>
      </c>
      <c r="J244" s="195">
        <v>0</v>
      </c>
      <c r="K244" s="200">
        <f t="shared" si="30"/>
        <v>8.5333333333333332</v>
      </c>
      <c r="L244" s="199">
        <v>256</v>
      </c>
      <c r="M244" s="199">
        <v>0</v>
      </c>
      <c r="N244" s="198">
        <f t="shared" si="31"/>
        <v>22533.333333333332</v>
      </c>
      <c r="O244" s="202">
        <v>676000</v>
      </c>
      <c r="P244" s="202">
        <v>0</v>
      </c>
      <c r="Q244" s="191" t="s">
        <v>19</v>
      </c>
      <c r="R244" s="191"/>
      <c r="S244" s="8" t="s">
        <v>30</v>
      </c>
      <c r="T244" s="8" t="s">
        <v>2411</v>
      </c>
      <c r="U244" s="191" t="s">
        <v>692</v>
      </c>
      <c r="W244">
        <f>COUNTIF($A$157:A244,A244)</f>
        <v>6</v>
      </c>
      <c r="X244" t="s">
        <v>2326</v>
      </c>
      <c r="Y244">
        <f t="shared" si="23"/>
        <v>221</v>
      </c>
      <c r="Z244" t="str">
        <f t="shared" si="24"/>
        <v>D-6</v>
      </c>
      <c r="AB244">
        <v>298</v>
      </c>
      <c r="AC244" t="s">
        <v>2239</v>
      </c>
    </row>
    <row r="245" spans="1:29">
      <c r="A245" s="191" t="s">
        <v>724</v>
      </c>
      <c r="B245" s="192" t="str">
        <f>Texte!B244</f>
        <v>Collettore solare piano per l'acqua calda casa plurifamiliare</v>
      </c>
      <c r="C245" s="191" t="s">
        <v>707</v>
      </c>
      <c r="D245" s="249" t="s">
        <v>694</v>
      </c>
      <c r="E245" s="191" t="s">
        <v>691</v>
      </c>
      <c r="F245" s="191" t="s">
        <v>30</v>
      </c>
      <c r="G245" s="191">
        <v>30</v>
      </c>
      <c r="H245" s="196">
        <v>23.166666666666668</v>
      </c>
      <c r="I245" s="195">
        <v>695</v>
      </c>
      <c r="J245" s="195">
        <v>0</v>
      </c>
      <c r="K245" s="200">
        <f t="shared" si="30"/>
        <v>5.166666666666667</v>
      </c>
      <c r="L245" s="199">
        <v>155</v>
      </c>
      <c r="M245" s="199">
        <v>0</v>
      </c>
      <c r="N245" s="198">
        <f t="shared" si="31"/>
        <v>13133.333333333334</v>
      </c>
      <c r="O245" s="202">
        <v>394000</v>
      </c>
      <c r="P245" s="202">
        <v>0</v>
      </c>
      <c r="Q245" s="191" t="s">
        <v>19</v>
      </c>
      <c r="R245" s="191"/>
      <c r="S245" s="8" t="s">
        <v>30</v>
      </c>
      <c r="T245" s="8" t="s">
        <v>2411</v>
      </c>
      <c r="U245" s="191" t="s">
        <v>692</v>
      </c>
      <c r="W245">
        <f>COUNTIF($A$157:A245,A245)</f>
        <v>7</v>
      </c>
      <c r="X245" t="s">
        <v>2327</v>
      </c>
      <c r="Y245">
        <f t="shared" si="23"/>
        <v>222</v>
      </c>
      <c r="Z245" t="str">
        <f t="shared" si="24"/>
        <v>D-7</v>
      </c>
      <c r="AB245">
        <v>299</v>
      </c>
      <c r="AC245" t="s">
        <v>2244</v>
      </c>
    </row>
    <row r="246" spans="1:29">
      <c r="A246" s="191" t="s">
        <v>724</v>
      </c>
      <c r="B246" s="192" t="str">
        <f>Texte!B245</f>
        <v>Impianto di ventilazione ufficio (4 m3/h*m2)</v>
      </c>
      <c r="C246" s="191" t="s">
        <v>708</v>
      </c>
      <c r="D246" s="249" t="s">
        <v>694</v>
      </c>
      <c r="E246" s="191" t="s">
        <v>259</v>
      </c>
      <c r="F246" s="191" t="s">
        <v>30</v>
      </c>
      <c r="G246" s="191">
        <v>30</v>
      </c>
      <c r="H246" s="196">
        <v>3.7147999999999999</v>
      </c>
      <c r="I246" s="196">
        <v>111</v>
      </c>
      <c r="J246" s="196">
        <v>0.44400000000000001</v>
      </c>
      <c r="K246" s="200">
        <f t="shared" si="30"/>
        <v>0.86543333333333339</v>
      </c>
      <c r="L246" s="200">
        <v>25.2</v>
      </c>
      <c r="M246" s="200">
        <v>0.76300000000000001</v>
      </c>
      <c r="N246" s="198">
        <f t="shared" si="31"/>
        <v>2159.6</v>
      </c>
      <c r="O246" s="198">
        <v>64300</v>
      </c>
      <c r="P246" s="198">
        <v>488</v>
      </c>
      <c r="Q246" s="191" t="s">
        <v>19</v>
      </c>
      <c r="R246" s="191" t="s">
        <v>284</v>
      </c>
      <c r="S246" s="8" t="s">
        <v>30</v>
      </c>
      <c r="T246" s="8" t="s">
        <v>2407</v>
      </c>
      <c r="U246" s="191" t="s">
        <v>692</v>
      </c>
      <c r="W246">
        <f>COUNTIF($A$157:A246,A246)</f>
        <v>8</v>
      </c>
      <c r="X246" t="s">
        <v>2328</v>
      </c>
      <c r="Y246">
        <f t="shared" si="23"/>
        <v>223</v>
      </c>
      <c r="Z246" t="str">
        <f t="shared" si="24"/>
        <v>D-8</v>
      </c>
      <c r="AB246">
        <v>300</v>
      </c>
      <c r="AC246" t="s">
        <v>2236</v>
      </c>
    </row>
    <row r="247" spans="1:29">
      <c r="A247" s="191" t="s">
        <v>724</v>
      </c>
      <c r="B247" s="192" t="str">
        <f>Texte!B246</f>
        <v>Impianto di ventilazione scuola, sala riunioni (8 m3/h*m2)</v>
      </c>
      <c r="C247" s="191" t="s">
        <v>710</v>
      </c>
      <c r="D247" s="249" t="s">
        <v>694</v>
      </c>
      <c r="E247" s="191" t="s">
        <v>259</v>
      </c>
      <c r="F247" s="191" t="s">
        <v>30</v>
      </c>
      <c r="G247" s="191">
        <v>30</v>
      </c>
      <c r="H247" s="196">
        <v>6.2586000000000004</v>
      </c>
      <c r="I247" s="196">
        <v>187</v>
      </c>
      <c r="J247" s="196">
        <v>0.75800000000000001</v>
      </c>
      <c r="K247" s="200">
        <f t="shared" si="30"/>
        <v>1.454</v>
      </c>
      <c r="L247" s="200">
        <v>42.3</v>
      </c>
      <c r="M247" s="200">
        <v>1.32</v>
      </c>
      <c r="N247" s="198">
        <f t="shared" si="31"/>
        <v>3628.1</v>
      </c>
      <c r="O247" s="198">
        <v>108000</v>
      </c>
      <c r="P247" s="198">
        <v>843</v>
      </c>
      <c r="Q247" s="191" t="s">
        <v>19</v>
      </c>
      <c r="R247" s="191" t="s">
        <v>284</v>
      </c>
      <c r="S247" s="8" t="s">
        <v>30</v>
      </c>
      <c r="T247" s="8" t="s">
        <v>2407</v>
      </c>
      <c r="U247" s="191" t="s">
        <v>692</v>
      </c>
      <c r="W247">
        <f>COUNTIF($A$157:A247,A247)</f>
        <v>9</v>
      </c>
      <c r="X247" t="s">
        <v>2329</v>
      </c>
      <c r="Y247">
        <f t="shared" si="23"/>
        <v>224</v>
      </c>
      <c r="Z247" t="str">
        <f t="shared" si="24"/>
        <v>D-9</v>
      </c>
      <c r="AB247">
        <v>301</v>
      </c>
      <c r="AC247" t="s">
        <v>2241</v>
      </c>
    </row>
    <row r="248" spans="1:29">
      <c r="A248" s="191" t="s">
        <v>724</v>
      </c>
      <c r="B248" s="192" t="str">
        <f>Texte!B247</f>
        <v>Impianto di ventilazione abitazione, canali in lamiera, incluso cappa cucina</v>
      </c>
      <c r="C248" s="191" t="s">
        <v>711</v>
      </c>
      <c r="D248" s="249" t="s">
        <v>694</v>
      </c>
      <c r="E248" s="191" t="s">
        <v>259</v>
      </c>
      <c r="F248" s="191" t="s">
        <v>30</v>
      </c>
      <c r="G248" s="191">
        <v>30</v>
      </c>
      <c r="H248" s="196">
        <v>1.7761033333333336</v>
      </c>
      <c r="I248" s="196">
        <v>53.2</v>
      </c>
      <c r="J248" s="196">
        <v>8.3099999999999993E-2</v>
      </c>
      <c r="K248" s="200">
        <f t="shared" si="30"/>
        <v>0.39996666666666664</v>
      </c>
      <c r="L248" s="200">
        <v>11.7</v>
      </c>
      <c r="M248" s="200">
        <v>0.29899999999999999</v>
      </c>
      <c r="N248" s="198">
        <f t="shared" si="31"/>
        <v>1506.0666666666666</v>
      </c>
      <c r="O248" s="198">
        <v>45000</v>
      </c>
      <c r="P248" s="198">
        <v>182</v>
      </c>
      <c r="Q248" s="191" t="s">
        <v>19</v>
      </c>
      <c r="R248" s="191" t="s">
        <v>284</v>
      </c>
      <c r="S248" s="8" t="s">
        <v>30</v>
      </c>
      <c r="T248" s="8" t="s">
        <v>2407</v>
      </c>
      <c r="U248" s="191" t="s">
        <v>692</v>
      </c>
      <c r="W248">
        <f>COUNTIF($A$157:A248,A248)</f>
        <v>10</v>
      </c>
      <c r="X248" t="s">
        <v>2330</v>
      </c>
      <c r="Y248">
        <f t="shared" si="23"/>
        <v>225</v>
      </c>
      <c r="Z248" t="str">
        <f t="shared" si="24"/>
        <v>D-10</v>
      </c>
      <c r="AB248">
        <v>302</v>
      </c>
      <c r="AC248" t="s">
        <v>2240</v>
      </c>
    </row>
    <row r="249" spans="1:29">
      <c r="A249" s="191" t="s">
        <v>724</v>
      </c>
      <c r="B249" s="192" t="str">
        <f>Texte!B248</f>
        <v>Impianto di ventilazione abitazione, canali in PE, incluso cappa cucina</v>
      </c>
      <c r="C249" s="191" t="s">
        <v>712</v>
      </c>
      <c r="D249" s="249" t="s">
        <v>694</v>
      </c>
      <c r="E249" s="191" t="s">
        <v>259</v>
      </c>
      <c r="F249" s="191" t="s">
        <v>30</v>
      </c>
      <c r="G249" s="191">
        <v>30</v>
      </c>
      <c r="H249" s="196">
        <v>1.0891433333333334</v>
      </c>
      <c r="I249" s="196">
        <v>32.6</v>
      </c>
      <c r="J249" s="196">
        <v>7.4300000000000005E-2</v>
      </c>
      <c r="K249" s="200">
        <f t="shared" si="30"/>
        <v>0.24413333333333334</v>
      </c>
      <c r="L249" s="200">
        <v>6.6</v>
      </c>
      <c r="M249" s="200">
        <v>0.72399999999999998</v>
      </c>
      <c r="N249" s="198">
        <f t="shared" si="31"/>
        <v>732.36666666666667</v>
      </c>
      <c r="O249" s="198">
        <v>21600</v>
      </c>
      <c r="P249" s="198">
        <v>371</v>
      </c>
      <c r="Q249" s="191" t="s">
        <v>19</v>
      </c>
      <c r="R249" s="191" t="s">
        <v>284</v>
      </c>
      <c r="S249" s="8" t="s">
        <v>30</v>
      </c>
      <c r="T249" s="8" t="s">
        <v>2407</v>
      </c>
      <c r="U249" s="191" t="s">
        <v>692</v>
      </c>
      <c r="W249">
        <f>COUNTIF($A$157:A249,A249)</f>
        <v>11</v>
      </c>
      <c r="X249" t="s">
        <v>2331</v>
      </c>
      <c r="Y249">
        <f t="shared" si="23"/>
        <v>226</v>
      </c>
      <c r="Z249" t="str">
        <f t="shared" si="24"/>
        <v>D-11</v>
      </c>
      <c r="AB249">
        <v>303</v>
      </c>
      <c r="AC249" t="s">
        <v>2243</v>
      </c>
    </row>
    <row r="250" spans="1:29">
      <c r="A250" s="191" t="s">
        <v>724</v>
      </c>
      <c r="B250" s="192" t="str">
        <f>Texte!B249</f>
        <v>Impianto di ventilazione, flusso d'aria specifico 6 m3/hm2 SRE</v>
      </c>
      <c r="C250" s="191" t="s">
        <v>709</v>
      </c>
      <c r="D250" s="249" t="s">
        <v>694</v>
      </c>
      <c r="E250" s="191" t="s">
        <v>259</v>
      </c>
      <c r="F250" s="191" t="s">
        <v>30</v>
      </c>
      <c r="G250" s="191">
        <v>30</v>
      </c>
      <c r="H250" s="196">
        <v>4.9866999999999999</v>
      </c>
      <c r="I250" s="196">
        <v>149</v>
      </c>
      <c r="J250" s="196">
        <v>0.60099999999999998</v>
      </c>
      <c r="K250" s="200">
        <f t="shared" si="30"/>
        <v>1.1580000000000001</v>
      </c>
      <c r="L250" s="200">
        <v>33.700000000000003</v>
      </c>
      <c r="M250" s="200">
        <v>1.04</v>
      </c>
      <c r="N250" s="198">
        <f t="shared" si="31"/>
        <v>2895.5333333333333</v>
      </c>
      <c r="O250" s="198">
        <v>86200</v>
      </c>
      <c r="P250" s="198">
        <v>666</v>
      </c>
      <c r="Q250" s="191" t="s">
        <v>19</v>
      </c>
      <c r="R250" s="191" t="s">
        <v>284</v>
      </c>
      <c r="S250" s="8" t="s">
        <v>30</v>
      </c>
      <c r="T250" s="8" t="s">
        <v>2407</v>
      </c>
      <c r="U250" s="191" t="s">
        <v>692</v>
      </c>
      <c r="W250">
        <f>COUNTIF($A$157:A250,A250)</f>
        <v>12</v>
      </c>
      <c r="X250" t="s">
        <v>2332</v>
      </c>
      <c r="Y250">
        <f t="shared" si="23"/>
        <v>227</v>
      </c>
      <c r="Z250" t="str">
        <f t="shared" si="24"/>
        <v>D-12</v>
      </c>
      <c r="AB250">
        <v>304</v>
      </c>
      <c r="AC250" t="s">
        <v>2242</v>
      </c>
    </row>
    <row r="251" spans="1:29">
      <c r="A251" s="191" t="s">
        <v>724</v>
      </c>
      <c r="B251" s="192" t="str">
        <f>Texte!B250</f>
        <v>Impianti sanitari, ufficio, complesso, incluso apparecchi e tubazioni</v>
      </c>
      <c r="C251" s="191" t="s">
        <v>715</v>
      </c>
      <c r="D251" s="249" t="s">
        <v>694</v>
      </c>
      <c r="E251" s="191" t="s">
        <v>259</v>
      </c>
      <c r="F251" s="191" t="s">
        <v>30</v>
      </c>
      <c r="G251" s="191">
        <v>30</v>
      </c>
      <c r="H251" s="196">
        <v>1.5559333333333334</v>
      </c>
      <c r="I251" s="196">
        <v>46.2</v>
      </c>
      <c r="J251" s="196">
        <v>0.47799999999999998</v>
      </c>
      <c r="K251" s="200">
        <f t="shared" si="30"/>
        <v>0.39366666666666666</v>
      </c>
      <c r="L251" s="200">
        <v>8.0500000000000007</v>
      </c>
      <c r="M251" s="200">
        <v>3.76</v>
      </c>
      <c r="N251" s="198">
        <f t="shared" si="31"/>
        <v>621.66666666666663</v>
      </c>
      <c r="O251" s="198">
        <v>16700</v>
      </c>
      <c r="P251" s="198">
        <v>1950</v>
      </c>
      <c r="Q251" s="191" t="s">
        <v>19</v>
      </c>
      <c r="R251" s="191" t="s">
        <v>284</v>
      </c>
      <c r="S251" s="8" t="s">
        <v>30</v>
      </c>
      <c r="T251" s="8" t="s">
        <v>2409</v>
      </c>
      <c r="U251" s="191" t="s">
        <v>692</v>
      </c>
      <c r="W251">
        <f>COUNTIF($A$157:A251,A251)</f>
        <v>13</v>
      </c>
      <c r="X251" t="s">
        <v>2333</v>
      </c>
      <c r="Y251">
        <f t="shared" si="23"/>
        <v>228</v>
      </c>
      <c r="Z251" t="str">
        <f t="shared" si="24"/>
        <v>D-13</v>
      </c>
      <c r="AB251">
        <v>308</v>
      </c>
      <c r="AC251" t="s">
        <v>2125</v>
      </c>
    </row>
    <row r="252" spans="1:29">
      <c r="A252" s="191" t="s">
        <v>724</v>
      </c>
      <c r="B252" s="192" t="str">
        <f>Texte!B251</f>
        <v>Impianti sanitari abitazione, semplice, incluso apparecchi e tubazioni</v>
      </c>
      <c r="C252" s="191" t="s">
        <v>714</v>
      </c>
      <c r="D252" s="249" t="s">
        <v>694</v>
      </c>
      <c r="E252" s="191" t="s">
        <v>259</v>
      </c>
      <c r="F252" s="191" t="s">
        <v>30</v>
      </c>
      <c r="G252" s="191">
        <v>30</v>
      </c>
      <c r="H252" s="196">
        <v>0.65123333333333333</v>
      </c>
      <c r="I252" s="196">
        <v>19.399999999999999</v>
      </c>
      <c r="J252" s="196">
        <v>0.13700000000000001</v>
      </c>
      <c r="K252" s="200">
        <f t="shared" si="30"/>
        <v>0.14933333333333335</v>
      </c>
      <c r="L252" s="200">
        <v>3.33</v>
      </c>
      <c r="M252" s="200">
        <v>1.1499999999999999</v>
      </c>
      <c r="N252" s="198">
        <f t="shared" si="31"/>
        <v>232.56666666666666</v>
      </c>
      <c r="O252" s="198">
        <v>6390</v>
      </c>
      <c r="P252" s="198">
        <v>587</v>
      </c>
      <c r="Q252" s="191" t="s">
        <v>19</v>
      </c>
      <c r="R252" s="191" t="s">
        <v>284</v>
      </c>
      <c r="S252" s="8" t="s">
        <v>30</v>
      </c>
      <c r="T252" s="8" t="s">
        <v>2409</v>
      </c>
      <c r="U252" s="191" t="s">
        <v>692</v>
      </c>
      <c r="W252">
        <f>COUNTIF($A$157:A252,A252)</f>
        <v>14</v>
      </c>
      <c r="X252" t="s">
        <v>2334</v>
      </c>
      <c r="Y252">
        <f t="shared" si="23"/>
        <v>229</v>
      </c>
      <c r="Z252" t="str">
        <f t="shared" si="24"/>
        <v>D-14</v>
      </c>
      <c r="AB252">
        <v>309</v>
      </c>
      <c r="AC252" t="s">
        <v>2138</v>
      </c>
    </row>
    <row r="253" spans="1:29">
      <c r="A253" s="191" t="s">
        <v>724</v>
      </c>
      <c r="B253" s="192" t="str">
        <f>Texte!B252</f>
        <v>Impianti sanitari, abitazione, incluso apparecchi e tubazioni</v>
      </c>
      <c r="C253" s="191" t="s">
        <v>716</v>
      </c>
      <c r="D253" s="249" t="s">
        <v>694</v>
      </c>
      <c r="E253" s="191" t="s">
        <v>259</v>
      </c>
      <c r="F253" s="191" t="s">
        <v>30</v>
      </c>
      <c r="G253" s="191">
        <v>30</v>
      </c>
      <c r="H253" s="196">
        <v>1.6179000000000001</v>
      </c>
      <c r="I253" s="196">
        <v>48.2</v>
      </c>
      <c r="J253" s="196">
        <v>0.33700000000000002</v>
      </c>
      <c r="K253" s="200">
        <f t="shared" si="30"/>
        <v>0.37866666666666671</v>
      </c>
      <c r="L253" s="200">
        <v>9.81</v>
      </c>
      <c r="M253" s="200">
        <v>1.55</v>
      </c>
      <c r="N253" s="198">
        <f t="shared" si="31"/>
        <v>801.1</v>
      </c>
      <c r="O253" s="198">
        <v>23200</v>
      </c>
      <c r="P253" s="198">
        <v>833</v>
      </c>
      <c r="Q253" s="191" t="s">
        <v>19</v>
      </c>
      <c r="R253" s="191" t="s">
        <v>284</v>
      </c>
      <c r="S253" s="8" t="s">
        <v>30</v>
      </c>
      <c r="T253" s="8" t="s">
        <v>2409</v>
      </c>
      <c r="U253" s="191" t="s">
        <v>692</v>
      </c>
      <c r="W253">
        <f>COUNTIF($A$157:A253,A253)</f>
        <v>15</v>
      </c>
      <c r="X253" t="s">
        <v>2335</v>
      </c>
      <c r="Y253">
        <f t="shared" si="23"/>
        <v>230</v>
      </c>
      <c r="Z253" t="str">
        <f t="shared" si="24"/>
        <v>D-15</v>
      </c>
      <c r="AB253">
        <v>310</v>
      </c>
      <c r="AC253" t="s">
        <v>2136</v>
      </c>
    </row>
    <row r="254" spans="1:29">
      <c r="A254" s="191" t="s">
        <v>724</v>
      </c>
      <c r="B254" s="192" t="str">
        <f>Texte!B253</f>
        <v>Impianto fotovoltaico in facciata</v>
      </c>
      <c r="C254" s="190" t="s">
        <v>721</v>
      </c>
      <c r="D254" s="249" t="s">
        <v>694</v>
      </c>
      <c r="E254" s="191" t="s">
        <v>693</v>
      </c>
      <c r="F254" s="191" t="s">
        <v>260</v>
      </c>
      <c r="G254" s="191">
        <v>30</v>
      </c>
      <c r="H254" s="196">
        <v>248.66666666666666</v>
      </c>
      <c r="I254" s="196">
        <v>7460</v>
      </c>
      <c r="J254" s="197">
        <v>0</v>
      </c>
      <c r="K254" s="200">
        <f t="shared" si="30"/>
        <v>71.333333333333329</v>
      </c>
      <c r="L254" s="200">
        <v>2140</v>
      </c>
      <c r="M254" s="201">
        <v>0</v>
      </c>
      <c r="N254" s="198">
        <f t="shared" si="31"/>
        <v>105666.66666666667</v>
      </c>
      <c r="O254" s="198">
        <v>3170000</v>
      </c>
      <c r="P254" s="203">
        <v>0</v>
      </c>
      <c r="Q254" s="191" t="s">
        <v>19</v>
      </c>
      <c r="R254" s="191"/>
      <c r="S254" s="8" t="s">
        <v>30</v>
      </c>
      <c r="T254" s="8" t="s">
        <v>2412</v>
      </c>
      <c r="U254" s="191" t="s">
        <v>692</v>
      </c>
      <c r="W254">
        <f>COUNTIF($A$157:A254,A254)</f>
        <v>16</v>
      </c>
      <c r="X254" t="s">
        <v>2336</v>
      </c>
      <c r="Y254">
        <f t="shared" si="23"/>
        <v>231</v>
      </c>
      <c r="Z254" t="str">
        <f t="shared" si="24"/>
        <v>D-16</v>
      </c>
      <c r="AB254">
        <v>311</v>
      </c>
      <c r="AC254" t="s">
        <v>2137</v>
      </c>
    </row>
    <row r="255" spans="1:29">
      <c r="A255" s="191" t="s">
        <v>724</v>
      </c>
      <c r="B255" s="192" t="str">
        <f>Texte!B254</f>
        <v>Impianto fotovoltaico tetto piano</v>
      </c>
      <c r="C255" s="190" t="s">
        <v>720</v>
      </c>
      <c r="D255" s="249" t="s">
        <v>694</v>
      </c>
      <c r="E255" s="191" t="s">
        <v>693</v>
      </c>
      <c r="F255" s="191" t="s">
        <v>260</v>
      </c>
      <c r="G255" s="191">
        <v>30</v>
      </c>
      <c r="H255" s="196">
        <v>267.33333333333331</v>
      </c>
      <c r="I255" s="196">
        <v>8020</v>
      </c>
      <c r="J255" s="197">
        <v>0</v>
      </c>
      <c r="K255" s="200">
        <f t="shared" si="30"/>
        <v>77.333333333333329</v>
      </c>
      <c r="L255" s="200">
        <v>2320</v>
      </c>
      <c r="M255" s="201">
        <v>0</v>
      </c>
      <c r="N255" s="198">
        <f t="shared" si="31"/>
        <v>102333.33333333333</v>
      </c>
      <c r="O255" s="198">
        <v>3070000</v>
      </c>
      <c r="P255" s="203">
        <v>0</v>
      </c>
      <c r="Q255" s="191" t="s">
        <v>19</v>
      </c>
      <c r="R255" s="191"/>
      <c r="S255" s="8" t="s">
        <v>30</v>
      </c>
      <c r="T255" s="8" t="s">
        <v>2412</v>
      </c>
      <c r="U255" s="191" t="s">
        <v>692</v>
      </c>
      <c r="W255">
        <f>COUNTIF($A$157:A255,A255)</f>
        <v>17</v>
      </c>
      <c r="X255" t="s">
        <v>2337</v>
      </c>
      <c r="Y255">
        <f t="shared" si="23"/>
        <v>232</v>
      </c>
      <c r="Z255" t="str">
        <f t="shared" si="24"/>
        <v>D-17</v>
      </c>
      <c r="AB255">
        <v>312</v>
      </c>
      <c r="AC255" t="s">
        <v>2135</v>
      </c>
    </row>
    <row r="256" spans="1:29">
      <c r="A256" s="191" t="s">
        <v>724</v>
      </c>
      <c r="B256" s="192" t="str">
        <f>Texte!B255</f>
        <v>Impianto fotovoltaico tetto a falde</v>
      </c>
      <c r="C256" s="190" t="s">
        <v>719</v>
      </c>
      <c r="D256" s="249" t="s">
        <v>694</v>
      </c>
      <c r="E256" s="191" t="s">
        <v>693</v>
      </c>
      <c r="F256" s="191" t="s">
        <v>260</v>
      </c>
      <c r="G256" s="191">
        <v>30</v>
      </c>
      <c r="H256" s="196">
        <v>243</v>
      </c>
      <c r="I256" s="196">
        <v>7290</v>
      </c>
      <c r="J256" s="197">
        <v>0</v>
      </c>
      <c r="K256" s="200">
        <f t="shared" si="30"/>
        <v>67.666666666666671</v>
      </c>
      <c r="L256" s="200">
        <v>2030</v>
      </c>
      <c r="M256" s="201">
        <v>0</v>
      </c>
      <c r="N256" s="198">
        <f t="shared" si="31"/>
        <v>106333.33333333333</v>
      </c>
      <c r="O256" s="198">
        <v>3190000</v>
      </c>
      <c r="P256" s="203">
        <v>0</v>
      </c>
      <c r="Q256" s="191" t="s">
        <v>19</v>
      </c>
      <c r="R256" s="191"/>
      <c r="S256" s="8" t="s">
        <v>30</v>
      </c>
      <c r="T256" s="8" t="s">
        <v>2412</v>
      </c>
      <c r="U256" s="191" t="s">
        <v>692</v>
      </c>
      <c r="W256">
        <f>COUNTIF($A$157:A256,A256)</f>
        <v>18</v>
      </c>
      <c r="X256" t="s">
        <v>2338</v>
      </c>
      <c r="Y256">
        <f t="shared" si="23"/>
        <v>233</v>
      </c>
      <c r="Z256" t="str">
        <f t="shared" si="24"/>
        <v>D-18</v>
      </c>
      <c r="AB256">
        <v>313</v>
      </c>
      <c r="AC256" t="s">
        <v>2170</v>
      </c>
    </row>
    <row r="257" spans="1:29">
      <c r="A257" s="191" t="s">
        <v>724</v>
      </c>
      <c r="B257" s="192" t="str">
        <f>Texte!B256</f>
        <v>Emissione del calore tramite riscaldamento a pavimento</v>
      </c>
      <c r="C257" s="191" t="s">
        <v>701</v>
      </c>
      <c r="D257" s="249" t="s">
        <v>694</v>
      </c>
      <c r="E257" s="191" t="s">
        <v>259</v>
      </c>
      <c r="F257" s="191" t="s">
        <v>30</v>
      </c>
      <c r="G257" s="191">
        <v>30</v>
      </c>
      <c r="H257" s="196">
        <v>0.74305666666666659</v>
      </c>
      <c r="I257" s="195">
        <v>22.2</v>
      </c>
      <c r="J257" s="195">
        <v>9.1700000000000004E-2</v>
      </c>
      <c r="K257" s="200">
        <f t="shared" si="30"/>
        <v>0.16866666666666669</v>
      </c>
      <c r="L257" s="199">
        <v>3.02</v>
      </c>
      <c r="M257" s="199">
        <v>2.04</v>
      </c>
      <c r="N257" s="198">
        <f t="shared" si="31"/>
        <v>134.56666666666666</v>
      </c>
      <c r="O257" s="202">
        <v>3040</v>
      </c>
      <c r="P257" s="202">
        <v>997</v>
      </c>
      <c r="Q257" s="191" t="s">
        <v>19</v>
      </c>
      <c r="R257" s="191" t="s">
        <v>284</v>
      </c>
      <c r="S257" s="8" t="s">
        <v>30</v>
      </c>
      <c r="T257" s="8" t="s">
        <v>2414</v>
      </c>
      <c r="U257" s="191" t="s">
        <v>692</v>
      </c>
      <c r="W257">
        <f>COUNTIF($A$157:A257,A257)</f>
        <v>19</v>
      </c>
      <c r="X257" t="s">
        <v>2339</v>
      </c>
      <c r="Y257">
        <f t="shared" si="23"/>
        <v>234</v>
      </c>
      <c r="Z257" t="str">
        <f t="shared" si="24"/>
        <v>D-19</v>
      </c>
      <c r="AB257">
        <v>314</v>
      </c>
      <c r="AC257" t="s">
        <v>2186</v>
      </c>
    </row>
    <row r="258" spans="1:29">
      <c r="A258" s="191" t="s">
        <v>724</v>
      </c>
      <c r="B258" s="192" t="str">
        <f>Texte!B257</f>
        <v>Emissione del calore tramite corpo riscaldante</v>
      </c>
      <c r="C258" s="191" t="s">
        <v>700</v>
      </c>
      <c r="D258" s="249" t="s">
        <v>694</v>
      </c>
      <c r="E258" s="191" t="s">
        <v>259</v>
      </c>
      <c r="F258" s="191" t="s">
        <v>30</v>
      </c>
      <c r="G258" s="191">
        <v>30</v>
      </c>
      <c r="H258" s="196">
        <v>0.75783999999999996</v>
      </c>
      <c r="I258" s="195">
        <v>22.7</v>
      </c>
      <c r="J258" s="195">
        <v>3.5200000000000002E-2</v>
      </c>
      <c r="K258" s="200">
        <f t="shared" si="30"/>
        <v>0.18209000000000003</v>
      </c>
      <c r="L258" s="199">
        <v>5.44</v>
      </c>
      <c r="M258" s="199">
        <v>2.2700000000000001E-2</v>
      </c>
      <c r="N258" s="198">
        <f t="shared" si="31"/>
        <v>340.59666666666664</v>
      </c>
      <c r="O258" s="202">
        <v>10200</v>
      </c>
      <c r="P258" s="202">
        <v>17.899999999999999</v>
      </c>
      <c r="Q258" s="191" t="s">
        <v>19</v>
      </c>
      <c r="R258" s="191" t="s">
        <v>284</v>
      </c>
      <c r="S258" s="8" t="s">
        <v>30</v>
      </c>
      <c r="T258" s="8" t="s">
        <v>2414</v>
      </c>
      <c r="U258" s="191" t="s">
        <v>692</v>
      </c>
      <c r="W258">
        <f>COUNTIF($A$157:A258,A258)</f>
        <v>20</v>
      </c>
      <c r="X258" t="s">
        <v>2340</v>
      </c>
      <c r="Y258">
        <f t="shared" si="23"/>
        <v>235</v>
      </c>
      <c r="Z258" t="str">
        <f t="shared" si="24"/>
        <v>D-20</v>
      </c>
      <c r="AB258">
        <v>315</v>
      </c>
      <c r="AC258" t="s">
        <v>2188</v>
      </c>
    </row>
    <row r="259" spans="1:29">
      <c r="A259" s="191" t="s">
        <v>724</v>
      </c>
      <c r="B259" s="192" t="str">
        <f>Texte!B258</f>
        <v>Emissione del calore tramite soffitto riscaldante/raffreddante (senza elementi in gesso o metallo)</v>
      </c>
      <c r="C259" s="191" t="s">
        <v>702</v>
      </c>
      <c r="D259" s="249" t="s">
        <v>694</v>
      </c>
      <c r="E259" s="191" t="s">
        <v>259</v>
      </c>
      <c r="F259" s="191" t="s">
        <v>30</v>
      </c>
      <c r="G259" s="191">
        <v>30</v>
      </c>
      <c r="H259" s="196">
        <v>0.87768666666666673</v>
      </c>
      <c r="I259" s="195">
        <v>26.3</v>
      </c>
      <c r="J259" s="195">
        <v>3.0599999999999999E-2</v>
      </c>
      <c r="K259" s="200">
        <f t="shared" si="30"/>
        <v>0.19246666666666667</v>
      </c>
      <c r="L259" s="199">
        <v>5.64</v>
      </c>
      <c r="M259" s="199">
        <v>0.13400000000000001</v>
      </c>
      <c r="N259" s="198">
        <f t="shared" si="31"/>
        <v>1315.68</v>
      </c>
      <c r="O259" s="202">
        <v>39400</v>
      </c>
      <c r="P259" s="202">
        <v>70.400000000000006</v>
      </c>
      <c r="Q259" s="191" t="s">
        <v>19</v>
      </c>
      <c r="R259" s="191" t="s">
        <v>284</v>
      </c>
      <c r="S259" s="8" t="s">
        <v>30</v>
      </c>
      <c r="T259" s="8" t="s">
        <v>2414</v>
      </c>
      <c r="U259" s="191" t="s">
        <v>692</v>
      </c>
      <c r="W259">
        <f>COUNTIF($A$157:A259,A259)</f>
        <v>21</v>
      </c>
      <c r="X259" t="s">
        <v>2341</v>
      </c>
      <c r="Y259">
        <f t="shared" si="23"/>
        <v>236</v>
      </c>
      <c r="Z259" t="str">
        <f t="shared" si="24"/>
        <v>D-21</v>
      </c>
      <c r="AB259">
        <v>316</v>
      </c>
      <c r="AC259" t="s">
        <v>2187</v>
      </c>
    </row>
    <row r="260" spans="1:29">
      <c r="A260" s="191" t="s">
        <v>724</v>
      </c>
      <c r="B260" s="192" t="str">
        <f>Texte!B259</f>
        <v>Generatore termico, fabbisogno di potenza specifica 10 W/m2</v>
      </c>
      <c r="C260" s="191" t="s">
        <v>695</v>
      </c>
      <c r="D260" s="249" t="s">
        <v>694</v>
      </c>
      <c r="E260" s="191" t="s">
        <v>259</v>
      </c>
      <c r="F260" s="191" t="s">
        <v>30</v>
      </c>
      <c r="G260" s="191">
        <v>20</v>
      </c>
      <c r="H260" s="196">
        <v>0.11390499999999999</v>
      </c>
      <c r="I260" s="195">
        <v>2.2599999999999998</v>
      </c>
      <c r="J260" s="195">
        <v>1.8100000000000002E-2</v>
      </c>
      <c r="K260" s="200">
        <f t="shared" si="30"/>
        <v>2.5595E-2</v>
      </c>
      <c r="L260" s="199">
        <v>0.501</v>
      </c>
      <c r="M260" s="199">
        <v>1.09E-2</v>
      </c>
      <c r="N260" s="198">
        <f t="shared" si="31"/>
        <v>60.029999999999994</v>
      </c>
      <c r="O260" s="202">
        <v>1190</v>
      </c>
      <c r="P260" s="202">
        <v>10.6</v>
      </c>
      <c r="Q260" s="191" t="s">
        <v>19</v>
      </c>
      <c r="R260" s="191" t="s">
        <v>284</v>
      </c>
      <c r="S260" s="8" t="s">
        <v>30</v>
      </c>
      <c r="T260" s="8" t="s">
        <v>2415</v>
      </c>
      <c r="U260" s="191" t="s">
        <v>692</v>
      </c>
      <c r="W260">
        <f>COUNTIF($A$157:A260,A260)</f>
        <v>22</v>
      </c>
      <c r="X260" t="s">
        <v>2342</v>
      </c>
      <c r="Y260">
        <f t="shared" si="23"/>
        <v>237</v>
      </c>
      <c r="Z260" t="str">
        <f t="shared" si="24"/>
        <v>D-22</v>
      </c>
      <c r="AB260">
        <v>317</v>
      </c>
      <c r="AC260" t="s">
        <v>2185</v>
      </c>
    </row>
    <row r="261" spans="1:29">
      <c r="A261" s="191" t="s">
        <v>724</v>
      </c>
      <c r="B261" s="192" t="str">
        <f>Texte!B260</f>
        <v>Generatore termico, fabbisogno di potenza specifica 30 W/m2</v>
      </c>
      <c r="C261" s="191" t="s">
        <v>696</v>
      </c>
      <c r="D261" s="249" t="s">
        <v>694</v>
      </c>
      <c r="E261" s="191" t="s">
        <v>259</v>
      </c>
      <c r="F261" s="191" t="s">
        <v>30</v>
      </c>
      <c r="G261" s="191">
        <v>20</v>
      </c>
      <c r="H261" s="196">
        <v>0.34172000000000002</v>
      </c>
      <c r="I261" s="195">
        <v>6.78</v>
      </c>
      <c r="J261" s="195">
        <v>5.4399999999999997E-2</v>
      </c>
      <c r="K261" s="200">
        <f t="shared" si="30"/>
        <v>7.6634999999999995E-2</v>
      </c>
      <c r="L261" s="199">
        <v>1.5</v>
      </c>
      <c r="M261" s="199">
        <v>3.27E-2</v>
      </c>
      <c r="N261" s="198">
        <f t="shared" si="31"/>
        <v>179.59</v>
      </c>
      <c r="O261" s="202">
        <v>3560</v>
      </c>
      <c r="P261" s="202">
        <v>31.8</v>
      </c>
      <c r="Q261" s="191" t="s">
        <v>19</v>
      </c>
      <c r="R261" s="191" t="s">
        <v>284</v>
      </c>
      <c r="S261" s="8" t="s">
        <v>30</v>
      </c>
      <c r="T261" s="8" t="s">
        <v>2415</v>
      </c>
      <c r="U261" s="191" t="s">
        <v>692</v>
      </c>
      <c r="W261">
        <f>COUNTIF($A$157:A261,A261)</f>
        <v>23</v>
      </c>
      <c r="X261" t="s">
        <v>2343</v>
      </c>
      <c r="Y261">
        <f t="shared" si="23"/>
        <v>238</v>
      </c>
      <c r="Z261" t="str">
        <f t="shared" si="24"/>
        <v>D-23</v>
      </c>
      <c r="AB261">
        <v>318</v>
      </c>
      <c r="AC261" t="s">
        <v>2193</v>
      </c>
    </row>
    <row r="262" spans="1:29">
      <c r="A262" s="191" t="s">
        <v>724</v>
      </c>
      <c r="B262" s="192" t="str">
        <f>Texte!B261</f>
        <v>Generatore termico, fabbisogno di potenza specifica 50 W/m2</v>
      </c>
      <c r="C262" s="191" t="s">
        <v>697</v>
      </c>
      <c r="D262" s="249" t="s">
        <v>694</v>
      </c>
      <c r="E262" s="191" t="s">
        <v>259</v>
      </c>
      <c r="F262" s="191" t="s">
        <v>30</v>
      </c>
      <c r="G262" s="191">
        <v>20</v>
      </c>
      <c r="H262" s="196">
        <v>0.56953000000000009</v>
      </c>
      <c r="I262" s="195">
        <v>11.3</v>
      </c>
      <c r="J262" s="195">
        <v>9.06E-2</v>
      </c>
      <c r="K262" s="200">
        <f t="shared" si="30"/>
        <v>0.12772500000000001</v>
      </c>
      <c r="L262" s="199">
        <v>2.5</v>
      </c>
      <c r="M262" s="199">
        <v>5.45E-2</v>
      </c>
      <c r="N262" s="198">
        <f t="shared" si="31"/>
        <v>299.14999999999998</v>
      </c>
      <c r="O262" s="202">
        <v>5930</v>
      </c>
      <c r="P262" s="202">
        <v>53</v>
      </c>
      <c r="Q262" s="191" t="s">
        <v>19</v>
      </c>
      <c r="R262" s="191" t="s">
        <v>284</v>
      </c>
      <c r="S262" s="8" t="s">
        <v>30</v>
      </c>
      <c r="T262" s="8" t="s">
        <v>2415</v>
      </c>
      <c r="U262" s="191" t="s">
        <v>692</v>
      </c>
      <c r="W262">
        <f>COUNTIF($A$157:A262,A262)</f>
        <v>24</v>
      </c>
      <c r="X262" t="s">
        <v>2344</v>
      </c>
      <c r="Y262">
        <f t="shared" si="23"/>
        <v>239</v>
      </c>
      <c r="Z262" t="str">
        <f t="shared" si="24"/>
        <v>D-24</v>
      </c>
      <c r="AB262">
        <v>319</v>
      </c>
      <c r="AC262" t="s">
        <v>2196</v>
      </c>
    </row>
    <row r="263" spans="1:29">
      <c r="A263" s="191" t="s">
        <v>724</v>
      </c>
      <c r="B263" s="192" t="str">
        <f>Texte!B262</f>
        <v>Distribuzione del calore edifico amministrativo</v>
      </c>
      <c r="C263" s="191" t="s">
        <v>699</v>
      </c>
      <c r="D263" s="249" t="s">
        <v>694</v>
      </c>
      <c r="E263" s="191" t="s">
        <v>259</v>
      </c>
      <c r="F263" s="191" t="s">
        <v>30</v>
      </c>
      <c r="G263" s="191">
        <v>30</v>
      </c>
      <c r="H263" s="196">
        <v>1.0896666666666666</v>
      </c>
      <c r="I263" s="195">
        <v>29.9</v>
      </c>
      <c r="J263" s="195">
        <v>2.79</v>
      </c>
      <c r="K263" s="200">
        <f t="shared" si="30"/>
        <v>0.25399999999999995</v>
      </c>
      <c r="L263" s="199">
        <v>6.56</v>
      </c>
      <c r="M263" s="199">
        <v>1.06</v>
      </c>
      <c r="N263" s="198">
        <f t="shared" si="31"/>
        <v>499.66666666666669</v>
      </c>
      <c r="O263" s="202">
        <v>13900</v>
      </c>
      <c r="P263" s="202">
        <v>1090</v>
      </c>
      <c r="Q263" s="191" t="s">
        <v>19</v>
      </c>
      <c r="R263" s="191" t="s">
        <v>284</v>
      </c>
      <c r="S263" s="8" t="s">
        <v>30</v>
      </c>
      <c r="T263" s="8" t="s">
        <v>2413</v>
      </c>
      <c r="U263" s="191" t="s">
        <v>692</v>
      </c>
      <c r="W263">
        <f>COUNTIF($A$157:A263,A263)</f>
        <v>25</v>
      </c>
      <c r="X263" t="s">
        <v>2345</v>
      </c>
      <c r="Y263">
        <f t="shared" si="23"/>
        <v>240</v>
      </c>
      <c r="Z263" t="str">
        <f t="shared" si="24"/>
        <v>D-25</v>
      </c>
      <c r="AB263">
        <v>320</v>
      </c>
      <c r="AC263" t="s">
        <v>2194</v>
      </c>
    </row>
    <row r="264" spans="1:29">
      <c r="A264" s="191" t="s">
        <v>724</v>
      </c>
      <c r="B264" s="192" t="str">
        <f>Texte!B263</f>
        <v>Distribuzione e emissione del calore, riscaldamento ad aria</v>
      </c>
      <c r="C264" s="191" t="s">
        <v>703</v>
      </c>
      <c r="D264" s="249" t="s">
        <v>694</v>
      </c>
      <c r="E264" s="191" t="s">
        <v>259</v>
      </c>
      <c r="F264" s="191" t="s">
        <v>30</v>
      </c>
      <c r="G264" s="191">
        <v>30</v>
      </c>
      <c r="H264" s="196">
        <v>0.26521600000000001</v>
      </c>
      <c r="I264" s="195">
        <v>7.95</v>
      </c>
      <c r="J264" s="195">
        <v>6.4799999999999996E-3</v>
      </c>
      <c r="K264" s="200">
        <f t="shared" si="30"/>
        <v>5.657333333333333E-2</v>
      </c>
      <c r="L264" s="199">
        <v>1.63</v>
      </c>
      <c r="M264" s="199">
        <v>6.7199999999999996E-2</v>
      </c>
      <c r="N264" s="198">
        <f t="shared" si="31"/>
        <v>98.11999999999999</v>
      </c>
      <c r="O264" s="202">
        <v>2910</v>
      </c>
      <c r="P264" s="202">
        <v>33.6</v>
      </c>
      <c r="Q264" s="191" t="s">
        <v>19</v>
      </c>
      <c r="R264" s="191" t="s">
        <v>284</v>
      </c>
      <c r="S264" s="8" t="s">
        <v>30</v>
      </c>
      <c r="T264" s="8" t="s">
        <v>2413</v>
      </c>
      <c r="U264" s="191" t="s">
        <v>692</v>
      </c>
      <c r="W264">
        <f>COUNTIF($A$157:A264,A264)</f>
        <v>26</v>
      </c>
      <c r="X264" t="s">
        <v>2346</v>
      </c>
      <c r="Y264">
        <f t="shared" si="23"/>
        <v>241</v>
      </c>
      <c r="Z264" t="str">
        <f t="shared" si="24"/>
        <v>D-26</v>
      </c>
      <c r="AB264">
        <v>321</v>
      </c>
      <c r="AC264" t="s">
        <v>2192</v>
      </c>
    </row>
    <row r="265" spans="1:29">
      <c r="A265" s="191" t="s">
        <v>724</v>
      </c>
      <c r="B265" s="192" t="str">
        <f>Texte!B264</f>
        <v>Distribuzione del calore edificio abitativo</v>
      </c>
      <c r="C265" s="191" t="s">
        <v>698</v>
      </c>
      <c r="D265" s="249" t="s">
        <v>694</v>
      </c>
      <c r="E265" s="191" t="s">
        <v>259</v>
      </c>
      <c r="F265" s="191" t="s">
        <v>30</v>
      </c>
      <c r="G265" s="191">
        <v>30</v>
      </c>
      <c r="H265" s="196">
        <v>0.47766666666666668</v>
      </c>
      <c r="I265" s="195">
        <v>12</v>
      </c>
      <c r="J265" s="195">
        <v>2.33</v>
      </c>
      <c r="K265" s="200">
        <f t="shared" si="30"/>
        <v>0.10213333333333334</v>
      </c>
      <c r="L265" s="199">
        <v>2.39</v>
      </c>
      <c r="M265" s="199">
        <v>0.67400000000000004</v>
      </c>
      <c r="N265" s="198">
        <f t="shared" si="31"/>
        <v>182.56666666666666</v>
      </c>
      <c r="O265" s="202">
        <v>4670</v>
      </c>
      <c r="P265" s="202">
        <v>807</v>
      </c>
      <c r="Q265" s="191" t="s">
        <v>19</v>
      </c>
      <c r="R265" s="191" t="s">
        <v>284</v>
      </c>
      <c r="S265" s="8" t="s">
        <v>30</v>
      </c>
      <c r="T265" s="8" t="s">
        <v>2413</v>
      </c>
      <c r="U265" s="191" t="s">
        <v>692</v>
      </c>
      <c r="W265">
        <f>COUNTIF($A$157:A265,A265)</f>
        <v>27</v>
      </c>
      <c r="X265" t="s">
        <v>2347</v>
      </c>
      <c r="Y265">
        <f t="shared" si="23"/>
        <v>242</v>
      </c>
      <c r="Z265" t="str">
        <f t="shared" si="24"/>
        <v>D-27</v>
      </c>
      <c r="AB265">
        <v>322</v>
      </c>
      <c r="AC265" t="s">
        <v>2195</v>
      </c>
    </row>
    <row r="266" spans="1:29">
      <c r="A266" s="8" t="s">
        <v>724</v>
      </c>
      <c r="B266" s="192" t="str">
        <f>Texte!B322</f>
        <v>Sistema di scarico dell'aria di scarico cucina e bagno (SIA 2032)</v>
      </c>
      <c r="C266" s="8"/>
      <c r="D266" s="245"/>
      <c r="E266" s="8" t="s">
        <v>259</v>
      </c>
      <c r="F266" s="8" t="s">
        <v>30</v>
      </c>
      <c r="G266" s="8">
        <v>30</v>
      </c>
      <c r="H266" s="196">
        <v>0.50388333333333335</v>
      </c>
      <c r="I266" s="196">
        <v>15.1</v>
      </c>
      <c r="J266" s="196">
        <v>1.6500000000000001E-2</v>
      </c>
      <c r="K266" s="200">
        <v>0.11353333333333332</v>
      </c>
      <c r="L266" s="206">
        <v>3.28</v>
      </c>
      <c r="M266" s="206">
        <v>0.126</v>
      </c>
      <c r="N266" s="202">
        <v>445.52333333333331</v>
      </c>
      <c r="O266" s="202">
        <v>13300</v>
      </c>
      <c r="P266" s="208">
        <v>65.7</v>
      </c>
      <c r="Q266" s="8" t="s">
        <v>19</v>
      </c>
      <c r="R266" s="191" t="s">
        <v>284</v>
      </c>
      <c r="S266" s="8" t="s">
        <v>30</v>
      </c>
      <c r="T266" s="8" t="s">
        <v>2407</v>
      </c>
      <c r="U266" s="191" t="s">
        <v>796</v>
      </c>
      <c r="W266">
        <f>COUNTIF($A$157:A266,A266)</f>
        <v>28</v>
      </c>
      <c r="X266" t="s">
        <v>2362</v>
      </c>
      <c r="Y266">
        <f t="shared" si="23"/>
        <v>300</v>
      </c>
      <c r="Z266" t="str">
        <f t="shared" si="24"/>
        <v>D-28</v>
      </c>
      <c r="AB266" t="s">
        <v>2380</v>
      </c>
      <c r="AC266" t="s">
        <v>2380</v>
      </c>
    </row>
    <row r="267" spans="1:29">
      <c r="A267" s="8" t="s">
        <v>724</v>
      </c>
      <c r="B267" s="192" t="str">
        <f>Texte!B315</f>
        <v>Ufficio impianti elettrici (SIA 2032)</v>
      </c>
      <c r="C267" s="8"/>
      <c r="D267" s="245"/>
      <c r="E267" s="8" t="s">
        <v>259</v>
      </c>
      <c r="F267" s="8" t="s">
        <v>30</v>
      </c>
      <c r="G267" s="8">
        <v>30</v>
      </c>
      <c r="H267" s="196">
        <v>3.7944</v>
      </c>
      <c r="I267" s="196">
        <v>113</v>
      </c>
      <c r="J267" s="196">
        <v>0.83199999999999996</v>
      </c>
      <c r="K267" s="200">
        <v>0.79499999999999993</v>
      </c>
      <c r="L267" s="206">
        <v>22.4</v>
      </c>
      <c r="M267" s="206">
        <v>1.45</v>
      </c>
      <c r="N267" s="202">
        <v>3896.6666666666665</v>
      </c>
      <c r="O267" s="202">
        <v>116000</v>
      </c>
      <c r="P267" s="208">
        <v>900</v>
      </c>
      <c r="Q267" s="8" t="s">
        <v>19</v>
      </c>
      <c r="R267" s="191" t="s">
        <v>284</v>
      </c>
      <c r="S267" s="8" t="s">
        <v>30</v>
      </c>
      <c r="T267" s="8" t="s">
        <v>2408</v>
      </c>
      <c r="U267" s="191" t="s">
        <v>796</v>
      </c>
      <c r="W267">
        <f>COUNTIF($A$157:A267,A267)</f>
        <v>29</v>
      </c>
      <c r="X267" t="s">
        <v>2363</v>
      </c>
      <c r="Y267">
        <f t="shared" si="23"/>
        <v>293</v>
      </c>
      <c r="Z267" t="str">
        <f t="shared" si="24"/>
        <v>D-29</v>
      </c>
      <c r="AB267" t="s">
        <v>2380</v>
      </c>
      <c r="AC267" t="s">
        <v>2380</v>
      </c>
    </row>
    <row r="268" spans="1:29">
      <c r="A268" s="8" t="s">
        <v>724</v>
      </c>
      <c r="B268" s="192" t="str">
        <f>Texte!B314</f>
        <v>Alloggiamento dell'impianto elettrico (SIA 2032)</v>
      </c>
      <c r="C268" s="8"/>
      <c r="D268" s="245"/>
      <c r="E268" s="8" t="s">
        <v>259</v>
      </c>
      <c r="F268" s="8" t="s">
        <v>30</v>
      </c>
      <c r="G268" s="8">
        <v>30</v>
      </c>
      <c r="H268" s="196">
        <v>1.8452333333333335</v>
      </c>
      <c r="I268" s="196">
        <v>54.6</v>
      </c>
      <c r="J268" s="196">
        <v>0.75700000000000001</v>
      </c>
      <c r="K268" s="200">
        <v>0.42333333333333334</v>
      </c>
      <c r="L268" s="206">
        <v>9.3000000000000007</v>
      </c>
      <c r="M268" s="206">
        <v>3.4</v>
      </c>
      <c r="N268" s="202">
        <v>1574</v>
      </c>
      <c r="O268" s="202">
        <v>45400</v>
      </c>
      <c r="P268" s="208">
        <v>1820</v>
      </c>
      <c r="Q268" s="8" t="s">
        <v>19</v>
      </c>
      <c r="R268" s="191" t="s">
        <v>284</v>
      </c>
      <c r="S268" s="8" t="s">
        <v>30</v>
      </c>
      <c r="T268" s="8" t="s">
        <v>2408</v>
      </c>
      <c r="U268" s="191" t="s">
        <v>796</v>
      </c>
      <c r="W268">
        <f>COUNTIF($A$157:A268,A268)</f>
        <v>30</v>
      </c>
      <c r="X268" t="s">
        <v>2364</v>
      </c>
      <c r="Y268">
        <f t="shared" si="23"/>
        <v>292</v>
      </c>
      <c r="Z268" t="str">
        <f t="shared" si="24"/>
        <v>D-30</v>
      </c>
      <c r="AB268" t="s">
        <v>2380</v>
      </c>
      <c r="AC268" t="s">
        <v>2380</v>
      </c>
    </row>
    <row r="269" spans="1:29">
      <c r="A269" s="8" t="s">
        <v>724</v>
      </c>
      <c r="B269" s="192" t="str">
        <f>Texte!B320</f>
        <v>Sonde geotermiche (SIA 2032)</v>
      </c>
      <c r="C269" s="8"/>
      <c r="D269" s="245"/>
      <c r="E269" s="8" t="s">
        <v>259</v>
      </c>
      <c r="F269" s="8" t="s">
        <v>30</v>
      </c>
      <c r="G269" s="8">
        <v>40</v>
      </c>
      <c r="H269" s="196">
        <v>1.631</v>
      </c>
      <c r="I269" s="196">
        <v>64.5</v>
      </c>
      <c r="J269" s="196">
        <v>0.74</v>
      </c>
      <c r="K269" s="200">
        <v>0.35037500000000005</v>
      </c>
      <c r="L269" s="206">
        <v>12.65</v>
      </c>
      <c r="M269" s="206">
        <v>1.365</v>
      </c>
      <c r="N269" s="202">
        <v>432.5</v>
      </c>
      <c r="O269" s="202">
        <v>15250</v>
      </c>
      <c r="P269" s="208">
        <v>2050</v>
      </c>
      <c r="Q269" s="8" t="s">
        <v>19</v>
      </c>
      <c r="R269" s="191" t="s">
        <v>284</v>
      </c>
      <c r="S269" s="8" t="s">
        <v>30</v>
      </c>
      <c r="T269" s="8" t="s">
        <v>2410</v>
      </c>
      <c r="U269" s="191" t="s">
        <v>796</v>
      </c>
      <c r="W269">
        <f>COUNTIF($A$157:A269,A269)</f>
        <v>31</v>
      </c>
      <c r="X269" t="s">
        <v>2365</v>
      </c>
      <c r="Y269">
        <f t="shared" si="23"/>
        <v>298</v>
      </c>
      <c r="Z269" t="str">
        <f t="shared" si="24"/>
        <v>D-31</v>
      </c>
      <c r="AB269" t="s">
        <v>2380</v>
      </c>
      <c r="AC269" t="s">
        <v>2380</v>
      </c>
    </row>
    <row r="270" spans="1:29">
      <c r="A270" s="8" t="s">
        <v>724</v>
      </c>
      <c r="B270" s="192" t="str">
        <f>Texte!B324</f>
        <v>Sistema di ventilazione per uffici (SIA 2032)</v>
      </c>
      <c r="C270" s="8"/>
      <c r="D270" s="245"/>
      <c r="E270" s="8" t="s">
        <v>259</v>
      </c>
      <c r="F270" s="8" t="s">
        <v>30</v>
      </c>
      <c r="G270" s="8">
        <v>30</v>
      </c>
      <c r="H270" s="196">
        <v>3.08385</v>
      </c>
      <c r="I270" s="196">
        <v>92.15</v>
      </c>
      <c r="J270" s="196">
        <v>0.36549999999999999</v>
      </c>
      <c r="K270" s="200">
        <v>0.7174666666666667</v>
      </c>
      <c r="L270" s="206">
        <v>20.9</v>
      </c>
      <c r="M270" s="206">
        <v>0.624</v>
      </c>
      <c r="N270" s="202">
        <v>1791.6499999999999</v>
      </c>
      <c r="O270" s="202">
        <v>53350</v>
      </c>
      <c r="P270" s="208">
        <v>399.5</v>
      </c>
      <c r="Q270" s="8" t="s">
        <v>19</v>
      </c>
      <c r="R270" s="191" t="s">
        <v>284</v>
      </c>
      <c r="S270" s="8" t="s">
        <v>30</v>
      </c>
      <c r="T270" s="8" t="s">
        <v>2407</v>
      </c>
      <c r="U270" s="191" t="s">
        <v>796</v>
      </c>
      <c r="W270">
        <f>COUNTIF($A$157:A270,A270)</f>
        <v>32</v>
      </c>
      <c r="X270" t="s">
        <v>2366</v>
      </c>
      <c r="Y270">
        <f t="shared" si="23"/>
        <v>302</v>
      </c>
      <c r="Z270" t="str">
        <f t="shared" si="24"/>
        <v>D-32</v>
      </c>
      <c r="AB270" t="s">
        <v>2380</v>
      </c>
      <c r="AC270" t="s">
        <v>2380</v>
      </c>
    </row>
    <row r="271" spans="1:29">
      <c r="A271" s="8" t="s">
        <v>724</v>
      </c>
      <c r="B271" s="192" t="str">
        <f>Texte!B323</f>
        <v>Sistema di ventilazione per edifici residenziali (SIA 2032)</v>
      </c>
      <c r="C271" s="8"/>
      <c r="D271" s="245"/>
      <c r="E271" s="8" t="s">
        <v>259</v>
      </c>
      <c r="F271" s="8" t="s">
        <v>30</v>
      </c>
      <c r="G271" s="8">
        <v>30</v>
      </c>
      <c r="H271" s="196">
        <v>1.8169333333333331</v>
      </c>
      <c r="I271" s="196">
        <v>54.3</v>
      </c>
      <c r="J271" s="196">
        <v>0.20799999999999999</v>
      </c>
      <c r="K271" s="200">
        <v>0.42150000000000004</v>
      </c>
      <c r="L271" s="206">
        <v>12.3</v>
      </c>
      <c r="M271" s="206">
        <v>0.34499999999999997</v>
      </c>
      <c r="N271" s="202">
        <v>1054.0666666666668</v>
      </c>
      <c r="O271" s="202">
        <v>31400</v>
      </c>
      <c r="P271" s="208">
        <v>222</v>
      </c>
      <c r="Q271" s="8" t="s">
        <v>19</v>
      </c>
      <c r="R271" s="191" t="s">
        <v>284</v>
      </c>
      <c r="S271" s="8" t="s">
        <v>30</v>
      </c>
      <c r="T271" s="8" t="s">
        <v>2407</v>
      </c>
      <c r="U271" s="191" t="s">
        <v>796</v>
      </c>
      <c r="W271">
        <f>COUNTIF($A$157:A271,A271)</f>
        <v>33</v>
      </c>
      <c r="X271" t="s">
        <v>2367</v>
      </c>
      <c r="Y271">
        <f t="shared" si="23"/>
        <v>301</v>
      </c>
      <c r="Z271" t="str">
        <f t="shared" si="24"/>
        <v>D-33</v>
      </c>
      <c r="AB271" t="s">
        <v>2380</v>
      </c>
      <c r="AC271" t="s">
        <v>2380</v>
      </c>
    </row>
    <row r="272" spans="1:29">
      <c r="A272" s="8" t="s">
        <v>724</v>
      </c>
      <c r="B272" s="192" t="str">
        <f>Texte!B326</f>
        <v>Impianto sanitario per uffici (SIA 2032)</v>
      </c>
      <c r="C272" s="8"/>
      <c r="D272" s="245"/>
      <c r="E272" s="8" t="s">
        <v>259</v>
      </c>
      <c r="F272" s="8" t="s">
        <v>30</v>
      </c>
      <c r="G272" s="8">
        <v>30</v>
      </c>
      <c r="H272" s="196">
        <v>1.1035833333333334</v>
      </c>
      <c r="I272" s="196">
        <v>32.799999999999997</v>
      </c>
      <c r="J272" s="196">
        <v>0.3075</v>
      </c>
      <c r="K272" s="200">
        <v>0.27150000000000002</v>
      </c>
      <c r="L272" s="206">
        <v>5.69</v>
      </c>
      <c r="M272" s="206">
        <v>2.4550000000000001</v>
      </c>
      <c r="N272" s="202">
        <v>427.11666666666667</v>
      </c>
      <c r="O272" s="202">
        <v>11545</v>
      </c>
      <c r="P272" s="208">
        <v>1268.5</v>
      </c>
      <c r="Q272" s="8" t="s">
        <v>19</v>
      </c>
      <c r="R272" s="191" t="s">
        <v>284</v>
      </c>
      <c r="S272" s="8" t="s">
        <v>30</v>
      </c>
      <c r="T272" s="8" t="s">
        <v>2409</v>
      </c>
      <c r="U272" s="191" t="s">
        <v>796</v>
      </c>
      <c r="W272">
        <f>COUNTIF($A$157:A272,A272)</f>
        <v>34</v>
      </c>
      <c r="X272" t="s">
        <v>2368</v>
      </c>
      <c r="Y272">
        <f t="shared" si="23"/>
        <v>304</v>
      </c>
      <c r="Z272" t="str">
        <f t="shared" si="24"/>
        <v>D-34</v>
      </c>
      <c r="AB272" t="s">
        <v>2380</v>
      </c>
      <c r="AC272" t="s">
        <v>2380</v>
      </c>
    </row>
    <row r="273" spans="1:29">
      <c r="A273" s="8" t="s">
        <v>724</v>
      </c>
      <c r="B273" s="192" t="str">
        <f>Texte!B325</f>
        <v>Impianto sanitario per edifici residenziali (SIA 2032)</v>
      </c>
      <c r="C273" s="8"/>
      <c r="D273" s="245"/>
      <c r="E273" s="8" t="s">
        <v>259</v>
      </c>
      <c r="F273" s="8" t="s">
        <v>30</v>
      </c>
      <c r="G273" s="8">
        <v>30</v>
      </c>
      <c r="H273" s="196">
        <v>1.6179000000000001</v>
      </c>
      <c r="I273" s="196">
        <v>48.2</v>
      </c>
      <c r="J273" s="196">
        <v>0.33700000000000002</v>
      </c>
      <c r="K273" s="200">
        <v>0.37866666666666671</v>
      </c>
      <c r="L273" s="206">
        <v>9.81</v>
      </c>
      <c r="M273" s="206">
        <v>1.55</v>
      </c>
      <c r="N273" s="202">
        <v>801.1</v>
      </c>
      <c r="O273" s="202">
        <v>23200</v>
      </c>
      <c r="P273" s="208">
        <v>833</v>
      </c>
      <c r="Q273" s="8" t="s">
        <v>19</v>
      </c>
      <c r="R273" s="191" t="s">
        <v>284</v>
      </c>
      <c r="S273" s="8" t="s">
        <v>30</v>
      </c>
      <c r="T273" s="8" t="s">
        <v>2409</v>
      </c>
      <c r="U273" s="191" t="s">
        <v>796</v>
      </c>
      <c r="W273">
        <f>COUNTIF($A$157:A273,A273)</f>
        <v>35</v>
      </c>
      <c r="X273" t="s">
        <v>2369</v>
      </c>
      <c r="Y273">
        <f t="shared" si="23"/>
        <v>303</v>
      </c>
      <c r="Z273" t="str">
        <f t="shared" si="24"/>
        <v>D-35</v>
      </c>
      <c r="AB273" t="s">
        <v>2380</v>
      </c>
      <c r="AC273" t="s">
        <v>2380</v>
      </c>
    </row>
    <row r="274" spans="1:29">
      <c r="A274" s="8" t="s">
        <v>724</v>
      </c>
      <c r="B274" s="192" t="str">
        <f>Texte!B321</f>
        <v>Collettori solari (SIA 2032)</v>
      </c>
      <c r="C274" s="8"/>
      <c r="D274" s="245"/>
      <c r="E274" s="8" t="s">
        <v>259</v>
      </c>
      <c r="F274" s="8" t="s">
        <v>30</v>
      </c>
      <c r="G274" s="8">
        <v>30</v>
      </c>
      <c r="H274" s="196">
        <v>23.166666666666668</v>
      </c>
      <c r="I274" s="196">
        <v>695</v>
      </c>
      <c r="J274" s="196">
        <v>0</v>
      </c>
      <c r="K274" s="200">
        <v>5.166666666666667</v>
      </c>
      <c r="L274" s="206">
        <v>155</v>
      </c>
      <c r="M274" s="206">
        <v>0</v>
      </c>
      <c r="N274" s="202">
        <v>13133.333333333334</v>
      </c>
      <c r="O274" s="202">
        <v>394000</v>
      </c>
      <c r="P274" s="208">
        <v>0</v>
      </c>
      <c r="Q274" s="8" t="s">
        <v>19</v>
      </c>
      <c r="R274" s="191" t="s">
        <v>284</v>
      </c>
      <c r="S274" s="8" t="s">
        <v>30</v>
      </c>
      <c r="T274" s="8" t="s">
        <v>2411</v>
      </c>
      <c r="U274" s="191" t="s">
        <v>796</v>
      </c>
      <c r="W274">
        <f>COUNTIF($A$157:A274,A274)</f>
        <v>36</v>
      </c>
      <c r="X274" t="s">
        <v>2370</v>
      </c>
      <c r="Y274">
        <f t="shared" si="23"/>
        <v>299</v>
      </c>
      <c r="Z274" t="str">
        <f t="shared" si="24"/>
        <v>D-36</v>
      </c>
      <c r="AB274" t="s">
        <v>2380</v>
      </c>
      <c r="AC274" t="s">
        <v>2380</v>
      </c>
    </row>
    <row r="275" spans="1:29">
      <c r="A275" s="8" t="s">
        <v>724</v>
      </c>
      <c r="B275" s="192" t="str">
        <f>Texte!B316</f>
        <v>Impianto solare (1 m2 = 0,14 kWp) (SIA 2032)</v>
      </c>
      <c r="C275" s="8"/>
      <c r="D275" s="245"/>
      <c r="E275" s="8" t="s">
        <v>259</v>
      </c>
      <c r="F275" s="8" t="s">
        <v>30</v>
      </c>
      <c r="G275" s="8">
        <v>30</v>
      </c>
      <c r="H275" s="196">
        <v>267.33333333333331</v>
      </c>
      <c r="I275" s="196">
        <v>8020</v>
      </c>
      <c r="J275" s="196">
        <v>0</v>
      </c>
      <c r="K275" s="200">
        <v>77.333333333333329</v>
      </c>
      <c r="L275" s="206">
        <v>2320</v>
      </c>
      <c r="M275" s="206">
        <v>0</v>
      </c>
      <c r="N275" s="202">
        <v>102333.33333333333</v>
      </c>
      <c r="O275" s="202">
        <v>3070000</v>
      </c>
      <c r="P275" s="208">
        <v>0</v>
      </c>
      <c r="Q275" s="8" t="s">
        <v>19</v>
      </c>
      <c r="R275" s="191" t="s">
        <v>284</v>
      </c>
      <c r="S275" s="8" t="s">
        <v>30</v>
      </c>
      <c r="T275" s="8" t="s">
        <v>2412</v>
      </c>
      <c r="U275" s="191" t="s">
        <v>796</v>
      </c>
      <c r="W275">
        <f>COUNTIF($A$157:A275,A275)</f>
        <v>37</v>
      </c>
      <c r="X275" t="s">
        <v>2371</v>
      </c>
      <c r="Y275">
        <f t="shared" si="23"/>
        <v>294</v>
      </c>
      <c r="Z275" t="str">
        <f t="shared" si="24"/>
        <v>D-37</v>
      </c>
      <c r="AB275" t="s">
        <v>2380</v>
      </c>
      <c r="AC275" t="s">
        <v>2380</v>
      </c>
    </row>
    <row r="276" spans="1:29">
      <c r="A276" s="8" t="s">
        <v>724</v>
      </c>
      <c r="B276" s="192" t="str">
        <f>Texte!B317</f>
        <v>Generazione di calore (SIA 2032)</v>
      </c>
      <c r="C276" s="8"/>
      <c r="D276" s="245"/>
      <c r="E276" s="8" t="s">
        <v>259</v>
      </c>
      <c r="F276" s="8" t="s">
        <v>30</v>
      </c>
      <c r="G276" s="8">
        <v>20</v>
      </c>
      <c r="H276" s="196">
        <v>0.34172000000000002</v>
      </c>
      <c r="I276" s="196">
        <v>6.78</v>
      </c>
      <c r="J276" s="196">
        <v>5.4399999999999997E-2</v>
      </c>
      <c r="K276" s="200">
        <v>7.6634999999999995E-2</v>
      </c>
      <c r="L276" s="206">
        <v>1.5</v>
      </c>
      <c r="M276" s="206">
        <v>3.27E-2</v>
      </c>
      <c r="N276" s="202">
        <v>179.59</v>
      </c>
      <c r="O276" s="202">
        <v>3560</v>
      </c>
      <c r="P276" s="208">
        <v>31.8</v>
      </c>
      <c r="Q276" s="8" t="s">
        <v>19</v>
      </c>
      <c r="R276" s="191" t="s">
        <v>284</v>
      </c>
      <c r="S276" s="8" t="s">
        <v>30</v>
      </c>
      <c r="T276" s="8" t="s">
        <v>2415</v>
      </c>
      <c r="U276" s="191" t="s">
        <v>796</v>
      </c>
      <c r="W276">
        <f>COUNTIF($A$157:A276,A276)</f>
        <v>38</v>
      </c>
      <c r="X276" t="s">
        <v>2372</v>
      </c>
      <c r="Y276">
        <f t="shared" si="23"/>
        <v>295</v>
      </c>
      <c r="Z276" t="str">
        <f t="shared" si="24"/>
        <v>D-38</v>
      </c>
      <c r="AB276" t="s">
        <v>2380</v>
      </c>
      <c r="AC276" t="s">
        <v>2380</v>
      </c>
    </row>
    <row r="277" spans="1:29">
      <c r="A277" s="8" t="s">
        <v>724</v>
      </c>
      <c r="B277" s="192" t="str">
        <f>Texte!B319</f>
        <v>Distribuzione del calore e emissione di calore per edifici uffici (SIA 2032)</v>
      </c>
      <c r="C277" s="8"/>
      <c r="D277" s="245"/>
      <c r="E277" s="8" t="s">
        <v>259</v>
      </c>
      <c r="F277" s="8" t="s">
        <v>30</v>
      </c>
      <c r="G277" s="8">
        <v>30</v>
      </c>
      <c r="H277" s="196">
        <v>1.8475066666666664</v>
      </c>
      <c r="I277" s="196">
        <v>52.599999999999994</v>
      </c>
      <c r="J277" s="196">
        <v>2.8252000000000002</v>
      </c>
      <c r="K277" s="200">
        <v>0.43609000000000003</v>
      </c>
      <c r="L277" s="206">
        <v>12</v>
      </c>
      <c r="M277" s="206">
        <v>1.0827</v>
      </c>
      <c r="N277" s="202">
        <v>840.26333333333321</v>
      </c>
      <c r="O277" s="202">
        <v>0</v>
      </c>
      <c r="P277" s="208">
        <v>0</v>
      </c>
      <c r="Q277" s="8" t="s">
        <v>19</v>
      </c>
      <c r="R277" s="191" t="s">
        <v>284</v>
      </c>
      <c r="S277" s="8" t="s">
        <v>30</v>
      </c>
      <c r="T277" s="8" t="s">
        <v>2413</v>
      </c>
      <c r="U277" s="191" t="s">
        <v>796</v>
      </c>
      <c r="W277">
        <f>COUNTIF($A$157:A277,A277)</f>
        <v>39</v>
      </c>
      <c r="X277" t="s">
        <v>2373</v>
      </c>
      <c r="Y277">
        <f t="shared" si="23"/>
        <v>297</v>
      </c>
      <c r="Z277" t="str">
        <f t="shared" si="24"/>
        <v>D-39</v>
      </c>
      <c r="AB277" t="s">
        <v>2380</v>
      </c>
      <c r="AC277" t="s">
        <v>2380</v>
      </c>
    </row>
    <row r="278" spans="1:29">
      <c r="A278" s="8" t="s">
        <v>724</v>
      </c>
      <c r="B278" s="192" t="str">
        <f>Texte!B318</f>
        <v>Distribuzione del calore e emissione di calore per edifici residenziali (SIA 2032)</v>
      </c>
      <c r="C278" s="8"/>
      <c r="D278" s="245"/>
      <c r="E278" s="8" t="s">
        <v>259</v>
      </c>
      <c r="F278" s="8" t="s">
        <v>30</v>
      </c>
      <c r="G278" s="8">
        <v>30</v>
      </c>
      <c r="H278" s="196">
        <v>1.2207233333333334</v>
      </c>
      <c r="I278" s="196">
        <v>34.200000000000003</v>
      </c>
      <c r="J278" s="196">
        <v>2.4217</v>
      </c>
      <c r="K278" s="200">
        <v>0.27080000000000004</v>
      </c>
      <c r="L278" s="206">
        <v>5.41</v>
      </c>
      <c r="M278" s="206">
        <v>2.714</v>
      </c>
      <c r="N278" s="202">
        <v>317.13333333333333</v>
      </c>
      <c r="O278" s="202">
        <v>0</v>
      </c>
      <c r="P278" s="208">
        <v>0</v>
      </c>
      <c r="Q278" s="8" t="s">
        <v>19</v>
      </c>
      <c r="R278" s="191" t="s">
        <v>284</v>
      </c>
      <c r="S278" s="8" t="s">
        <v>30</v>
      </c>
      <c r="T278" s="8" t="s">
        <v>2413</v>
      </c>
      <c r="U278" s="191" t="s">
        <v>796</v>
      </c>
      <c r="W278">
        <f>COUNTIF($A$157:A278,A278)</f>
        <v>40</v>
      </c>
      <c r="X278" t="s">
        <v>2374</v>
      </c>
      <c r="Y278">
        <f t="shared" si="23"/>
        <v>296</v>
      </c>
      <c r="Z278" t="str">
        <f t="shared" si="24"/>
        <v>D-40</v>
      </c>
      <c r="AB278" t="s">
        <v>2380</v>
      </c>
      <c r="AC278" t="s">
        <v>2380</v>
      </c>
    </row>
    <row r="279" spans="1:29">
      <c r="A279" s="191" t="s">
        <v>725</v>
      </c>
      <c r="B279" s="192" t="str">
        <f>Texte!B265</f>
        <v>Finestra in alluminio triplo vetro (BTK)</v>
      </c>
      <c r="C279" s="191" t="s">
        <v>629</v>
      </c>
      <c r="D279" s="248" t="s">
        <v>628</v>
      </c>
      <c r="E279" s="191" t="s">
        <v>255</v>
      </c>
      <c r="F279" s="191" t="s">
        <v>30</v>
      </c>
      <c r="G279" s="193">
        <f>(I279+J279)/H279</f>
        <v>30</v>
      </c>
      <c r="H279" s="195">
        <v>23.058333333333334</v>
      </c>
      <c r="I279" s="195">
        <v>689.83333333333337</v>
      </c>
      <c r="J279" s="195">
        <v>1.9166666666666667</v>
      </c>
      <c r="K279" s="199">
        <v>5.63</v>
      </c>
      <c r="L279" s="199">
        <v>167.12</v>
      </c>
      <c r="M279" s="199">
        <v>1.86</v>
      </c>
      <c r="N279" s="202">
        <v>5772</v>
      </c>
      <c r="O279" s="202">
        <v>169140</v>
      </c>
      <c r="P279" s="202">
        <v>4028</v>
      </c>
      <c r="Q279" s="191" t="s">
        <v>20</v>
      </c>
      <c r="R279" s="191"/>
      <c r="S279" s="8" t="s">
        <v>30</v>
      </c>
      <c r="T279" s="8" t="s">
        <v>368</v>
      </c>
      <c r="U279" s="191" t="s">
        <v>686</v>
      </c>
      <c r="W279">
        <f>COUNTIF($A$157:A279,A279)</f>
        <v>1</v>
      </c>
      <c r="X279" t="s">
        <v>2348</v>
      </c>
      <c r="Y279">
        <f t="shared" si="23"/>
        <v>243</v>
      </c>
      <c r="Z279" t="str">
        <f t="shared" si="24"/>
        <v>E3-1</v>
      </c>
      <c r="AB279" t="s">
        <v>2380</v>
      </c>
      <c r="AC279" t="s">
        <v>2380</v>
      </c>
    </row>
    <row r="280" spans="1:29">
      <c r="A280" s="191" t="s">
        <v>725</v>
      </c>
      <c r="B280" s="192" t="str">
        <f>Texte!B266</f>
        <v>Porta esterna in legno (BTK)</v>
      </c>
      <c r="C280" s="191" t="s">
        <v>630</v>
      </c>
      <c r="D280" s="248" t="s">
        <v>631</v>
      </c>
      <c r="E280" s="191" t="s">
        <v>255</v>
      </c>
      <c r="F280" s="191" t="s">
        <v>30</v>
      </c>
      <c r="G280" s="193">
        <f>(I280+J280)/H280</f>
        <v>30.003319318433284</v>
      </c>
      <c r="H280" s="195">
        <v>25.105555555555554</v>
      </c>
      <c r="I280" s="195">
        <v>735</v>
      </c>
      <c r="J280" s="195">
        <v>18.25</v>
      </c>
      <c r="K280" s="199">
        <v>6.21</v>
      </c>
      <c r="L280" s="199">
        <v>179.75</v>
      </c>
      <c r="M280" s="199">
        <v>6.56</v>
      </c>
      <c r="N280" s="202">
        <v>11526</v>
      </c>
      <c r="O280" s="202">
        <v>300243</v>
      </c>
      <c r="P280" s="202">
        <v>45528</v>
      </c>
      <c r="Q280" s="191" t="s">
        <v>20</v>
      </c>
      <c r="R280" s="191"/>
      <c r="S280" s="8" t="s">
        <v>30</v>
      </c>
      <c r="T280" s="8" t="s">
        <v>368</v>
      </c>
      <c r="U280" s="191" t="s">
        <v>686</v>
      </c>
      <c r="W280">
        <f>COUNTIF($A$157:A280,A280)</f>
        <v>2</v>
      </c>
      <c r="X280" t="s">
        <v>2349</v>
      </c>
      <c r="Y280">
        <f t="shared" si="23"/>
        <v>244</v>
      </c>
      <c r="Z280" t="str">
        <f t="shared" si="24"/>
        <v>E3-2</v>
      </c>
      <c r="AB280" t="s">
        <v>2380</v>
      </c>
      <c r="AC280" t="s">
        <v>2380</v>
      </c>
    </row>
    <row r="281" spans="1:29">
      <c r="A281" s="191" t="s">
        <v>725</v>
      </c>
      <c r="B281" s="192" t="str">
        <f>Texte!B267</f>
        <v>Finestra in legno triplo vetro (BTK)</v>
      </c>
      <c r="C281" s="191" t="s">
        <v>623</v>
      </c>
      <c r="D281" s="248" t="s">
        <v>622</v>
      </c>
      <c r="E281" s="191" t="s">
        <v>255</v>
      </c>
      <c r="F281" s="191" t="s">
        <v>30</v>
      </c>
      <c r="G281" s="193">
        <f>(I281+J281)/H281</f>
        <v>30</v>
      </c>
      <c r="H281" s="195">
        <v>11.605555555555556</v>
      </c>
      <c r="I281" s="195">
        <v>344.27777777777777</v>
      </c>
      <c r="J281" s="195">
        <v>3.8888888888888888</v>
      </c>
      <c r="K281" s="199">
        <v>2.76</v>
      </c>
      <c r="L281" s="199">
        <v>75.94</v>
      </c>
      <c r="M281" s="199">
        <v>6.75</v>
      </c>
      <c r="N281" s="202">
        <v>3769</v>
      </c>
      <c r="O281" s="202">
        <v>92963</v>
      </c>
      <c r="P281" s="202">
        <v>20111</v>
      </c>
      <c r="Q281" s="191" t="s">
        <v>20</v>
      </c>
      <c r="R281" s="191"/>
      <c r="S281" s="8" t="s">
        <v>30</v>
      </c>
      <c r="T281" s="8" t="s">
        <v>368</v>
      </c>
      <c r="U281" s="191" t="s">
        <v>686</v>
      </c>
      <c r="W281">
        <f>COUNTIF($A$157:A281,A281)</f>
        <v>3</v>
      </c>
      <c r="X281" t="s">
        <v>2350</v>
      </c>
      <c r="Y281">
        <f t="shared" si="23"/>
        <v>245</v>
      </c>
      <c r="Z281" t="str">
        <f t="shared" si="24"/>
        <v>E3-3</v>
      </c>
      <c r="AB281" t="s">
        <v>2380</v>
      </c>
      <c r="AC281" t="s">
        <v>2380</v>
      </c>
    </row>
    <row r="282" spans="1:29">
      <c r="A282" s="191" t="s">
        <v>725</v>
      </c>
      <c r="B282" s="192" t="str">
        <f>Texte!B268</f>
        <v>Finestra legno-metallo vetro triplo (BTK)</v>
      </c>
      <c r="C282" s="191" t="s">
        <v>624</v>
      </c>
      <c r="D282" s="248" t="s">
        <v>625</v>
      </c>
      <c r="E282" s="191" t="s">
        <v>255</v>
      </c>
      <c r="F282" s="191" t="s">
        <v>30</v>
      </c>
      <c r="G282" s="193">
        <f>(I282+J282)/H282</f>
        <v>30</v>
      </c>
      <c r="H282" s="195">
        <v>15.43611111111111</v>
      </c>
      <c r="I282" s="195">
        <v>459.25</v>
      </c>
      <c r="J282" s="195">
        <v>3.8333333333333335</v>
      </c>
      <c r="K282" s="199">
        <v>3.79</v>
      </c>
      <c r="L282" s="199">
        <v>105.29</v>
      </c>
      <c r="M282" s="199">
        <v>8.2899999999999991</v>
      </c>
      <c r="N282" s="202">
        <v>4758</v>
      </c>
      <c r="O282" s="202">
        <v>123164</v>
      </c>
      <c r="P282" s="202">
        <v>19581</v>
      </c>
      <c r="Q282" s="191" t="s">
        <v>20</v>
      </c>
      <c r="R282" s="191"/>
      <c r="S282" s="8" t="s">
        <v>30</v>
      </c>
      <c r="T282" s="8" t="s">
        <v>368</v>
      </c>
      <c r="U282" s="191" t="s">
        <v>686</v>
      </c>
      <c r="W282">
        <f>COUNTIF($A$157:A282,A282)</f>
        <v>4</v>
      </c>
      <c r="X282" t="s">
        <v>2351</v>
      </c>
      <c r="Y282">
        <f t="shared" si="23"/>
        <v>246</v>
      </c>
      <c r="Z282" t="str">
        <f t="shared" si="24"/>
        <v>E3-4</v>
      </c>
      <c r="AB282" t="s">
        <v>2380</v>
      </c>
      <c r="AC282" t="s">
        <v>2380</v>
      </c>
    </row>
    <row r="283" spans="1:29">
      <c r="A283" s="191" t="s">
        <v>725</v>
      </c>
      <c r="B283" s="192" t="str">
        <f>Texte!B269</f>
        <v>Finestra in plastica vetro triplo (BTK)</v>
      </c>
      <c r="C283" s="191" t="s">
        <v>627</v>
      </c>
      <c r="D283" s="248" t="s">
        <v>626</v>
      </c>
      <c r="E283" s="191" t="s">
        <v>255</v>
      </c>
      <c r="F283" s="191" t="s">
        <v>30</v>
      </c>
      <c r="G283" s="193">
        <f>(I283+J283)/H283</f>
        <v>30.000000000000004</v>
      </c>
      <c r="H283" s="195">
        <v>20.886111111111109</v>
      </c>
      <c r="I283" s="195">
        <v>577.55555555555554</v>
      </c>
      <c r="J283" s="195">
        <v>49.027777777777779</v>
      </c>
      <c r="K283" s="199">
        <v>4.68</v>
      </c>
      <c r="L283" s="199">
        <v>105.05</v>
      </c>
      <c r="M283" s="199">
        <v>35.39</v>
      </c>
      <c r="N283" s="202">
        <v>5579</v>
      </c>
      <c r="O283" s="202">
        <v>130268</v>
      </c>
      <c r="P283" s="202">
        <v>37116</v>
      </c>
      <c r="Q283" s="191" t="s">
        <v>20</v>
      </c>
      <c r="R283" s="191"/>
      <c r="S283" s="8" t="s">
        <v>30</v>
      </c>
      <c r="T283" s="8" t="s">
        <v>368</v>
      </c>
      <c r="U283" s="191" t="s">
        <v>686</v>
      </c>
      <c r="W283">
        <f>COUNTIF($A$157:A283,A283)</f>
        <v>5</v>
      </c>
      <c r="X283" t="s">
        <v>2352</v>
      </c>
      <c r="Y283">
        <f t="shared" si="23"/>
        <v>247</v>
      </c>
      <c r="Z283" t="str">
        <f t="shared" si="24"/>
        <v>E3-5</v>
      </c>
      <c r="AB283" t="s">
        <v>2380</v>
      </c>
      <c r="AC283" t="s">
        <v>2380</v>
      </c>
    </row>
    <row r="284" spans="1:29">
      <c r="A284" s="8" t="s">
        <v>725</v>
      </c>
      <c r="B284" s="192" t="str">
        <f>Texte!B298</f>
        <v>Finestra, valore media, 3 volte IV, incl. protezione solare (SIA 2032)</v>
      </c>
      <c r="C284" s="8"/>
      <c r="D284" s="245"/>
      <c r="E284" s="8" t="s">
        <v>255</v>
      </c>
      <c r="F284" s="8" t="s">
        <v>30</v>
      </c>
      <c r="G284" s="8">
        <v>30</v>
      </c>
      <c r="H284" s="196">
        <v>22.50500666666667</v>
      </c>
      <c r="I284" s="196">
        <v>671.48</v>
      </c>
      <c r="J284" s="196">
        <v>3.6702000000000004</v>
      </c>
      <c r="K284" s="200">
        <v>5.2411599999999998</v>
      </c>
      <c r="L284" s="206">
        <v>145.666</v>
      </c>
      <c r="M284" s="206">
        <v>11.5688</v>
      </c>
      <c r="N284" s="202">
        <v>7963.1333333333332</v>
      </c>
      <c r="O284" s="202">
        <v>231522</v>
      </c>
      <c r="P284" s="208">
        <v>7372</v>
      </c>
      <c r="Q284" s="8" t="s">
        <v>19</v>
      </c>
      <c r="R284" s="8"/>
      <c r="S284" s="8" t="s">
        <v>30</v>
      </c>
      <c r="T284" s="8" t="s">
        <v>368</v>
      </c>
      <c r="U284" s="191" t="s">
        <v>796</v>
      </c>
      <c r="W284">
        <f>COUNTIF($A$157:A284,A284)</f>
        <v>6</v>
      </c>
      <c r="X284" t="s">
        <v>2375</v>
      </c>
      <c r="Y284">
        <f t="shared" si="23"/>
        <v>276</v>
      </c>
      <c r="Z284" t="str">
        <f t="shared" si="24"/>
        <v>E3-6</v>
      </c>
      <c r="AB284" t="s">
        <v>2380</v>
      </c>
      <c r="AC284" t="s">
        <v>2380</v>
      </c>
    </row>
    <row r="285" spans="1:29">
      <c r="A285" s="8" t="s">
        <v>1708</v>
      </c>
      <c r="B285" s="192" t="str">
        <f>Texte!B312</f>
        <v>Soffitto di installazione sospesa (valore medio) (SIA 2032)</v>
      </c>
      <c r="C285" s="8"/>
      <c r="D285" s="245"/>
      <c r="E285" s="8" t="s">
        <v>255</v>
      </c>
      <c r="F285" s="8" t="s">
        <v>30</v>
      </c>
      <c r="G285" s="8">
        <v>30</v>
      </c>
      <c r="H285" s="196">
        <v>2.7915743333333336</v>
      </c>
      <c r="I285" s="196">
        <v>82.939599999999999</v>
      </c>
      <c r="J285" s="196">
        <v>0.80763000000000018</v>
      </c>
      <c r="K285" s="200">
        <v>0.61595754999999996</v>
      </c>
      <c r="L285" s="206">
        <v>17.9101</v>
      </c>
      <c r="M285" s="206">
        <v>0.56862649999999992</v>
      </c>
      <c r="N285" s="202">
        <v>1607.7015833333332</v>
      </c>
      <c r="O285" s="202">
        <v>47732.324999999997</v>
      </c>
      <c r="P285" s="208">
        <v>498.72249999999997</v>
      </c>
      <c r="Q285" s="8" t="s">
        <v>19</v>
      </c>
      <c r="R285" s="8"/>
      <c r="S285" s="8" t="s">
        <v>30</v>
      </c>
      <c r="T285" s="8" t="s">
        <v>368</v>
      </c>
      <c r="U285" s="191" t="s">
        <v>796</v>
      </c>
      <c r="W285">
        <f>COUNTIF($A$157:A285,A285)</f>
        <v>1</v>
      </c>
      <c r="X285" t="s">
        <v>2376</v>
      </c>
      <c r="Y285">
        <f t="shared" si="23"/>
        <v>290</v>
      </c>
      <c r="Z285" t="str">
        <f t="shared" si="24"/>
        <v>G-1</v>
      </c>
      <c r="AB285" t="s">
        <v>2380</v>
      </c>
      <c r="AC285" t="s">
        <v>2380</v>
      </c>
    </row>
    <row r="286" spans="1:29">
      <c r="A286" s="8" t="s">
        <v>1708</v>
      </c>
      <c r="B286" s="192" t="str">
        <f>Texte!B311</f>
        <v>Isolamento contro i non riscaldati (SIA 2032)</v>
      </c>
      <c r="C286" s="8"/>
      <c r="D286" s="245"/>
      <c r="E286" s="8" t="s">
        <v>255</v>
      </c>
      <c r="F286" s="8" t="s">
        <v>30</v>
      </c>
      <c r="G286" s="8">
        <v>30</v>
      </c>
      <c r="H286" s="196">
        <v>1.6792249999999997</v>
      </c>
      <c r="I286" s="196">
        <v>49.949999999999996</v>
      </c>
      <c r="J286" s="196">
        <v>0.42675000000000002</v>
      </c>
      <c r="K286" s="200">
        <v>0.25364800000000004</v>
      </c>
      <c r="L286" s="206">
        <v>7.1625000000000005</v>
      </c>
      <c r="M286" s="206">
        <v>0.44694</v>
      </c>
      <c r="N286" s="202">
        <v>356.21</v>
      </c>
      <c r="O286" s="202">
        <v>10303.5</v>
      </c>
      <c r="P286" s="208">
        <v>382.8</v>
      </c>
      <c r="Q286" s="8" t="s">
        <v>20</v>
      </c>
      <c r="R286" s="8"/>
      <c r="S286" s="8" t="s">
        <v>30</v>
      </c>
      <c r="T286" s="8" t="s">
        <v>368</v>
      </c>
      <c r="U286" s="191" t="s">
        <v>796</v>
      </c>
      <c r="W286">
        <f>COUNTIF($A$157:A286,A286)</f>
        <v>2</v>
      </c>
      <c r="X286" t="s">
        <v>2377</v>
      </c>
      <c r="Y286">
        <f t="shared" ref="Y286:Y288" si="32">IFERROR(RIGHT(X286,3)*1,"")</f>
        <v>289</v>
      </c>
      <c r="Z286" t="str">
        <f t="shared" ref="Z286:Z288" si="33">IF(Y286&lt;&gt;"",RIGHT(A286,LEN(A286)-SEARCH("_",A286,3))&amp;"-"&amp;W286,"")</f>
        <v>G-2</v>
      </c>
      <c r="AB286" t="s">
        <v>2380</v>
      </c>
      <c r="AC286" t="s">
        <v>2380</v>
      </c>
    </row>
    <row r="287" spans="1:29">
      <c r="A287" s="8" t="s">
        <v>1708</v>
      </c>
      <c r="B287" s="192" t="str">
        <f>Texte!B309</f>
        <v>Pavimento finito (senza sottostruttura) (SIA 2032)</v>
      </c>
      <c r="C287" s="8"/>
      <c r="D287" s="245"/>
      <c r="E287" s="8" t="s">
        <v>255</v>
      </c>
      <c r="F287" s="8" t="s">
        <v>30</v>
      </c>
      <c r="G287" s="8">
        <v>30</v>
      </c>
      <c r="H287" s="196">
        <v>1.7676700000000001</v>
      </c>
      <c r="I287" s="196">
        <v>52.56</v>
      </c>
      <c r="J287" s="196">
        <v>0.47009999999999996</v>
      </c>
      <c r="K287" s="200">
        <v>0.36997333333333338</v>
      </c>
      <c r="L287" s="206">
        <v>9.902000000000001</v>
      </c>
      <c r="M287" s="206">
        <v>1.1972</v>
      </c>
      <c r="N287" s="202">
        <v>542.87666666666667</v>
      </c>
      <c r="O287" s="202">
        <v>15490</v>
      </c>
      <c r="P287" s="208">
        <v>796.3</v>
      </c>
      <c r="Q287" s="8" t="s">
        <v>19</v>
      </c>
      <c r="R287" s="8"/>
      <c r="S287" s="8" t="s">
        <v>30</v>
      </c>
      <c r="T287" s="8" t="s">
        <v>368</v>
      </c>
      <c r="U287" s="191" t="s">
        <v>796</v>
      </c>
      <c r="W287">
        <f>COUNTIF($A$157:A287,A287)</f>
        <v>3</v>
      </c>
      <c r="X287" t="s">
        <v>2378</v>
      </c>
      <c r="Y287">
        <f t="shared" si="32"/>
        <v>287</v>
      </c>
      <c r="Z287" t="str">
        <f t="shared" si="33"/>
        <v>G-3</v>
      </c>
      <c r="AB287" t="s">
        <v>2380</v>
      </c>
      <c r="AC287" t="s">
        <v>2380</v>
      </c>
    </row>
    <row r="288" spans="1:29">
      <c r="A288" s="8" t="s">
        <v>1708</v>
      </c>
      <c r="B288" s="192" t="str">
        <f>Texte!B310</f>
        <v>Sottostruttura e rivestimento del pavimento (SIA 2032)</v>
      </c>
      <c r="C288" s="8"/>
      <c r="D288" s="245"/>
      <c r="E288" s="8" t="s">
        <v>255</v>
      </c>
      <c r="F288" s="8" t="s">
        <v>30</v>
      </c>
      <c r="G288" s="8">
        <v>30</v>
      </c>
      <c r="H288" s="196">
        <v>4.1257659999999996</v>
      </c>
      <c r="I288" s="196">
        <v>116.4435</v>
      </c>
      <c r="J288" s="196">
        <v>7.3294800000000002</v>
      </c>
      <c r="K288" s="200">
        <v>1.1985903333333334</v>
      </c>
      <c r="L288" s="206">
        <v>32.753599999999999</v>
      </c>
      <c r="M288" s="206">
        <v>3.20411</v>
      </c>
      <c r="N288" s="202">
        <v>1786.2850000000001</v>
      </c>
      <c r="O288" s="202">
        <v>48925.599999999999</v>
      </c>
      <c r="P288" s="208">
        <v>4662.9500000000007</v>
      </c>
      <c r="Q288" s="8" t="s">
        <v>19</v>
      </c>
      <c r="R288" s="8"/>
      <c r="S288" s="8" t="s">
        <v>30</v>
      </c>
      <c r="T288" s="8" t="s">
        <v>368</v>
      </c>
      <c r="U288" s="191" t="s">
        <v>796</v>
      </c>
      <c r="W288">
        <f>COUNTIF($A$157:A288,A288)</f>
        <v>4</v>
      </c>
      <c r="X288" t="s">
        <v>2379</v>
      </c>
      <c r="Y288">
        <f t="shared" si="32"/>
        <v>288</v>
      </c>
      <c r="Z288" t="str">
        <f t="shared" si="33"/>
        <v>G-4</v>
      </c>
      <c r="AB288" t="s">
        <v>2380</v>
      </c>
      <c r="AC288" t="s">
        <v>2380</v>
      </c>
    </row>
    <row r="289" spans="1:17">
      <c r="A289" s="8"/>
      <c r="B289" s="8"/>
      <c r="C289" s="8"/>
      <c r="D289" s="8"/>
      <c r="E289" s="8"/>
      <c r="F289" s="8"/>
      <c r="G289" s="8"/>
      <c r="H289" s="8"/>
      <c r="I289" s="8"/>
      <c r="J289" s="8"/>
      <c r="K289" s="8"/>
      <c r="L289" s="8"/>
      <c r="Q289" s="8"/>
    </row>
    <row r="290" spans="1:17">
      <c r="A290" s="8"/>
      <c r="B290" s="8"/>
      <c r="C290" s="8"/>
      <c r="D290" s="8"/>
      <c r="E290" s="8"/>
      <c r="F290" s="8"/>
      <c r="G290" s="8"/>
      <c r="H290" s="8"/>
      <c r="I290" s="8"/>
      <c r="J290" s="8"/>
      <c r="K290" s="8"/>
      <c r="L290" s="8"/>
      <c r="Q290" s="8"/>
    </row>
    <row r="291" spans="1:17">
      <c r="A291" s="8"/>
      <c r="B291" s="8"/>
      <c r="C291" s="8"/>
      <c r="D291" s="8"/>
      <c r="E291" s="8"/>
      <c r="F291" s="8"/>
      <c r="G291" s="8"/>
      <c r="H291" s="8"/>
      <c r="I291" s="8"/>
      <c r="J291" s="8"/>
      <c r="K291" s="8"/>
      <c r="L291" s="8"/>
      <c r="Q291" s="8"/>
    </row>
    <row r="292" spans="1:17">
      <c r="A292" s="8"/>
      <c r="B292" s="8"/>
      <c r="C292" s="8"/>
      <c r="D292" s="8"/>
      <c r="E292" s="8"/>
      <c r="F292" s="8"/>
      <c r="G292" s="8"/>
      <c r="H292" s="8"/>
      <c r="I292" s="8"/>
      <c r="J292" s="8"/>
      <c r="K292" s="8"/>
      <c r="L292" s="8"/>
      <c r="Q292" s="8"/>
    </row>
    <row r="293" spans="1:17">
      <c r="A293" s="8"/>
      <c r="B293" s="8"/>
      <c r="C293" s="8"/>
      <c r="D293" s="8"/>
      <c r="E293" s="8"/>
      <c r="F293" s="8"/>
      <c r="G293" s="8"/>
      <c r="H293" s="8"/>
      <c r="I293" s="8"/>
      <c r="J293" s="8"/>
      <c r="K293" s="8"/>
      <c r="L293" s="8"/>
      <c r="Q293" s="8"/>
    </row>
    <row r="294" spans="1:17">
      <c r="A294" s="8"/>
      <c r="B294" s="8"/>
      <c r="C294" s="8"/>
      <c r="D294" s="8"/>
      <c r="E294" s="8"/>
      <c r="F294" s="8"/>
      <c r="G294" s="8"/>
      <c r="H294" s="8"/>
      <c r="I294" s="8"/>
      <c r="J294" s="8"/>
      <c r="K294" s="8"/>
      <c r="L294" s="8"/>
      <c r="Q294" s="8"/>
    </row>
    <row r="295" spans="1:17">
      <c r="A295" s="8"/>
      <c r="B295" s="8"/>
      <c r="C295" s="8"/>
      <c r="D295" s="8"/>
      <c r="E295" s="8"/>
      <c r="F295" s="8"/>
      <c r="G295" s="8"/>
      <c r="H295" s="8"/>
      <c r="I295" s="8"/>
      <c r="J295" s="8"/>
      <c r="K295" s="8"/>
      <c r="L295" s="8"/>
      <c r="Q295" s="8"/>
    </row>
    <row r="296" spans="1:17">
      <c r="A296" s="8"/>
      <c r="B296" s="8"/>
      <c r="C296" s="8"/>
      <c r="D296" s="8"/>
      <c r="E296" s="8"/>
      <c r="F296" s="8"/>
      <c r="G296" s="8"/>
      <c r="H296" s="8"/>
      <c r="I296" s="8"/>
      <c r="J296" s="8"/>
      <c r="K296" s="8"/>
      <c r="L296" s="8"/>
      <c r="Q296" s="8"/>
    </row>
    <row r="297" spans="1:17">
      <c r="A297" s="8"/>
      <c r="B297" s="8"/>
      <c r="C297" s="8"/>
      <c r="D297" s="8"/>
      <c r="E297" s="8"/>
      <c r="F297" s="8"/>
      <c r="G297" s="8"/>
      <c r="H297" s="8"/>
      <c r="I297" s="8"/>
      <c r="J297" s="8"/>
      <c r="K297" s="8"/>
      <c r="L297" s="8"/>
      <c r="Q297" s="8"/>
    </row>
    <row r="298" spans="1:17">
      <c r="A298" s="8"/>
      <c r="B298" s="8"/>
      <c r="C298" s="8"/>
      <c r="D298" s="8"/>
      <c r="E298" s="8"/>
      <c r="F298" s="8"/>
      <c r="G298" s="8"/>
      <c r="H298" s="8"/>
      <c r="I298" s="8"/>
      <c r="J298" s="8"/>
      <c r="K298" s="8"/>
      <c r="L298" s="8"/>
      <c r="Q298" s="8"/>
    </row>
    <row r="299" spans="1:17">
      <c r="A299" s="8"/>
      <c r="B299" s="8"/>
      <c r="C299" s="8"/>
      <c r="D299" s="8"/>
      <c r="E299" s="8"/>
      <c r="F299" s="8"/>
      <c r="G299" s="8"/>
      <c r="H299" s="8"/>
      <c r="I299" s="8"/>
      <c r="J299" s="8"/>
      <c r="K299" s="8"/>
      <c r="L299" s="8"/>
      <c r="Q299" s="8"/>
    </row>
    <row r="300" spans="1:17">
      <c r="A300" s="8"/>
      <c r="B300" s="8"/>
      <c r="C300" s="8"/>
      <c r="D300" s="8"/>
      <c r="E300" s="8"/>
      <c r="F300" s="8"/>
      <c r="G300" s="8"/>
      <c r="H300" s="8"/>
      <c r="I300" s="8"/>
      <c r="J300" s="8"/>
      <c r="K300" s="8"/>
      <c r="L300" s="8"/>
      <c r="Q300" s="8"/>
    </row>
    <row r="301" spans="1:17">
      <c r="A301" s="8"/>
      <c r="B301" s="8"/>
      <c r="C301" s="8"/>
      <c r="D301" s="8"/>
      <c r="E301" s="8"/>
      <c r="F301" s="8"/>
      <c r="G301" s="8"/>
      <c r="H301" s="8"/>
      <c r="I301" s="8"/>
      <c r="J301" s="8"/>
      <c r="K301" s="8"/>
      <c r="L301" s="8"/>
      <c r="Q301" s="8"/>
    </row>
    <row r="302" spans="1:17">
      <c r="A302" s="8"/>
      <c r="B302" s="8"/>
      <c r="C302" s="8"/>
      <c r="D302" s="8"/>
      <c r="E302" s="8"/>
      <c r="F302" s="8"/>
      <c r="G302" s="8"/>
      <c r="H302" s="8"/>
      <c r="I302" s="8"/>
      <c r="J302" s="8"/>
      <c r="K302" s="8"/>
      <c r="L302" s="8"/>
      <c r="Q302" s="8"/>
    </row>
    <row r="303" spans="1:17">
      <c r="A303" s="8"/>
      <c r="B303" s="8"/>
      <c r="C303" s="8"/>
      <c r="D303" s="8"/>
      <c r="E303" s="8"/>
      <c r="F303" s="8"/>
      <c r="G303" s="8"/>
      <c r="H303" s="8"/>
      <c r="I303" s="8"/>
      <c r="J303" s="8"/>
      <c r="K303" s="8"/>
      <c r="L303" s="8"/>
      <c r="Q303" s="8"/>
    </row>
    <row r="304" spans="1:17">
      <c r="A304" s="8"/>
      <c r="B304" s="8"/>
      <c r="C304" s="8"/>
      <c r="D304" s="8"/>
      <c r="E304" s="8"/>
      <c r="F304" s="8"/>
      <c r="G304" s="8"/>
      <c r="H304" s="8"/>
      <c r="I304" s="8"/>
      <c r="J304" s="8"/>
      <c r="K304" s="8"/>
      <c r="L304" s="8"/>
      <c r="Q304" s="8"/>
    </row>
    <row r="305" spans="1:17">
      <c r="A305" s="8"/>
      <c r="B305" s="8"/>
      <c r="C305" s="8"/>
      <c r="D305" s="8"/>
      <c r="E305" s="8"/>
      <c r="F305" s="8"/>
      <c r="G305" s="8"/>
      <c r="H305" s="8"/>
      <c r="I305" s="8"/>
      <c r="J305" s="8"/>
      <c r="K305" s="8"/>
      <c r="L305" s="8"/>
      <c r="Q305" s="8"/>
    </row>
    <row r="306" spans="1:17">
      <c r="A306" s="8"/>
      <c r="B306" s="8"/>
      <c r="C306" s="8"/>
      <c r="D306" s="8"/>
      <c r="E306" s="8"/>
      <c r="F306" s="8"/>
      <c r="G306" s="8"/>
      <c r="H306" s="8"/>
      <c r="I306" s="8"/>
      <c r="J306" s="8"/>
      <c r="K306" s="8"/>
      <c r="L306" s="8"/>
      <c r="Q306" s="8"/>
    </row>
    <row r="307" spans="1:17">
      <c r="A307" s="8"/>
      <c r="B307" s="8"/>
      <c r="C307" s="8"/>
      <c r="D307" s="8"/>
      <c r="E307" s="8"/>
      <c r="F307" s="8"/>
      <c r="G307" s="8"/>
      <c r="H307" s="8"/>
      <c r="I307" s="8"/>
      <c r="J307" s="8"/>
      <c r="K307" s="8"/>
      <c r="L307" s="8"/>
      <c r="Q307" s="8"/>
    </row>
    <row r="308" spans="1:17">
      <c r="A308" s="8"/>
      <c r="B308" s="8"/>
      <c r="C308" s="8"/>
      <c r="D308" s="8"/>
      <c r="E308" s="8"/>
      <c r="F308" s="8"/>
      <c r="G308" s="8"/>
      <c r="H308" s="8"/>
      <c r="I308" s="8"/>
      <c r="J308" s="8"/>
      <c r="K308" s="8"/>
      <c r="L308" s="8"/>
      <c r="Q308" s="8"/>
    </row>
    <row r="309" spans="1:17">
      <c r="A309" s="8"/>
      <c r="B309" s="8"/>
      <c r="C309" s="8"/>
      <c r="D309" s="8"/>
      <c r="E309" s="8"/>
      <c r="F309" s="8"/>
      <c r="G309" s="8"/>
      <c r="H309" s="8"/>
      <c r="I309" s="8"/>
      <c r="J309" s="8"/>
      <c r="K309" s="8"/>
      <c r="L309" s="8"/>
      <c r="Q309" s="8"/>
    </row>
    <row r="310" spans="1:17">
      <c r="A310" s="8"/>
      <c r="B310" s="8"/>
      <c r="C310" s="8"/>
      <c r="D310" s="8"/>
      <c r="E310" s="8"/>
      <c r="F310" s="8"/>
      <c r="G310" s="8"/>
      <c r="H310" s="8"/>
      <c r="I310" s="8"/>
      <c r="J310" s="8"/>
      <c r="K310" s="8"/>
      <c r="L310" s="8"/>
      <c r="Q310" s="8"/>
    </row>
    <row r="311" spans="1:17">
      <c r="A311" s="8"/>
      <c r="B311" s="8"/>
      <c r="C311" s="8"/>
      <c r="D311" s="8"/>
      <c r="E311" s="8"/>
      <c r="F311" s="8"/>
      <c r="G311" s="8"/>
      <c r="H311" s="8"/>
      <c r="I311" s="8"/>
      <c r="J311" s="8"/>
      <c r="K311" s="8"/>
      <c r="L311" s="8"/>
      <c r="Q311" s="8"/>
    </row>
    <row r="312" spans="1:17">
      <c r="A312" s="8"/>
      <c r="B312" s="8"/>
      <c r="C312" s="8"/>
      <c r="D312" s="8"/>
      <c r="E312" s="8"/>
      <c r="F312" s="8"/>
      <c r="G312" s="8"/>
      <c r="H312" s="8"/>
      <c r="I312" s="8"/>
      <c r="J312" s="8"/>
      <c r="K312" s="8"/>
      <c r="L312" s="8"/>
      <c r="Q312" s="8"/>
    </row>
    <row r="313" spans="1:17">
      <c r="A313" s="8"/>
      <c r="B313" s="8"/>
      <c r="C313" s="8"/>
      <c r="D313" s="8"/>
      <c r="E313" s="8"/>
      <c r="F313" s="8"/>
      <c r="G313" s="8"/>
      <c r="H313" s="8"/>
      <c r="I313" s="8"/>
      <c r="J313" s="8"/>
      <c r="K313" s="8"/>
      <c r="L313" s="8"/>
      <c r="Q313" s="8"/>
    </row>
    <row r="314" spans="1:17">
      <c r="A314" s="8"/>
      <c r="B314" s="8"/>
      <c r="C314" s="8"/>
      <c r="D314" s="8"/>
      <c r="E314" s="8"/>
      <c r="F314" s="8"/>
      <c r="G314" s="8"/>
      <c r="H314" s="8"/>
      <c r="I314" s="8"/>
      <c r="J314" s="8"/>
      <c r="K314" s="8"/>
      <c r="L314" s="8"/>
      <c r="Q314" s="8"/>
    </row>
    <row r="315" spans="1:17">
      <c r="A315" s="8"/>
      <c r="B315" s="8"/>
      <c r="C315" s="8"/>
      <c r="D315" s="8"/>
      <c r="E315" s="8"/>
      <c r="F315" s="8"/>
      <c r="G315" s="8"/>
      <c r="H315" s="8"/>
      <c r="I315" s="8"/>
      <c r="J315" s="8"/>
      <c r="K315" s="8"/>
      <c r="L315" s="8"/>
      <c r="Q315" s="8"/>
    </row>
    <row r="316" spans="1:17">
      <c r="A316" s="8"/>
      <c r="B316" s="8"/>
      <c r="C316" s="8"/>
      <c r="D316" s="8"/>
      <c r="E316" s="8"/>
      <c r="F316" s="8"/>
      <c r="G316" s="8"/>
      <c r="H316" s="8"/>
      <c r="I316" s="8"/>
      <c r="J316" s="8"/>
      <c r="K316" s="8"/>
      <c r="L316" s="8"/>
      <c r="Q316" s="8"/>
    </row>
    <row r="317" spans="1:17">
      <c r="A317" s="8"/>
      <c r="B317" s="8"/>
      <c r="C317" s="8"/>
      <c r="D317" s="8"/>
      <c r="E317" s="8"/>
      <c r="F317" s="8"/>
      <c r="G317" s="8"/>
      <c r="H317" s="8"/>
      <c r="I317" s="8"/>
      <c r="J317" s="8"/>
      <c r="K317" s="8"/>
      <c r="L317" s="8"/>
      <c r="Q317" s="8"/>
    </row>
    <row r="318" spans="1:17">
      <c r="A318" s="8"/>
      <c r="B318" s="8"/>
      <c r="C318" s="8"/>
      <c r="D318" s="8"/>
      <c r="E318" s="8"/>
      <c r="F318" s="8"/>
      <c r="G318" s="8"/>
      <c r="H318" s="8"/>
      <c r="I318" s="8"/>
      <c r="J318" s="8"/>
      <c r="K318" s="8"/>
      <c r="L318" s="8"/>
      <c r="Q318" s="8"/>
    </row>
    <row r="319" spans="1:17">
      <c r="A319" s="8"/>
      <c r="B319" s="8"/>
      <c r="C319" s="8"/>
      <c r="D319" s="8"/>
      <c r="E319" s="8"/>
      <c r="F319" s="8"/>
      <c r="G319" s="8"/>
      <c r="H319" s="8"/>
      <c r="I319" s="8"/>
      <c r="J319" s="8"/>
      <c r="K319" s="8"/>
      <c r="L319" s="8"/>
      <c r="Q319" s="8"/>
    </row>
    <row r="320" spans="1:17">
      <c r="A320" s="8"/>
      <c r="B320" s="8"/>
      <c r="C320" s="8"/>
      <c r="D320" s="8"/>
      <c r="E320" s="8"/>
      <c r="F320" s="8"/>
      <c r="G320" s="8"/>
      <c r="H320" s="8"/>
      <c r="I320" s="8"/>
      <c r="J320" s="8"/>
      <c r="K320" s="8"/>
      <c r="L320" s="8"/>
      <c r="Q320" s="8"/>
    </row>
    <row r="321" spans="1:17">
      <c r="A321" s="8"/>
      <c r="B321" s="8"/>
      <c r="C321" s="8"/>
      <c r="D321" s="8"/>
      <c r="E321" s="8"/>
      <c r="F321" s="8"/>
      <c r="G321" s="8"/>
      <c r="H321" s="8"/>
      <c r="I321" s="8"/>
      <c r="J321" s="8"/>
      <c r="K321" s="8"/>
      <c r="L321" s="8"/>
      <c r="Q321" s="8"/>
    </row>
    <row r="322" spans="1:17">
      <c r="A322" s="8"/>
      <c r="B322" s="8"/>
      <c r="C322" s="8"/>
      <c r="D322" s="8"/>
      <c r="E322" s="8"/>
      <c r="F322" s="8"/>
      <c r="G322" s="8"/>
      <c r="H322" s="8"/>
      <c r="I322" s="8"/>
      <c r="J322" s="8"/>
      <c r="K322" s="8"/>
      <c r="L322" s="8"/>
      <c r="Q322" s="8"/>
    </row>
    <row r="323" spans="1:17">
      <c r="A323" s="8"/>
      <c r="B323" s="8"/>
      <c r="C323" s="8"/>
      <c r="D323" s="8"/>
      <c r="E323" s="8"/>
      <c r="F323" s="8"/>
      <c r="G323" s="8"/>
      <c r="H323" s="8"/>
      <c r="I323" s="8"/>
      <c r="J323" s="8"/>
      <c r="K323" s="8"/>
      <c r="L323" s="8"/>
      <c r="Q323" s="8"/>
    </row>
    <row r="324" spans="1:17">
      <c r="A324" s="8"/>
      <c r="B324" s="8"/>
      <c r="C324" s="8"/>
      <c r="D324" s="8"/>
      <c r="E324" s="8"/>
      <c r="F324" s="8"/>
      <c r="G324" s="8"/>
      <c r="H324" s="8"/>
      <c r="I324" s="8"/>
      <c r="J324" s="8"/>
      <c r="K324" s="8"/>
      <c r="L324" s="8"/>
      <c r="Q324" s="8"/>
    </row>
    <row r="325" spans="1:17">
      <c r="A325" s="8"/>
      <c r="B325" s="8"/>
      <c r="C325" s="8"/>
      <c r="D325" s="8"/>
      <c r="E325" s="8"/>
      <c r="F325" s="8"/>
      <c r="G325" s="8"/>
      <c r="H325" s="8"/>
      <c r="I325" s="8"/>
      <c r="J325" s="8"/>
      <c r="K325" s="8"/>
      <c r="L325" s="8"/>
      <c r="Q325" s="8"/>
    </row>
    <row r="326" spans="1:17">
      <c r="A326" s="8"/>
      <c r="B326" s="8"/>
      <c r="C326" s="8"/>
      <c r="D326" s="8"/>
      <c r="E326" s="8"/>
      <c r="F326" s="8"/>
      <c r="G326" s="8"/>
      <c r="H326" s="8"/>
      <c r="I326" s="8"/>
      <c r="J326" s="8"/>
      <c r="K326" s="8"/>
      <c r="L326" s="8"/>
      <c r="Q326" s="8"/>
    </row>
    <row r="327" spans="1:17">
      <c r="A327" s="8"/>
      <c r="B327" s="8"/>
      <c r="C327" s="8"/>
      <c r="D327" s="8"/>
      <c r="E327" s="8"/>
      <c r="F327" s="8"/>
      <c r="G327" s="8"/>
      <c r="H327" s="8"/>
      <c r="I327" s="8"/>
      <c r="J327" s="8"/>
      <c r="K327" s="8"/>
      <c r="L327" s="8"/>
      <c r="Q327" s="8"/>
    </row>
    <row r="328" spans="1:17">
      <c r="A328" s="8"/>
      <c r="B328" s="8"/>
      <c r="C328" s="8"/>
      <c r="D328" s="8"/>
      <c r="E328" s="8"/>
      <c r="F328" s="8"/>
      <c r="G328" s="8"/>
      <c r="H328" s="8"/>
      <c r="I328" s="8"/>
      <c r="J328" s="8"/>
      <c r="K328" s="8"/>
      <c r="L328" s="8"/>
      <c r="Q328" s="8"/>
    </row>
    <row r="329" spans="1:17">
      <c r="A329" s="8"/>
      <c r="B329" s="8"/>
      <c r="C329" s="8"/>
      <c r="D329" s="8"/>
      <c r="E329" s="8"/>
      <c r="F329" s="8"/>
      <c r="G329" s="8"/>
      <c r="H329" s="8"/>
      <c r="I329" s="8"/>
      <c r="J329" s="8"/>
      <c r="K329" s="8"/>
      <c r="L329" s="8"/>
      <c r="Q329" s="8"/>
    </row>
    <row r="330" spans="1:17">
      <c r="A330" s="8"/>
      <c r="B330" s="8"/>
      <c r="C330" s="8"/>
      <c r="D330" s="8"/>
      <c r="E330" s="8"/>
      <c r="F330" s="8"/>
      <c r="G330" s="8"/>
      <c r="H330" s="8"/>
      <c r="I330" s="8"/>
      <c r="J330" s="8"/>
      <c r="K330" s="8"/>
      <c r="L330" s="8"/>
      <c r="Q330" s="8"/>
    </row>
    <row r="331" spans="1:17">
      <c r="A331" s="8"/>
      <c r="B331" s="8"/>
      <c r="C331" s="8"/>
      <c r="D331" s="8"/>
      <c r="E331" s="8"/>
      <c r="F331" s="8"/>
      <c r="G331" s="8"/>
      <c r="H331" s="8"/>
      <c r="I331" s="8"/>
      <c r="J331" s="8"/>
      <c r="K331" s="8"/>
      <c r="L331" s="8"/>
      <c r="Q331" s="8"/>
    </row>
    <row r="332" spans="1:17">
      <c r="A332" s="8"/>
      <c r="B332" s="8"/>
      <c r="C332" s="8"/>
      <c r="D332" s="8"/>
      <c r="E332" s="8"/>
      <c r="F332" s="8"/>
      <c r="G332" s="8"/>
      <c r="H332" s="8"/>
      <c r="I332" s="8"/>
      <c r="J332" s="8"/>
      <c r="K332" s="8"/>
      <c r="L332" s="8"/>
      <c r="Q332" s="8"/>
    </row>
    <row r="333" spans="1:17">
      <c r="A333" s="8"/>
      <c r="B333" s="8"/>
      <c r="C333" s="8"/>
      <c r="D333" s="8"/>
      <c r="E333" s="8"/>
      <c r="F333" s="8"/>
      <c r="G333" s="8"/>
      <c r="H333" s="8"/>
      <c r="I333" s="8"/>
      <c r="J333" s="8"/>
      <c r="K333" s="8"/>
      <c r="L333" s="8"/>
      <c r="Q333" s="8"/>
    </row>
    <row r="334" spans="1:17">
      <c r="A334" s="8"/>
      <c r="B334" s="8"/>
      <c r="C334" s="8"/>
      <c r="D334" s="8"/>
      <c r="E334" s="8"/>
      <c r="F334" s="8"/>
      <c r="G334" s="8"/>
      <c r="H334" s="8"/>
      <c r="I334" s="8"/>
      <c r="J334" s="8"/>
      <c r="K334" s="8"/>
      <c r="L334" s="8"/>
      <c r="Q334" s="8"/>
    </row>
    <row r="335" spans="1:17">
      <c r="A335" s="8"/>
      <c r="B335" s="8"/>
      <c r="C335" s="8"/>
      <c r="D335" s="8"/>
      <c r="E335" s="8"/>
      <c r="F335" s="8"/>
      <c r="G335" s="8"/>
      <c r="H335" s="8"/>
      <c r="I335" s="8"/>
      <c r="J335" s="8"/>
      <c r="K335" s="8"/>
      <c r="L335" s="8"/>
      <c r="Q335" s="8"/>
    </row>
    <row r="336" spans="1:17">
      <c r="A336" s="8"/>
      <c r="B336" s="8"/>
      <c r="C336" s="8"/>
      <c r="D336" s="8"/>
      <c r="E336" s="8"/>
      <c r="F336" s="8"/>
      <c r="G336" s="8"/>
      <c r="H336" s="8"/>
      <c r="I336" s="8"/>
      <c r="J336" s="8"/>
      <c r="K336" s="8"/>
      <c r="L336" s="8"/>
      <c r="Q336" s="8"/>
    </row>
    <row r="337" spans="1:17">
      <c r="A337" s="8"/>
      <c r="B337" s="8"/>
      <c r="C337" s="8"/>
      <c r="D337" s="8"/>
      <c r="E337" s="8"/>
      <c r="F337" s="8"/>
      <c r="G337" s="8"/>
      <c r="H337" s="8"/>
      <c r="I337" s="8"/>
      <c r="J337" s="8"/>
      <c r="K337" s="8"/>
      <c r="L337" s="8"/>
      <c r="Q337" s="8"/>
    </row>
    <row r="338" spans="1:17">
      <c r="A338" s="8"/>
      <c r="B338" s="8"/>
      <c r="C338" s="8"/>
      <c r="D338" s="8"/>
      <c r="E338" s="8"/>
      <c r="F338" s="8"/>
      <c r="G338" s="8"/>
      <c r="H338" s="8"/>
      <c r="I338" s="8"/>
      <c r="J338" s="8"/>
      <c r="K338" s="8"/>
      <c r="L338" s="8"/>
      <c r="Q338" s="8"/>
    </row>
    <row r="339" spans="1:17">
      <c r="A339" s="8"/>
      <c r="B339" s="8"/>
      <c r="C339" s="8"/>
      <c r="D339" s="8"/>
      <c r="E339" s="8"/>
      <c r="F339" s="8"/>
      <c r="G339" s="8"/>
      <c r="H339" s="8"/>
      <c r="I339" s="8"/>
      <c r="J339" s="8"/>
      <c r="K339" s="8"/>
      <c r="L339" s="8"/>
      <c r="Q339" s="8"/>
    </row>
    <row r="340" spans="1:17">
      <c r="A340" s="8"/>
      <c r="B340" s="8"/>
      <c r="C340" s="8"/>
      <c r="D340" s="8"/>
      <c r="E340" s="8"/>
      <c r="F340" s="8"/>
      <c r="G340" s="8"/>
      <c r="H340" s="8"/>
      <c r="I340" s="8"/>
      <c r="J340" s="8"/>
      <c r="K340" s="8"/>
      <c r="L340" s="8"/>
      <c r="Q340" s="8"/>
    </row>
    <row r="341" spans="1:17">
      <c r="A341" s="8"/>
      <c r="B341" s="8"/>
      <c r="C341" s="8"/>
      <c r="D341" s="8"/>
      <c r="E341" s="8"/>
      <c r="F341" s="8"/>
      <c r="G341" s="8"/>
      <c r="H341" s="8"/>
      <c r="I341" s="8"/>
      <c r="J341" s="8"/>
      <c r="K341" s="8"/>
      <c r="L341" s="8"/>
      <c r="Q341" s="8"/>
    </row>
    <row r="342" spans="1:17">
      <c r="A342" s="8"/>
      <c r="B342" s="8"/>
      <c r="C342" s="8"/>
      <c r="D342" s="8"/>
      <c r="E342" s="8"/>
      <c r="F342" s="8"/>
      <c r="G342" s="8"/>
      <c r="H342" s="8"/>
      <c r="I342" s="8"/>
      <c r="J342" s="8"/>
      <c r="K342" s="8"/>
      <c r="L342" s="8"/>
      <c r="Q342" s="8"/>
    </row>
    <row r="343" spans="1:17">
      <c r="A343" s="8"/>
      <c r="B343" s="8"/>
      <c r="C343" s="8"/>
      <c r="D343" s="8"/>
      <c r="E343" s="8"/>
      <c r="F343" s="8"/>
      <c r="G343" s="8"/>
      <c r="H343" s="8"/>
      <c r="I343" s="8"/>
      <c r="J343" s="8"/>
      <c r="K343" s="8"/>
      <c r="L343" s="8"/>
      <c r="Q343" s="8"/>
    </row>
    <row r="344" spans="1:17">
      <c r="A344" s="8"/>
      <c r="B344" s="8"/>
      <c r="C344" s="8"/>
      <c r="D344" s="8"/>
      <c r="E344" s="8"/>
      <c r="F344" s="8"/>
      <c r="G344" s="8"/>
      <c r="H344" s="8"/>
      <c r="I344" s="8"/>
      <c r="J344" s="8"/>
      <c r="K344" s="8"/>
      <c r="L344" s="8"/>
      <c r="Q344" s="8"/>
    </row>
    <row r="345" spans="1:17">
      <c r="A345" s="8"/>
      <c r="B345" s="8"/>
      <c r="C345" s="8"/>
      <c r="D345" s="8"/>
      <c r="E345" s="8"/>
      <c r="F345" s="8"/>
      <c r="G345" s="8"/>
      <c r="H345" s="8"/>
      <c r="I345" s="8"/>
      <c r="J345" s="8"/>
      <c r="K345" s="8"/>
      <c r="L345" s="8"/>
      <c r="Q345" s="8"/>
    </row>
    <row r="346" spans="1:17">
      <c r="A346" s="8"/>
      <c r="B346" s="8"/>
      <c r="C346" s="8"/>
      <c r="D346" s="8"/>
      <c r="E346" s="8"/>
      <c r="F346" s="8"/>
      <c r="G346" s="8"/>
      <c r="H346" s="8"/>
      <c r="I346" s="8"/>
      <c r="J346" s="8"/>
      <c r="K346" s="8"/>
      <c r="L346" s="8"/>
      <c r="Q346" s="8"/>
    </row>
    <row r="347" spans="1:17">
      <c r="A347" s="8"/>
      <c r="B347" s="8"/>
      <c r="C347" s="8"/>
      <c r="D347" s="8"/>
      <c r="E347" s="8"/>
      <c r="F347" s="8"/>
      <c r="G347" s="8"/>
      <c r="H347" s="8"/>
      <c r="I347" s="8"/>
      <c r="J347" s="8"/>
      <c r="K347" s="8"/>
      <c r="L347" s="8"/>
      <c r="Q347" s="8"/>
    </row>
    <row r="348" spans="1:17">
      <c r="A348" s="8"/>
      <c r="B348" s="8"/>
      <c r="C348" s="8"/>
      <c r="D348" s="8"/>
      <c r="E348" s="8"/>
      <c r="F348" s="8"/>
      <c r="G348" s="8"/>
      <c r="H348" s="8"/>
      <c r="I348" s="8"/>
      <c r="J348" s="8"/>
      <c r="K348" s="8"/>
      <c r="L348" s="8"/>
      <c r="Q348" s="8"/>
    </row>
    <row r="349" spans="1:17">
      <c r="A349" s="8"/>
      <c r="B349" s="8"/>
      <c r="C349" s="8"/>
      <c r="D349" s="8"/>
      <c r="E349" s="8"/>
      <c r="F349" s="8"/>
      <c r="G349" s="8"/>
      <c r="H349" s="8"/>
      <c r="I349" s="8"/>
      <c r="J349" s="8"/>
      <c r="K349" s="8"/>
      <c r="L349" s="8"/>
      <c r="Q349" s="8"/>
    </row>
    <row r="350" spans="1:17">
      <c r="A350" s="8"/>
      <c r="B350" s="8"/>
      <c r="C350" s="8"/>
      <c r="D350" s="8"/>
      <c r="E350" s="8"/>
      <c r="F350" s="8"/>
      <c r="G350" s="8"/>
      <c r="H350" s="8"/>
      <c r="I350" s="8"/>
      <c r="J350" s="8"/>
      <c r="K350" s="8"/>
      <c r="L350" s="8"/>
      <c r="Q350" s="8"/>
    </row>
    <row r="351" spans="1:17">
      <c r="A351" s="8"/>
      <c r="B351" s="8"/>
      <c r="C351" s="8"/>
      <c r="D351" s="8"/>
      <c r="E351" s="8"/>
      <c r="F351" s="8"/>
      <c r="G351" s="8"/>
      <c r="H351" s="8"/>
      <c r="I351" s="8"/>
      <c r="J351" s="8"/>
      <c r="K351" s="8"/>
      <c r="L351" s="8"/>
      <c r="Q351" s="8"/>
    </row>
    <row r="352" spans="1:17">
      <c r="A352" s="8"/>
      <c r="B352" s="8"/>
      <c r="C352" s="8"/>
      <c r="D352" s="8"/>
      <c r="E352" s="8"/>
      <c r="F352" s="8"/>
      <c r="G352" s="8"/>
      <c r="H352" s="8"/>
      <c r="I352" s="8"/>
      <c r="J352" s="8"/>
      <c r="K352" s="8"/>
      <c r="L352" s="8"/>
      <c r="Q352" s="8"/>
    </row>
    <row r="353" spans="1:17">
      <c r="A353" s="8"/>
      <c r="B353" s="8"/>
      <c r="C353" s="8"/>
      <c r="D353" s="8"/>
      <c r="E353" s="8"/>
      <c r="F353" s="8"/>
      <c r="G353" s="8"/>
      <c r="H353" s="8"/>
      <c r="I353" s="8"/>
      <c r="J353" s="8"/>
      <c r="K353" s="8"/>
      <c r="L353" s="8"/>
      <c r="Q353" s="8"/>
    </row>
    <row r="354" spans="1:17">
      <c r="A354" s="8"/>
      <c r="B354" s="8"/>
      <c r="C354" s="8"/>
      <c r="D354" s="8"/>
      <c r="E354" s="8"/>
      <c r="F354" s="8"/>
      <c r="G354" s="8"/>
      <c r="H354" s="8"/>
      <c r="I354" s="8"/>
      <c r="J354" s="8"/>
      <c r="K354" s="8"/>
      <c r="L354" s="8"/>
      <c r="Q354" s="8"/>
    </row>
    <row r="355" spans="1:17">
      <c r="A355" s="8"/>
      <c r="B355" s="8"/>
      <c r="C355" s="8"/>
      <c r="D355" s="8"/>
      <c r="E355" s="8"/>
      <c r="F355" s="8"/>
      <c r="G355" s="8"/>
      <c r="H355" s="8"/>
      <c r="I355" s="8"/>
      <c r="J355" s="8"/>
      <c r="K355" s="8"/>
      <c r="L355" s="8"/>
      <c r="Q355" s="8"/>
    </row>
    <row r="356" spans="1:17">
      <c r="A356" s="8"/>
      <c r="B356" s="8"/>
      <c r="C356" s="8"/>
      <c r="D356" s="8"/>
      <c r="E356" s="8"/>
      <c r="F356" s="8"/>
      <c r="G356" s="8"/>
      <c r="H356" s="8"/>
      <c r="I356" s="8"/>
      <c r="J356" s="8"/>
      <c r="K356" s="8"/>
      <c r="L356" s="8"/>
      <c r="Q356" s="8"/>
    </row>
    <row r="357" spans="1:17">
      <c r="A357" s="8"/>
      <c r="B357" s="8"/>
      <c r="C357" s="8"/>
      <c r="D357" s="8"/>
      <c r="E357" s="8"/>
      <c r="F357" s="8"/>
      <c r="G357" s="8"/>
      <c r="H357" s="8"/>
      <c r="I357" s="8"/>
      <c r="J357" s="8"/>
      <c r="K357" s="8"/>
      <c r="L357" s="8"/>
      <c r="Q357" s="8"/>
    </row>
    <row r="358" spans="1:17">
      <c r="A358" s="8"/>
      <c r="B358" s="8"/>
      <c r="C358" s="8"/>
      <c r="D358" s="8"/>
      <c r="E358" s="8"/>
      <c r="F358" s="8"/>
      <c r="G358" s="8"/>
      <c r="H358" s="8"/>
      <c r="I358" s="8"/>
      <c r="J358" s="8"/>
      <c r="K358" s="8"/>
      <c r="L358" s="8"/>
      <c r="Q358" s="8"/>
    </row>
    <row r="359" spans="1:17">
      <c r="A359" s="8"/>
      <c r="B359" s="8"/>
      <c r="C359" s="8"/>
      <c r="D359" s="8"/>
      <c r="E359" s="8"/>
      <c r="F359" s="8"/>
      <c r="G359" s="8"/>
      <c r="H359" s="8"/>
      <c r="I359" s="8"/>
      <c r="J359" s="8"/>
      <c r="K359" s="8"/>
      <c r="L359" s="8"/>
      <c r="Q359" s="8"/>
    </row>
    <row r="360" spans="1:17">
      <c r="A360" s="8"/>
      <c r="B360" s="8"/>
      <c r="C360" s="8"/>
      <c r="D360" s="8"/>
      <c r="E360" s="8"/>
      <c r="F360" s="8"/>
      <c r="G360" s="8"/>
      <c r="H360" s="8"/>
      <c r="I360" s="8"/>
      <c r="J360" s="8"/>
      <c r="K360" s="8"/>
      <c r="L360" s="8"/>
      <c r="Q360" s="8"/>
    </row>
    <row r="361" spans="1:17">
      <c r="A361" s="8"/>
      <c r="B361" s="8"/>
      <c r="C361" s="8"/>
      <c r="D361" s="8"/>
      <c r="E361" s="8"/>
      <c r="F361" s="8"/>
      <c r="G361" s="8"/>
      <c r="H361" s="8"/>
      <c r="I361" s="8"/>
      <c r="J361" s="8"/>
      <c r="K361" s="8"/>
      <c r="L361" s="8"/>
      <c r="Q361" s="8"/>
    </row>
    <row r="362" spans="1:17">
      <c r="A362" s="8"/>
      <c r="B362" s="8"/>
      <c r="C362" s="8"/>
      <c r="D362" s="8"/>
      <c r="E362" s="8"/>
      <c r="F362" s="8"/>
      <c r="G362" s="8"/>
      <c r="H362" s="8"/>
      <c r="I362" s="8"/>
      <c r="J362" s="8"/>
      <c r="K362" s="8"/>
      <c r="L362" s="8"/>
      <c r="Q362" s="8"/>
    </row>
    <row r="363" spans="1:17">
      <c r="A363" s="8"/>
      <c r="B363" s="8"/>
      <c r="C363" s="8"/>
      <c r="D363" s="8"/>
      <c r="E363" s="8"/>
      <c r="F363" s="8"/>
      <c r="G363" s="8"/>
      <c r="H363" s="8"/>
      <c r="I363" s="8"/>
      <c r="J363" s="8"/>
      <c r="K363" s="8"/>
      <c r="L363" s="8"/>
      <c r="Q363" s="8"/>
    </row>
    <row r="364" spans="1:17">
      <c r="A364" s="8"/>
      <c r="B364" s="8"/>
      <c r="C364" s="8"/>
      <c r="D364" s="8"/>
      <c r="E364" s="8"/>
      <c r="F364" s="8"/>
      <c r="G364" s="8"/>
      <c r="H364" s="8"/>
      <c r="I364" s="8"/>
      <c r="J364" s="8"/>
      <c r="K364" s="8"/>
      <c r="L364" s="8"/>
      <c r="Q364" s="8"/>
    </row>
    <row r="365" spans="1:17">
      <c r="A365" s="8"/>
      <c r="B365" s="8"/>
      <c r="C365" s="8"/>
      <c r="D365" s="8"/>
      <c r="E365" s="8"/>
      <c r="F365" s="8"/>
      <c r="G365" s="8"/>
      <c r="H365" s="8"/>
      <c r="I365" s="8"/>
      <c r="J365" s="8"/>
      <c r="K365" s="8"/>
      <c r="L365" s="8"/>
      <c r="Q365" s="8"/>
    </row>
    <row r="366" spans="1:17">
      <c r="A366" s="8"/>
      <c r="B366" s="8"/>
      <c r="C366" s="8"/>
      <c r="D366" s="8"/>
      <c r="E366" s="8"/>
      <c r="F366" s="8"/>
      <c r="G366" s="8"/>
      <c r="H366" s="8"/>
      <c r="I366" s="8"/>
      <c r="J366" s="8"/>
      <c r="K366" s="8"/>
      <c r="L366" s="8"/>
      <c r="Q366" s="8"/>
    </row>
    <row r="367" spans="1:17">
      <c r="A367" s="8"/>
      <c r="B367" s="8"/>
      <c r="C367" s="8"/>
      <c r="D367" s="8"/>
      <c r="E367" s="8"/>
      <c r="F367" s="8"/>
      <c r="G367" s="8"/>
      <c r="H367" s="8"/>
      <c r="I367" s="8"/>
      <c r="J367" s="8"/>
      <c r="K367" s="8"/>
      <c r="L367" s="8"/>
      <c r="Q367" s="8"/>
    </row>
    <row r="368" spans="1:17">
      <c r="A368" s="8"/>
      <c r="B368" s="8"/>
      <c r="C368" s="8"/>
      <c r="D368" s="8"/>
      <c r="E368" s="8"/>
      <c r="F368" s="8"/>
      <c r="G368" s="8"/>
      <c r="H368" s="8"/>
      <c r="I368" s="8"/>
      <c r="J368" s="8"/>
      <c r="K368" s="8"/>
      <c r="L368" s="8"/>
      <c r="Q368" s="8"/>
    </row>
    <row r="369" spans="1:17">
      <c r="A369" s="8"/>
      <c r="B369" s="8"/>
      <c r="C369" s="8"/>
      <c r="D369" s="8"/>
      <c r="E369" s="8"/>
      <c r="F369" s="8"/>
      <c r="G369" s="8"/>
      <c r="H369" s="8"/>
      <c r="I369" s="8"/>
      <c r="J369" s="8"/>
      <c r="K369" s="8"/>
      <c r="L369" s="8"/>
      <c r="Q369" s="8"/>
    </row>
    <row r="370" spans="1:17">
      <c r="A370" s="8"/>
      <c r="B370" s="8"/>
      <c r="C370" s="8"/>
      <c r="D370" s="8"/>
      <c r="E370" s="8"/>
      <c r="F370" s="8"/>
      <c r="G370" s="8"/>
      <c r="H370" s="8"/>
      <c r="I370" s="8"/>
      <c r="J370" s="8"/>
      <c r="K370" s="8"/>
      <c r="L370" s="8"/>
      <c r="Q370" s="8"/>
    </row>
    <row r="371" spans="1:17">
      <c r="A371" s="8"/>
      <c r="B371" s="8"/>
      <c r="C371" s="8"/>
      <c r="D371" s="8"/>
      <c r="E371" s="8"/>
      <c r="F371" s="8"/>
      <c r="G371" s="8"/>
      <c r="H371" s="8"/>
      <c r="I371" s="8"/>
      <c r="J371" s="8"/>
      <c r="K371" s="8"/>
      <c r="L371" s="8"/>
      <c r="Q371" s="8"/>
    </row>
    <row r="372" spans="1:17">
      <c r="A372" s="8"/>
      <c r="B372" s="8"/>
      <c r="C372" s="8"/>
      <c r="D372" s="8"/>
      <c r="E372" s="8"/>
      <c r="F372" s="8"/>
      <c r="G372" s="8"/>
      <c r="H372" s="8"/>
      <c r="I372" s="8"/>
      <c r="J372" s="8"/>
      <c r="K372" s="8"/>
      <c r="L372" s="8"/>
      <c r="Q372" s="8"/>
    </row>
    <row r="373" spans="1:17">
      <c r="A373" s="8"/>
      <c r="B373" s="8"/>
      <c r="C373" s="8"/>
      <c r="D373" s="8"/>
      <c r="E373" s="8"/>
      <c r="F373" s="8"/>
      <c r="G373" s="8"/>
      <c r="H373" s="8"/>
      <c r="I373" s="8"/>
      <c r="J373" s="8"/>
      <c r="K373" s="8"/>
      <c r="L373" s="8"/>
      <c r="Q373" s="8"/>
    </row>
    <row r="374" spans="1:17">
      <c r="A374" s="8"/>
      <c r="B374" s="8"/>
      <c r="C374" s="8"/>
      <c r="D374" s="8"/>
      <c r="E374" s="8"/>
      <c r="F374" s="8"/>
      <c r="G374" s="8"/>
      <c r="H374" s="8"/>
      <c r="I374" s="8"/>
      <c r="J374" s="8"/>
      <c r="K374" s="8"/>
      <c r="L374" s="8"/>
      <c r="Q374" s="8"/>
    </row>
    <row r="375" spans="1:17">
      <c r="A375" s="8"/>
      <c r="B375" s="8"/>
      <c r="C375" s="8"/>
      <c r="D375" s="8"/>
      <c r="E375" s="8"/>
      <c r="F375" s="8"/>
      <c r="G375" s="8"/>
      <c r="H375" s="8"/>
      <c r="I375" s="8"/>
      <c r="J375" s="8"/>
      <c r="K375" s="8"/>
      <c r="L375" s="8"/>
      <c r="Q375" s="8"/>
    </row>
    <row r="376" spans="1:17">
      <c r="A376" s="8"/>
      <c r="B376" s="8"/>
      <c r="C376" s="8"/>
      <c r="D376" s="8"/>
      <c r="E376" s="8"/>
      <c r="F376" s="8"/>
      <c r="G376" s="8"/>
      <c r="H376" s="8"/>
      <c r="I376" s="8"/>
      <c r="J376" s="8"/>
      <c r="K376" s="8"/>
      <c r="L376" s="8"/>
      <c r="Q376" s="8"/>
    </row>
    <row r="377" spans="1:17">
      <c r="A377" s="8"/>
      <c r="B377" s="8"/>
      <c r="C377" s="8"/>
      <c r="D377" s="8"/>
      <c r="E377" s="8"/>
      <c r="F377" s="8"/>
      <c r="G377" s="8"/>
      <c r="H377" s="8"/>
      <c r="I377" s="8"/>
      <c r="J377" s="8"/>
      <c r="K377" s="8"/>
      <c r="L377" s="8"/>
      <c r="Q377" s="8"/>
    </row>
    <row r="378" spans="1:17">
      <c r="A378" s="8"/>
      <c r="B378" s="8"/>
      <c r="C378" s="8"/>
      <c r="D378" s="8"/>
      <c r="E378" s="8"/>
      <c r="F378" s="8"/>
      <c r="G378" s="8"/>
      <c r="H378" s="8"/>
      <c r="I378" s="8"/>
      <c r="J378" s="8"/>
      <c r="K378" s="8"/>
      <c r="L378" s="8"/>
      <c r="Q378" s="8"/>
    </row>
    <row r="379" spans="1:17">
      <c r="A379" s="8"/>
      <c r="B379" s="8"/>
      <c r="C379" s="8"/>
      <c r="D379" s="8"/>
      <c r="E379" s="8"/>
      <c r="F379" s="8"/>
      <c r="G379" s="8"/>
      <c r="H379" s="8"/>
      <c r="I379" s="8"/>
      <c r="J379" s="8"/>
      <c r="K379" s="8"/>
      <c r="L379" s="8"/>
      <c r="Q379" s="8"/>
    </row>
    <row r="380" spans="1:17">
      <c r="A380" s="8"/>
      <c r="B380" s="8"/>
      <c r="C380" s="8"/>
      <c r="D380" s="8"/>
      <c r="E380" s="8"/>
      <c r="F380" s="8"/>
      <c r="G380" s="8"/>
      <c r="H380" s="8"/>
      <c r="I380" s="8"/>
      <c r="J380" s="8"/>
      <c r="K380" s="8"/>
      <c r="L380" s="8"/>
      <c r="Q380" s="8"/>
    </row>
    <row r="381" spans="1:17">
      <c r="A381" s="8"/>
      <c r="B381" s="8"/>
      <c r="C381" s="8"/>
      <c r="D381" s="8"/>
      <c r="E381" s="8"/>
      <c r="F381" s="8"/>
      <c r="G381" s="8"/>
      <c r="H381" s="8"/>
      <c r="I381" s="8"/>
      <c r="J381" s="8"/>
      <c r="K381" s="8"/>
      <c r="L381" s="8"/>
      <c r="Q381" s="8"/>
    </row>
    <row r="382" spans="1:17">
      <c r="A382" s="8"/>
      <c r="B382" s="8"/>
      <c r="C382" s="8"/>
      <c r="D382" s="8"/>
      <c r="E382" s="8"/>
      <c r="F382" s="8"/>
      <c r="G382" s="8"/>
      <c r="H382" s="8"/>
      <c r="I382" s="8"/>
      <c r="J382" s="8"/>
      <c r="K382" s="8"/>
      <c r="L382" s="8"/>
      <c r="Q382" s="8"/>
    </row>
    <row r="383" spans="1:17">
      <c r="A383" s="8"/>
      <c r="B383" s="8"/>
      <c r="C383" s="8"/>
      <c r="D383" s="8"/>
      <c r="E383" s="8"/>
      <c r="F383" s="8"/>
      <c r="G383" s="8"/>
      <c r="H383" s="8"/>
      <c r="I383" s="8"/>
      <c r="J383" s="8"/>
      <c r="K383" s="8"/>
      <c r="L383" s="8"/>
      <c r="Q383" s="8"/>
    </row>
    <row r="384" spans="1:17">
      <c r="A384" s="8"/>
      <c r="B384" s="8"/>
      <c r="C384" s="8"/>
      <c r="D384" s="8"/>
      <c r="E384" s="8"/>
      <c r="F384" s="8"/>
      <c r="G384" s="8"/>
      <c r="H384" s="8"/>
      <c r="I384" s="8"/>
      <c r="J384" s="8"/>
      <c r="K384" s="8"/>
      <c r="L384" s="8"/>
      <c r="Q384" s="8"/>
    </row>
    <row r="385" spans="1:17">
      <c r="A385" s="8"/>
      <c r="B385" s="8"/>
      <c r="C385" s="8"/>
      <c r="D385" s="8"/>
      <c r="E385" s="8"/>
      <c r="F385" s="8"/>
      <c r="G385" s="8"/>
      <c r="H385" s="8"/>
      <c r="I385" s="8"/>
      <c r="J385" s="8"/>
      <c r="K385" s="8"/>
      <c r="L385" s="8"/>
      <c r="Q385" s="8"/>
    </row>
    <row r="386" spans="1:17">
      <c r="A386" s="8"/>
      <c r="B386" s="8"/>
      <c r="C386" s="8"/>
      <c r="D386" s="8"/>
      <c r="E386" s="8"/>
      <c r="F386" s="8"/>
      <c r="G386" s="8"/>
      <c r="H386" s="8"/>
      <c r="I386" s="8"/>
      <c r="J386" s="8"/>
      <c r="K386" s="8"/>
      <c r="L386" s="8"/>
      <c r="Q386" s="8"/>
    </row>
    <row r="387" spans="1:17">
      <c r="A387" s="8"/>
      <c r="B387" s="8"/>
      <c r="C387" s="8"/>
      <c r="D387" s="8"/>
      <c r="E387" s="8"/>
      <c r="F387" s="8"/>
      <c r="G387" s="8"/>
      <c r="H387" s="8"/>
      <c r="I387" s="8"/>
      <c r="J387" s="8"/>
      <c r="K387" s="8"/>
      <c r="L387" s="8"/>
      <c r="Q387" s="8"/>
    </row>
    <row r="388" spans="1:17">
      <c r="A388" s="8"/>
      <c r="B388" s="8"/>
      <c r="C388" s="8"/>
      <c r="D388" s="8"/>
      <c r="E388" s="8"/>
      <c r="F388" s="8"/>
      <c r="G388" s="8"/>
      <c r="H388" s="8"/>
      <c r="I388" s="8"/>
      <c r="J388" s="8"/>
      <c r="K388" s="8"/>
      <c r="L388" s="8"/>
      <c r="Q388" s="8"/>
    </row>
    <row r="389" spans="1:17">
      <c r="A389" s="8"/>
      <c r="B389" s="8"/>
      <c r="C389" s="8"/>
      <c r="D389" s="8"/>
      <c r="E389" s="8"/>
      <c r="F389" s="8"/>
      <c r="G389" s="8"/>
      <c r="H389" s="8"/>
      <c r="I389" s="8"/>
      <c r="J389" s="8"/>
      <c r="K389" s="8"/>
      <c r="L389" s="8"/>
      <c r="Q389" s="8"/>
    </row>
    <row r="390" spans="1:17">
      <c r="Q390" s="8"/>
    </row>
    <row r="391" spans="1:17">
      <c r="Q391" s="8"/>
    </row>
    <row r="392" spans="1:17">
      <c r="Q392" s="8"/>
    </row>
    <row r="393" spans="1:17">
      <c r="Q393" s="8"/>
    </row>
    <row r="394" spans="1:17">
      <c r="Q394" s="8"/>
    </row>
    <row r="395" spans="1:17">
      <c r="Q395" s="8"/>
    </row>
    <row r="396" spans="1:17">
      <c r="Q396" s="8"/>
    </row>
    <row r="397" spans="1:17">
      <c r="Q397" s="8"/>
    </row>
    <row r="398" spans="1:17">
      <c r="Q398" s="8"/>
    </row>
    <row r="399" spans="1:17">
      <c r="Q399" s="8"/>
    </row>
    <row r="400" spans="1:17">
      <c r="Q400" s="8"/>
    </row>
    <row r="401" spans="17:17">
      <c r="Q401" s="8"/>
    </row>
    <row r="402" spans="17:17">
      <c r="Q402" s="8"/>
    </row>
    <row r="403" spans="17:17">
      <c r="Q403" s="8"/>
    </row>
    <row r="404" spans="17:17">
      <c r="Q404" s="8"/>
    </row>
    <row r="405" spans="17:17">
      <c r="Q405" s="8"/>
    </row>
    <row r="406" spans="17:17">
      <c r="Q406" s="8"/>
    </row>
    <row r="407" spans="17:17">
      <c r="Q407" s="8"/>
    </row>
    <row r="408" spans="17:17">
      <c r="Q408" s="8"/>
    </row>
    <row r="409" spans="17:17">
      <c r="Q409" s="8"/>
    </row>
    <row r="410" spans="17:17">
      <c r="Q410" s="8"/>
    </row>
    <row r="411" spans="17:17">
      <c r="Q411" s="8"/>
    </row>
    <row r="412" spans="17:17">
      <c r="Q412" s="8"/>
    </row>
    <row r="413" spans="17:17">
      <c r="Q413" s="8"/>
    </row>
    <row r="414" spans="17:17">
      <c r="Q414" s="8"/>
    </row>
    <row r="415" spans="17:17">
      <c r="Q415" s="8"/>
    </row>
    <row r="416" spans="17:17">
      <c r="Q416" s="8"/>
    </row>
    <row r="417" spans="17:17">
      <c r="Q417" s="8"/>
    </row>
    <row r="418" spans="17:17">
      <c r="Q418" s="8"/>
    </row>
    <row r="419" spans="17:17">
      <c r="Q419" s="8"/>
    </row>
    <row r="420" spans="17:17">
      <c r="Q420" s="8"/>
    </row>
    <row r="421" spans="17:17">
      <c r="Q421" s="8"/>
    </row>
    <row r="422" spans="17:17">
      <c r="Q422" s="8"/>
    </row>
    <row r="423" spans="17:17">
      <c r="Q423" s="8"/>
    </row>
    <row r="424" spans="17:17">
      <c r="Q424" s="8"/>
    </row>
    <row r="425" spans="17:17">
      <c r="Q425" s="8"/>
    </row>
    <row r="426" spans="17:17">
      <c r="Q426" s="8"/>
    </row>
    <row r="427" spans="17:17">
      <c r="Q427" s="8"/>
    </row>
    <row r="428" spans="17:17">
      <c r="Q428" s="8"/>
    </row>
    <row r="429" spans="17:17">
      <c r="Q429" s="8"/>
    </row>
    <row r="430" spans="17:17">
      <c r="Q430" s="8"/>
    </row>
    <row r="431" spans="17:17">
      <c r="Q431" s="8"/>
    </row>
    <row r="432" spans="17:17">
      <c r="Q432" s="8"/>
    </row>
    <row r="433" spans="17:17">
      <c r="Q433" s="8"/>
    </row>
    <row r="434" spans="17:17">
      <c r="Q434" s="8"/>
    </row>
    <row r="435" spans="17:17">
      <c r="Q435" s="8"/>
    </row>
    <row r="436" spans="17:17">
      <c r="Q436" s="8"/>
    </row>
    <row r="437" spans="17:17">
      <c r="Q437" s="8"/>
    </row>
    <row r="438" spans="17:17">
      <c r="Q438" s="8"/>
    </row>
    <row r="439" spans="17:17">
      <c r="Q439" s="8"/>
    </row>
    <row r="440" spans="17:17">
      <c r="Q440" s="8"/>
    </row>
    <row r="441" spans="17:17">
      <c r="Q441" s="8"/>
    </row>
    <row r="442" spans="17:17">
      <c r="Q442" s="8"/>
    </row>
    <row r="443" spans="17:17">
      <c r="Q443" s="8"/>
    </row>
    <row r="444" spans="17:17">
      <c r="Q444" s="8"/>
    </row>
    <row r="445" spans="17:17">
      <c r="Q445" s="8"/>
    </row>
    <row r="446" spans="17:17">
      <c r="Q446" s="8"/>
    </row>
    <row r="447" spans="17:17">
      <c r="Q447" s="8"/>
    </row>
    <row r="448" spans="17:17">
      <c r="Q448" s="8"/>
    </row>
    <row r="449" spans="17:17">
      <c r="Q449" s="8"/>
    </row>
    <row r="450" spans="17:17">
      <c r="Q450" s="8"/>
    </row>
    <row r="451" spans="17:17">
      <c r="Q451" s="8"/>
    </row>
    <row r="452" spans="17:17">
      <c r="Q452" s="8"/>
    </row>
    <row r="453" spans="17:17">
      <c r="Q453" s="8"/>
    </row>
    <row r="454" spans="17:17">
      <c r="Q454" s="8"/>
    </row>
    <row r="455" spans="17:17">
      <c r="Q455" s="8"/>
    </row>
    <row r="456" spans="17:17">
      <c r="Q456" s="8"/>
    </row>
    <row r="457" spans="17:17">
      <c r="Q457" s="8"/>
    </row>
    <row r="458" spans="17:17">
      <c r="Q458" s="8"/>
    </row>
    <row r="459" spans="17:17">
      <c r="Q459" s="8"/>
    </row>
    <row r="460" spans="17:17">
      <c r="Q460" s="8"/>
    </row>
    <row r="461" spans="17:17">
      <c r="Q461" s="8"/>
    </row>
    <row r="462" spans="17:17">
      <c r="Q462" s="8"/>
    </row>
    <row r="463" spans="17:17">
      <c r="Q463" s="8"/>
    </row>
    <row r="464" spans="17:17">
      <c r="Q464" s="8"/>
    </row>
    <row r="465" spans="17:17">
      <c r="Q465" s="8"/>
    </row>
    <row r="466" spans="17:17">
      <c r="Q466" s="8"/>
    </row>
    <row r="467" spans="17:17">
      <c r="Q467" s="8"/>
    </row>
    <row r="468" spans="17:17">
      <c r="Q468" s="8"/>
    </row>
    <row r="469" spans="17:17">
      <c r="Q469" s="8"/>
    </row>
    <row r="470" spans="17:17">
      <c r="Q470" s="8"/>
    </row>
    <row r="471" spans="17:17">
      <c r="Q471" s="8"/>
    </row>
    <row r="472" spans="17:17">
      <c r="Q472" s="8"/>
    </row>
    <row r="473" spans="17:17">
      <c r="Q473" s="8"/>
    </row>
    <row r="474" spans="17:17">
      <c r="Q474" s="8"/>
    </row>
    <row r="475" spans="17:17">
      <c r="Q475" s="8"/>
    </row>
    <row r="476" spans="17:17">
      <c r="Q476" s="8"/>
    </row>
    <row r="477" spans="17:17">
      <c r="Q477" s="8"/>
    </row>
    <row r="478" spans="17:17">
      <c r="Q478" s="8"/>
    </row>
    <row r="479" spans="17:17">
      <c r="Q479" s="8"/>
    </row>
    <row r="480" spans="17:17">
      <c r="Q480" s="8"/>
    </row>
    <row r="481" spans="17:17">
      <c r="Q481" s="8"/>
    </row>
    <row r="482" spans="17:17">
      <c r="Q482" s="8"/>
    </row>
    <row r="483" spans="17:17">
      <c r="Q483" s="8"/>
    </row>
    <row r="484" spans="17:17">
      <c r="Q484" s="8"/>
    </row>
    <row r="485" spans="17:17">
      <c r="Q485" s="8"/>
    </row>
    <row r="486" spans="17:17">
      <c r="Q486" s="8"/>
    </row>
    <row r="487" spans="17:17">
      <c r="Q487" s="8"/>
    </row>
    <row r="488" spans="17:17">
      <c r="Q488" s="8"/>
    </row>
    <row r="489" spans="17:17">
      <c r="Q489" s="8"/>
    </row>
    <row r="490" spans="17:17">
      <c r="Q490" s="8"/>
    </row>
    <row r="491" spans="17:17">
      <c r="Q491" s="8"/>
    </row>
    <row r="492" spans="17:17">
      <c r="Q492" s="8"/>
    </row>
    <row r="493" spans="17:17">
      <c r="Q493" s="8"/>
    </row>
    <row r="494" spans="17:17">
      <c r="Q494" s="8"/>
    </row>
    <row r="495" spans="17:17">
      <c r="Q495" s="8"/>
    </row>
    <row r="496" spans="17:17">
      <c r="Q496" s="8"/>
    </row>
    <row r="497" spans="17:17">
      <c r="Q497" s="8"/>
    </row>
    <row r="498" spans="17:17">
      <c r="Q498" s="8"/>
    </row>
    <row r="499" spans="17:17">
      <c r="Q499" s="8"/>
    </row>
    <row r="500" spans="17:17">
      <c r="Q500" s="8"/>
    </row>
    <row r="501" spans="17:17">
      <c r="Q501" s="8"/>
    </row>
    <row r="502" spans="17:17">
      <c r="Q502" s="8"/>
    </row>
    <row r="503" spans="17:17">
      <c r="Q503" s="8"/>
    </row>
    <row r="504" spans="17:17">
      <c r="Q504" s="8"/>
    </row>
    <row r="505" spans="17:17">
      <c r="Q505" s="8"/>
    </row>
    <row r="506" spans="17:17">
      <c r="Q506" s="8"/>
    </row>
    <row r="507" spans="17:17">
      <c r="Q507" s="8"/>
    </row>
    <row r="508" spans="17:17">
      <c r="Q508" s="8"/>
    </row>
    <row r="509" spans="17:17">
      <c r="Q509" s="8"/>
    </row>
    <row r="510" spans="17:17">
      <c r="Q510" s="8"/>
    </row>
    <row r="511" spans="17:17">
      <c r="Q511" s="8"/>
    </row>
    <row r="512" spans="17:17">
      <c r="Q512" s="8"/>
    </row>
    <row r="513" spans="17:17">
      <c r="Q513" s="8"/>
    </row>
    <row r="514" spans="17:17">
      <c r="Q514" s="8"/>
    </row>
    <row r="515" spans="17:17">
      <c r="Q515" s="8"/>
    </row>
    <row r="516" spans="17:17">
      <c r="Q516" s="8"/>
    </row>
    <row r="517" spans="17:17">
      <c r="Q517" s="8"/>
    </row>
    <row r="518" spans="17:17">
      <c r="Q518" s="8"/>
    </row>
    <row r="519" spans="17:17">
      <c r="Q519" s="8"/>
    </row>
    <row r="520" spans="17:17">
      <c r="Q520" s="8"/>
    </row>
    <row r="521" spans="17:17">
      <c r="Q521" s="8"/>
    </row>
    <row r="522" spans="17:17">
      <c r="Q522" s="8"/>
    </row>
    <row r="523" spans="17:17">
      <c r="Q523" s="8"/>
    </row>
  </sheetData>
  <sheetProtection selectLockedCells="1" selectUnlockedCells="1"/>
  <sortState xmlns:xlrd2="http://schemas.microsoft.com/office/spreadsheetml/2017/richdata2" ref="AB157:AC288">
    <sortCondition ref="AB157:AB288"/>
  </sortState>
  <mergeCells count="6">
    <mergeCell ref="H7:J7"/>
    <mergeCell ref="K7:M7"/>
    <mergeCell ref="N7:P7"/>
    <mergeCell ref="H155:J155"/>
    <mergeCell ref="K155:M155"/>
    <mergeCell ref="N155:P155"/>
  </mergeCells>
  <conditionalFormatting sqref="I90:J92 H100:H104 L90:M92 N117:P151 N277:P288">
    <cfRule type="cellIs" dxfId="134" priority="191" operator="equal">
      <formula>0</formula>
    </cfRule>
    <cfRule type="cellIs" dxfId="133" priority="192" operator="greaterThan">
      <formula>100</formula>
    </cfRule>
    <cfRule type="cellIs" dxfId="132" priority="193" operator="between">
      <formula>10</formula>
      <formula>100</formula>
    </cfRule>
    <cfRule type="cellIs" dxfId="131" priority="194" operator="between">
      <formula>1</formula>
      <formula>10</formula>
    </cfRule>
    <cfRule type="cellIs" dxfId="130" priority="195" operator="lessThan">
      <formula>1</formula>
    </cfRule>
  </conditionalFormatting>
  <conditionalFormatting sqref="I93:J95 L93:M95">
    <cfRule type="cellIs" dxfId="129" priority="186" operator="equal">
      <formula>0</formula>
    </cfRule>
    <cfRule type="cellIs" dxfId="128" priority="187" operator="greaterThan">
      <formula>100</formula>
    </cfRule>
    <cfRule type="cellIs" dxfId="127" priority="188" operator="between">
      <formula>10</formula>
      <formula>100</formula>
    </cfRule>
    <cfRule type="cellIs" dxfId="126" priority="189" operator="between">
      <formula>1</formula>
      <formula>10</formula>
    </cfRule>
    <cfRule type="cellIs" dxfId="125" priority="190" operator="lessThan">
      <formula>1</formula>
    </cfRule>
  </conditionalFormatting>
  <conditionalFormatting sqref="I96:J99 L96:M99">
    <cfRule type="cellIs" dxfId="124" priority="181" operator="equal">
      <formula>0</formula>
    </cfRule>
    <cfRule type="cellIs" dxfId="123" priority="182" operator="greaterThan">
      <formula>100</formula>
    </cfRule>
    <cfRule type="cellIs" dxfId="122" priority="183" operator="between">
      <formula>10</formula>
      <formula>100</formula>
    </cfRule>
    <cfRule type="cellIs" dxfId="121" priority="184" operator="between">
      <formula>1</formula>
      <formula>10</formula>
    </cfRule>
    <cfRule type="cellIs" dxfId="120" priority="185" operator="lessThan">
      <formula>1</formula>
    </cfRule>
  </conditionalFormatting>
  <conditionalFormatting sqref="I100:J104 L100:M104">
    <cfRule type="cellIs" dxfId="119" priority="176" operator="equal">
      <formula>0</formula>
    </cfRule>
    <cfRule type="cellIs" dxfId="118" priority="177" operator="greaterThan">
      <formula>100</formula>
    </cfRule>
    <cfRule type="cellIs" dxfId="117" priority="178" operator="between">
      <formula>10</formula>
      <formula>100</formula>
    </cfRule>
    <cfRule type="cellIs" dxfId="116" priority="179" operator="between">
      <formula>1</formula>
      <formula>10</formula>
    </cfRule>
    <cfRule type="cellIs" dxfId="115" priority="180" operator="lessThan">
      <formula>1</formula>
    </cfRule>
  </conditionalFormatting>
  <conditionalFormatting sqref="O100:P104">
    <cfRule type="cellIs" dxfId="114" priority="171" operator="equal">
      <formula>0</formula>
    </cfRule>
    <cfRule type="cellIs" dxfId="113" priority="172" operator="greaterThan">
      <formula>100</formula>
    </cfRule>
    <cfRule type="cellIs" dxfId="112" priority="173" operator="between">
      <formula>10</formula>
      <formula>100</formula>
    </cfRule>
    <cfRule type="cellIs" dxfId="111" priority="174" operator="between">
      <formula>1</formula>
      <formula>10</formula>
    </cfRule>
    <cfRule type="cellIs" dxfId="110" priority="175" operator="lessThan">
      <formula>1</formula>
    </cfRule>
  </conditionalFormatting>
  <conditionalFormatting sqref="O90:P99">
    <cfRule type="cellIs" dxfId="109" priority="166" operator="equal">
      <formula>0</formula>
    </cfRule>
    <cfRule type="cellIs" dxfId="108" priority="167" operator="greaterThan">
      <formula>100</formula>
    </cfRule>
    <cfRule type="cellIs" dxfId="107" priority="168" operator="between">
      <formula>10</formula>
      <formula>100</formula>
    </cfRule>
    <cfRule type="cellIs" dxfId="106" priority="169" operator="between">
      <formula>1</formula>
      <formula>10</formula>
    </cfRule>
    <cfRule type="cellIs" dxfId="105" priority="170" operator="lessThan">
      <formula>1</formula>
    </cfRule>
  </conditionalFormatting>
  <conditionalFormatting sqref="K100:K104">
    <cfRule type="cellIs" dxfId="104" priority="161" operator="equal">
      <formula>0</formula>
    </cfRule>
    <cfRule type="cellIs" dxfId="103" priority="162" operator="greaterThan">
      <formula>100</formula>
    </cfRule>
    <cfRule type="cellIs" dxfId="102" priority="163" operator="between">
      <formula>10</formula>
      <formula>100</formula>
    </cfRule>
    <cfRule type="cellIs" dxfId="101" priority="164" operator="between">
      <formula>1</formula>
      <formula>10</formula>
    </cfRule>
    <cfRule type="cellIs" dxfId="100" priority="165" operator="lessThan">
      <formula>1</formula>
    </cfRule>
  </conditionalFormatting>
  <conditionalFormatting sqref="N100:N104">
    <cfRule type="cellIs" dxfId="99" priority="156" operator="equal">
      <formula>0</formula>
    </cfRule>
    <cfRule type="cellIs" dxfId="98" priority="157" operator="greaterThan">
      <formula>100</formula>
    </cfRule>
    <cfRule type="cellIs" dxfId="97" priority="158" operator="between">
      <formula>10</formula>
      <formula>100</formula>
    </cfRule>
    <cfRule type="cellIs" dxfId="96" priority="159" operator="between">
      <formula>1</formula>
      <formula>10</formula>
    </cfRule>
    <cfRule type="cellIs" dxfId="95" priority="160" operator="lessThan">
      <formula>1</formula>
    </cfRule>
  </conditionalFormatting>
  <conditionalFormatting sqref="I227:J229 H239:H241 L227:M229">
    <cfRule type="cellIs" dxfId="94" priority="151" operator="equal">
      <formula>0</formula>
    </cfRule>
    <cfRule type="cellIs" dxfId="93" priority="152" operator="greaterThan">
      <formula>100</formula>
    </cfRule>
    <cfRule type="cellIs" dxfId="92" priority="153" operator="between">
      <formula>10</formula>
      <formula>100</formula>
    </cfRule>
    <cfRule type="cellIs" dxfId="91" priority="154" operator="between">
      <formula>1</formula>
      <formula>10</formula>
    </cfRule>
    <cfRule type="cellIs" dxfId="90" priority="155" operator="lessThan">
      <formula>1</formula>
    </cfRule>
  </conditionalFormatting>
  <conditionalFormatting sqref="I230:J230 L230:M230">
    <cfRule type="cellIs" dxfId="89" priority="146" operator="equal">
      <formula>0</formula>
    </cfRule>
    <cfRule type="cellIs" dxfId="88" priority="147" operator="greaterThan">
      <formula>100</formula>
    </cfRule>
    <cfRule type="cellIs" dxfId="87" priority="148" operator="between">
      <formula>10</formula>
      <formula>100</formula>
    </cfRule>
    <cfRule type="cellIs" dxfId="86" priority="149" operator="between">
      <formula>1</formula>
      <formula>10</formula>
    </cfRule>
    <cfRule type="cellIs" dxfId="85" priority="150" operator="lessThan">
      <formula>1</formula>
    </cfRule>
  </conditionalFormatting>
  <conditionalFormatting sqref="I233:J234 L233:M234">
    <cfRule type="cellIs" dxfId="84" priority="141" operator="equal">
      <formula>0</formula>
    </cfRule>
    <cfRule type="cellIs" dxfId="83" priority="142" operator="greaterThan">
      <formula>100</formula>
    </cfRule>
    <cfRule type="cellIs" dxfId="82" priority="143" operator="between">
      <formula>10</formula>
      <formula>100</formula>
    </cfRule>
    <cfRule type="cellIs" dxfId="81" priority="144" operator="between">
      <formula>1</formula>
      <formula>10</formula>
    </cfRule>
    <cfRule type="cellIs" dxfId="80" priority="145" operator="lessThan">
      <formula>1</formula>
    </cfRule>
  </conditionalFormatting>
  <conditionalFormatting sqref="I239:J241 L239:M241">
    <cfRule type="cellIs" dxfId="79" priority="136" operator="equal">
      <formula>0</formula>
    </cfRule>
    <cfRule type="cellIs" dxfId="78" priority="137" operator="greaterThan">
      <formula>100</formula>
    </cfRule>
    <cfRule type="cellIs" dxfId="77" priority="138" operator="between">
      <formula>10</formula>
      <formula>100</formula>
    </cfRule>
    <cfRule type="cellIs" dxfId="76" priority="139" operator="between">
      <formula>1</formula>
      <formula>10</formula>
    </cfRule>
    <cfRule type="cellIs" dxfId="75" priority="140" operator="lessThan">
      <formula>1</formula>
    </cfRule>
  </conditionalFormatting>
  <conditionalFormatting sqref="O239:P241">
    <cfRule type="cellIs" dxfId="74" priority="131" operator="equal">
      <formula>0</formula>
    </cfRule>
    <cfRule type="cellIs" dxfId="73" priority="132" operator="greaterThan">
      <formula>100</formula>
    </cfRule>
    <cfRule type="cellIs" dxfId="72" priority="133" operator="between">
      <formula>10</formula>
      <formula>100</formula>
    </cfRule>
    <cfRule type="cellIs" dxfId="71" priority="134" operator="between">
      <formula>1</formula>
      <formula>10</formula>
    </cfRule>
    <cfRule type="cellIs" dxfId="70" priority="135" operator="lessThan">
      <formula>1</formula>
    </cfRule>
  </conditionalFormatting>
  <conditionalFormatting sqref="O227:P230 O233:P234">
    <cfRule type="cellIs" dxfId="69" priority="126" operator="equal">
      <formula>0</formula>
    </cfRule>
    <cfRule type="cellIs" dxfId="68" priority="127" operator="greaterThan">
      <formula>100</formula>
    </cfRule>
    <cfRule type="cellIs" dxfId="67" priority="128" operator="between">
      <formula>10</formula>
      <formula>100</formula>
    </cfRule>
    <cfRule type="cellIs" dxfId="66" priority="129" operator="between">
      <formula>1</formula>
      <formula>10</formula>
    </cfRule>
    <cfRule type="cellIs" dxfId="65" priority="130" operator="lessThan">
      <formula>1</formula>
    </cfRule>
  </conditionalFormatting>
  <conditionalFormatting sqref="K239:K241">
    <cfRule type="cellIs" dxfId="64" priority="121" operator="equal">
      <formula>0</formula>
    </cfRule>
    <cfRule type="cellIs" dxfId="63" priority="122" operator="greaterThan">
      <formula>100</formula>
    </cfRule>
    <cfRule type="cellIs" dxfId="62" priority="123" operator="between">
      <formula>10</formula>
      <formula>100</formula>
    </cfRule>
    <cfRule type="cellIs" dxfId="61" priority="124" operator="between">
      <formula>1</formula>
      <formula>10</formula>
    </cfRule>
    <cfRule type="cellIs" dxfId="60" priority="125" operator="lessThan">
      <formula>1</formula>
    </cfRule>
  </conditionalFormatting>
  <conditionalFormatting sqref="N239:N241">
    <cfRule type="cellIs" dxfId="59" priority="116" operator="equal">
      <formula>0</formula>
    </cfRule>
    <cfRule type="cellIs" dxfId="58" priority="117" operator="greaterThan">
      <formula>100</formula>
    </cfRule>
    <cfRule type="cellIs" dxfId="57" priority="118" operator="between">
      <formula>10</formula>
      <formula>100</formula>
    </cfRule>
    <cfRule type="cellIs" dxfId="56" priority="119" operator="between">
      <formula>1</formula>
      <formula>10</formula>
    </cfRule>
    <cfRule type="cellIs" dxfId="55" priority="120" operator="lessThan">
      <formula>1</formula>
    </cfRule>
  </conditionalFormatting>
  <conditionalFormatting sqref="O106:P110 N112:O116">
    <cfRule type="cellIs" dxfId="54" priority="111" operator="equal">
      <formula>0</formula>
    </cfRule>
    <cfRule type="cellIs" dxfId="53" priority="112" operator="greaterThan">
      <formula>100</formula>
    </cfRule>
    <cfRule type="cellIs" dxfId="52" priority="113" operator="between">
      <formula>10</formula>
      <formula>100</formula>
    </cfRule>
    <cfRule type="cellIs" dxfId="51" priority="114" operator="between">
      <formula>1</formula>
      <formula>10</formula>
    </cfRule>
    <cfRule type="cellIs" dxfId="50" priority="115" operator="lessThan">
      <formula>1</formula>
    </cfRule>
  </conditionalFormatting>
  <conditionalFormatting sqref="P112:P116">
    <cfRule type="cellIs" dxfId="49" priority="106" operator="equal">
      <formula>0</formula>
    </cfRule>
    <cfRule type="cellIs" dxfId="48" priority="107" operator="greaterThan">
      <formula>100</formula>
    </cfRule>
    <cfRule type="cellIs" dxfId="47" priority="108" operator="between">
      <formula>10</formula>
      <formula>100</formula>
    </cfRule>
    <cfRule type="cellIs" dxfId="46" priority="109" operator="between">
      <formula>1</formula>
      <formula>10</formula>
    </cfRule>
    <cfRule type="cellIs" dxfId="45" priority="110" operator="lessThan">
      <formula>1</formula>
    </cfRule>
  </conditionalFormatting>
  <conditionalFormatting sqref="I268:J270 L268:M270">
    <cfRule type="cellIs" dxfId="44" priority="51" operator="equal">
      <formula>0</formula>
    </cfRule>
    <cfRule type="cellIs" dxfId="43" priority="52" operator="greaterThan">
      <formula>100</formula>
    </cfRule>
    <cfRule type="cellIs" dxfId="42" priority="53" operator="between">
      <formula>10</formula>
      <formula>100</formula>
    </cfRule>
    <cfRule type="cellIs" dxfId="41" priority="54" operator="between">
      <formula>1</formula>
      <formula>10</formula>
    </cfRule>
    <cfRule type="cellIs" dxfId="40" priority="55" operator="lessThan">
      <formula>1</formula>
    </cfRule>
  </conditionalFormatting>
  <conditionalFormatting sqref="O268:P270">
    <cfRule type="cellIs" dxfId="39" priority="46" operator="equal">
      <formula>0</formula>
    </cfRule>
    <cfRule type="cellIs" dxfId="38" priority="47" operator="greaterThan">
      <formula>100</formula>
    </cfRule>
    <cfRule type="cellIs" dxfId="37" priority="48" operator="between">
      <formula>10</formula>
      <formula>100</formula>
    </cfRule>
    <cfRule type="cellIs" dxfId="36" priority="49" operator="between">
      <formula>1</formula>
      <formula>10</formula>
    </cfRule>
    <cfRule type="cellIs" dxfId="35" priority="50" operator="lessThan">
      <formula>1</formula>
    </cfRule>
  </conditionalFormatting>
  <conditionalFormatting sqref="H271:H272">
    <cfRule type="cellIs" dxfId="34" priority="41" operator="equal">
      <formula>0</formula>
    </cfRule>
    <cfRule type="cellIs" dxfId="33" priority="42" operator="greaterThan">
      <formula>100</formula>
    </cfRule>
    <cfRule type="cellIs" dxfId="32" priority="43" operator="between">
      <formula>10</formula>
      <formula>100</formula>
    </cfRule>
    <cfRule type="cellIs" dxfId="31" priority="44" operator="between">
      <formula>1</formula>
      <formula>10</formula>
    </cfRule>
    <cfRule type="cellIs" dxfId="30" priority="45" operator="lessThan">
      <formula>1</formula>
    </cfRule>
  </conditionalFormatting>
  <conditionalFormatting sqref="I271:J272 L271:M272">
    <cfRule type="cellIs" dxfId="29" priority="36" operator="equal">
      <formula>0</formula>
    </cfRule>
    <cfRule type="cellIs" dxfId="28" priority="37" operator="greaterThan">
      <formula>100</formula>
    </cfRule>
    <cfRule type="cellIs" dxfId="27" priority="38" operator="between">
      <formula>10</formula>
      <formula>100</formula>
    </cfRule>
    <cfRule type="cellIs" dxfId="26" priority="39" operator="between">
      <formula>1</formula>
      <formula>10</formula>
    </cfRule>
    <cfRule type="cellIs" dxfId="25" priority="40" operator="lessThan">
      <formula>1</formula>
    </cfRule>
  </conditionalFormatting>
  <conditionalFormatting sqref="O271:P272">
    <cfRule type="cellIs" dxfId="24" priority="31" operator="equal">
      <formula>0</formula>
    </cfRule>
    <cfRule type="cellIs" dxfId="23" priority="32" operator="greaterThan">
      <formula>100</formula>
    </cfRule>
    <cfRule type="cellIs" dxfId="22" priority="33" operator="between">
      <formula>10</formula>
      <formula>100</formula>
    </cfRule>
    <cfRule type="cellIs" dxfId="21" priority="34" operator="between">
      <formula>1</formula>
      <formula>10</formula>
    </cfRule>
    <cfRule type="cellIs" dxfId="20" priority="35" operator="lessThan">
      <formula>1</formula>
    </cfRule>
  </conditionalFormatting>
  <conditionalFormatting sqref="K271:K272">
    <cfRule type="cellIs" dxfId="19" priority="26" operator="equal">
      <formula>0</formula>
    </cfRule>
    <cfRule type="cellIs" dxfId="18" priority="27" operator="greaterThan">
      <formula>100</formula>
    </cfRule>
    <cfRule type="cellIs" dxfId="17" priority="28" operator="between">
      <formula>10</formula>
      <formula>100</formula>
    </cfRule>
    <cfRule type="cellIs" dxfId="16" priority="29" operator="between">
      <formula>1</formula>
      <formula>10</formula>
    </cfRule>
    <cfRule type="cellIs" dxfId="15" priority="30" operator="lessThan">
      <formula>1</formula>
    </cfRule>
  </conditionalFormatting>
  <conditionalFormatting sqref="N271:N272">
    <cfRule type="cellIs" dxfId="14" priority="21" operator="equal">
      <formula>0</formula>
    </cfRule>
    <cfRule type="cellIs" dxfId="13" priority="22" operator="greaterThan">
      <formula>100</formula>
    </cfRule>
    <cfRule type="cellIs" dxfId="12" priority="23" operator="between">
      <formula>10</formula>
      <formula>100</formula>
    </cfRule>
    <cfRule type="cellIs" dxfId="11" priority="24" operator="between">
      <formula>1</formula>
      <formula>10</formula>
    </cfRule>
    <cfRule type="cellIs" dxfId="10" priority="25" operator="lessThan">
      <formula>1</formula>
    </cfRule>
  </conditionalFormatting>
  <conditionalFormatting sqref="N275:O276 O274:P274">
    <cfRule type="cellIs" dxfId="9" priority="16" operator="equal">
      <formula>0</formula>
    </cfRule>
    <cfRule type="cellIs" dxfId="8" priority="17" operator="greaterThan">
      <formula>100</formula>
    </cfRule>
    <cfRule type="cellIs" dxfId="7" priority="18" operator="between">
      <formula>10</formula>
      <formula>100</formula>
    </cfRule>
    <cfRule type="cellIs" dxfId="6" priority="19" operator="between">
      <formula>1</formula>
      <formula>10</formula>
    </cfRule>
    <cfRule type="cellIs" dxfId="5" priority="20" operator="lessThan">
      <formula>1</formula>
    </cfRule>
  </conditionalFormatting>
  <conditionalFormatting sqref="P275:P276">
    <cfRule type="cellIs" dxfId="4" priority="11" operator="equal">
      <formula>0</formula>
    </cfRule>
    <cfRule type="cellIs" dxfId="3" priority="12" operator="greaterThan">
      <formula>100</formula>
    </cfRule>
    <cfRule type="cellIs" dxfId="2" priority="13" operator="between">
      <formula>10</formula>
      <formula>100</formula>
    </cfRule>
    <cfRule type="cellIs" dxfId="1" priority="14" operator="between">
      <formula>1</formula>
      <formula>10</formula>
    </cfRule>
    <cfRule type="cellIs" dxfId="0" priority="15" operator="lessThan">
      <formula>1</formula>
    </cfRule>
  </conditionalFormatting>
  <hyperlinks>
    <hyperlink ref="D230" r:id="rId1" xr:uid="{00000000-0004-0000-0500-000000000000}"/>
    <hyperlink ref="D164" r:id="rId2" xr:uid="{00000000-0004-0000-0500-000001000000}"/>
    <hyperlink ref="D172" r:id="rId3" xr:uid="{00000000-0004-0000-0500-000002000000}"/>
    <hyperlink ref="D170" r:id="rId4" xr:uid="{00000000-0004-0000-0500-000003000000}"/>
    <hyperlink ref="D171" r:id="rId5" xr:uid="{00000000-0004-0000-0500-000004000000}"/>
    <hyperlink ref="D169" r:id="rId6" xr:uid="{00000000-0004-0000-0500-000005000000}"/>
    <hyperlink ref="D199" r:id="rId7" xr:uid="{00000000-0004-0000-0500-000006000000}"/>
    <hyperlink ref="D215" r:id="rId8" xr:uid="{00000000-0004-0000-0500-000007000000}"/>
    <hyperlink ref="D217" r:id="rId9" xr:uid="{00000000-0004-0000-0500-000008000000}"/>
    <hyperlink ref="D216" r:id="rId10" xr:uid="{00000000-0004-0000-0500-000009000000}"/>
    <hyperlink ref="D214" r:id="rId11" xr:uid="{00000000-0004-0000-0500-00000A000000}"/>
    <hyperlink ref="D227" r:id="rId12" xr:uid="{00000000-0004-0000-0500-00000B000000}"/>
    <hyperlink ref="D228" r:id="rId13" xr:uid="{00000000-0004-0000-0500-00000C000000}"/>
    <hyperlink ref="D226" r:id="rId14" xr:uid="{00000000-0004-0000-0500-00000D000000}"/>
    <hyperlink ref="D229" r:id="rId15" xr:uid="{00000000-0004-0000-0500-00000E000000}"/>
    <hyperlink ref="D47" r:id="rId16" xr:uid="{00000000-0004-0000-0500-00000F000000}"/>
    <hyperlink ref="D133" r:id="rId17" xr:uid="{00000000-0004-0000-0500-000010000000}"/>
    <hyperlink ref="D78:D104" r:id="rId18" display="https://www.kbob.admin.ch/kbob/de/home/publikationen/nachhaltiges-bauen/oekobilanzdaten_baubereich.html" xr:uid="{00000000-0004-0000-0500-000011000000}"/>
    <hyperlink ref="D20" r:id="rId19" xr:uid="{00000000-0004-0000-0500-000012000000}"/>
    <hyperlink ref="D260" r:id="rId20" xr:uid="{00000000-0004-0000-0500-000013000000}"/>
    <hyperlink ref="D215:D241" r:id="rId21" display="https://www.kbob.admin.ch/kbob/de/home/publikationen/nachhaltiges-bauen/oekobilanzdaten_baubereich.html" xr:uid="{00000000-0004-0000-0500-000014000000}"/>
    <hyperlink ref="D224" r:id="rId22" display="https://www.kbob.admin.ch/kbob/de/home/publikationen/nachhaltiges-bauen/oekobilanzdaten_baubereich.html" xr:uid="{00000000-0004-0000-0500-000015000000}"/>
    <hyperlink ref="D263:D267" r:id="rId23" display="https://www.kbob.admin.ch/kbob/de/home/publikationen/nachhaltiges-bauen/oekobilanzdaten_baubereich.html" xr:uid="{00000000-0004-0000-0500-000016000000}"/>
    <hyperlink ref="D268:D270" r:id="rId24" display="https://www.kbob.admin.ch/kbob/de/home/publikationen/nachhaltiges-bauen/oekobilanzdaten_baubereich.html" xr:uid="{00000000-0004-0000-0500-000017000000}"/>
    <hyperlink ref="D266" r:id="rId25" display="https://www.kbob.admin.ch/kbob/de/home/publikationen/nachhaltiges-bauen/oekobilanzdaten_baubereich.html" xr:uid="{00000000-0004-0000-0500-000018000000}"/>
    <hyperlink ref="D267" r:id="rId26" display="https://www.kbob.admin.ch/kbob/de/home/publikationen/nachhaltiges-bauen/oekobilanzdaten_baubereich.html" xr:uid="{00000000-0004-0000-0500-000019000000}"/>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pageSetUpPr fitToPage="1"/>
  </sheetPr>
  <dimension ref="A1:D35"/>
  <sheetViews>
    <sheetView workbookViewId="0">
      <selection activeCell="B23" sqref="B23"/>
    </sheetView>
  </sheetViews>
  <sheetFormatPr baseColWidth="10" defaultRowHeight="15"/>
  <cols>
    <col min="1" max="1" width="9.44140625" customWidth="1"/>
    <col min="2" max="2" width="82.33203125" customWidth="1"/>
    <col min="3" max="3" width="8.5546875" customWidth="1"/>
    <col min="4" max="4" width="9.21875" customWidth="1"/>
  </cols>
  <sheetData>
    <row r="1" spans="1:4" ht="23.25">
      <c r="A1" s="12" t="s">
        <v>865</v>
      </c>
    </row>
    <row r="3" spans="1:4">
      <c r="A3" s="11" t="s">
        <v>866</v>
      </c>
      <c r="B3" s="11" t="s">
        <v>867</v>
      </c>
      <c r="C3" s="11" t="s">
        <v>868</v>
      </c>
      <c r="D3" s="11" t="s">
        <v>869</v>
      </c>
    </row>
    <row r="4" spans="1:4">
      <c r="A4" s="209" t="s">
        <v>873</v>
      </c>
      <c r="B4" s="5" t="s">
        <v>871</v>
      </c>
      <c r="C4" s="210">
        <v>43391</v>
      </c>
      <c r="D4" s="5" t="s">
        <v>872</v>
      </c>
    </row>
    <row r="5" spans="1:4">
      <c r="A5" s="209" t="s">
        <v>874</v>
      </c>
      <c r="B5" s="5" t="s">
        <v>875</v>
      </c>
      <c r="C5" s="210">
        <v>43436</v>
      </c>
      <c r="D5" s="5" t="s">
        <v>872</v>
      </c>
    </row>
    <row r="6" spans="1:4">
      <c r="A6" s="209" t="s">
        <v>876</v>
      </c>
      <c r="B6" s="5" t="s">
        <v>877</v>
      </c>
      <c r="C6" s="210">
        <v>43798</v>
      </c>
      <c r="D6" s="5" t="s">
        <v>872</v>
      </c>
    </row>
    <row r="7" spans="1:4">
      <c r="A7" s="209" t="s">
        <v>1951</v>
      </c>
      <c r="B7" s="5" t="s">
        <v>878</v>
      </c>
      <c r="C7" s="210">
        <v>43833</v>
      </c>
      <c r="D7" s="5" t="s">
        <v>872</v>
      </c>
    </row>
    <row r="8" spans="1:4">
      <c r="A8" s="209" t="s">
        <v>870</v>
      </c>
      <c r="B8" s="5" t="s">
        <v>1952</v>
      </c>
      <c r="C8" s="210">
        <v>43854</v>
      </c>
      <c r="D8" s="5" t="s">
        <v>872</v>
      </c>
    </row>
    <row r="9" spans="1:4">
      <c r="A9" s="209" t="s">
        <v>2403</v>
      </c>
      <c r="B9" s="5" t="s">
        <v>2404</v>
      </c>
      <c r="C9" s="210">
        <v>44246</v>
      </c>
      <c r="D9" s="5" t="s">
        <v>872</v>
      </c>
    </row>
    <row r="10" spans="1:4">
      <c r="A10" s="5"/>
      <c r="B10" s="5"/>
      <c r="C10" s="5"/>
      <c r="D10" s="5"/>
    </row>
    <row r="11" spans="1:4">
      <c r="A11" s="5"/>
      <c r="B11" s="5"/>
      <c r="C11" s="5"/>
      <c r="D11" s="5"/>
    </row>
    <row r="12" spans="1:4">
      <c r="A12" s="5"/>
      <c r="B12" s="5"/>
      <c r="C12" s="5"/>
      <c r="D12" s="5"/>
    </row>
    <row r="13" spans="1:4">
      <c r="A13" s="5"/>
      <c r="B13" s="5"/>
      <c r="C13" s="5"/>
      <c r="D13" s="5"/>
    </row>
    <row r="14" spans="1:4">
      <c r="A14" s="5"/>
      <c r="B14" s="5"/>
      <c r="C14" s="5"/>
      <c r="D14" s="5"/>
    </row>
    <row r="15" spans="1:4">
      <c r="A15" s="5"/>
      <c r="B15" s="5"/>
      <c r="C15" s="5"/>
      <c r="D15" s="5"/>
    </row>
    <row r="16" spans="1:4">
      <c r="A16" s="5"/>
      <c r="B16" s="5"/>
      <c r="C16" s="5"/>
      <c r="D16" s="5"/>
    </row>
    <row r="17" spans="1:4">
      <c r="A17" s="5"/>
      <c r="B17" s="5"/>
      <c r="C17" s="5"/>
      <c r="D17" s="5"/>
    </row>
    <row r="18" spans="1:4">
      <c r="A18" s="5"/>
      <c r="B18" s="5"/>
      <c r="C18" s="5"/>
      <c r="D18" s="5"/>
    </row>
    <row r="19" spans="1:4">
      <c r="A19" s="5"/>
      <c r="B19" s="5"/>
      <c r="C19" s="5"/>
      <c r="D19" s="5"/>
    </row>
    <row r="20" spans="1:4">
      <c r="A20" s="5"/>
      <c r="B20" s="5"/>
      <c r="C20" s="5"/>
      <c r="D20" s="5"/>
    </row>
    <row r="21" spans="1:4">
      <c r="A21" s="5"/>
      <c r="B21" s="5"/>
      <c r="C21" s="5"/>
      <c r="D21" s="5"/>
    </row>
    <row r="22" spans="1:4">
      <c r="A22" s="5"/>
      <c r="B22" s="5"/>
      <c r="C22" s="5"/>
      <c r="D22" s="5"/>
    </row>
    <row r="23" spans="1:4">
      <c r="A23" s="5"/>
      <c r="B23" s="5"/>
      <c r="C23" s="5"/>
      <c r="D23" s="5"/>
    </row>
    <row r="24" spans="1:4">
      <c r="A24" s="5"/>
      <c r="B24" s="5"/>
      <c r="C24" s="5"/>
      <c r="D24" s="5"/>
    </row>
    <row r="25" spans="1:4">
      <c r="A25" s="5"/>
      <c r="B25" s="5"/>
      <c r="C25" s="5"/>
      <c r="D25" s="5"/>
    </row>
    <row r="26" spans="1:4">
      <c r="A26" s="5"/>
      <c r="B26" s="5"/>
      <c r="C26" s="5"/>
      <c r="D26" s="5"/>
    </row>
    <row r="27" spans="1:4">
      <c r="A27" s="5"/>
      <c r="B27" s="5"/>
      <c r="C27" s="5"/>
      <c r="D27" s="5"/>
    </row>
    <row r="28" spans="1:4">
      <c r="A28" s="211"/>
      <c r="B28" s="211"/>
      <c r="C28" s="211"/>
      <c r="D28" s="211"/>
    </row>
    <row r="29" spans="1:4">
      <c r="A29" s="212" t="str">
        <f>INDEX($A$4:$A$28,SUMPRODUCT(MAX(($A$4:$A$28&lt;&gt;"")*ROW($A$4:$A$28)))-3,1)</f>
        <v>2.02</v>
      </c>
      <c r="B29" s="11"/>
      <c r="C29" s="236">
        <f>INDEX($C$4:$C$28,SUMPRODUCT(MAX(($C$4:$C$28&lt;&gt;"")*ROW($C$4:$C$28)))-3,1)</f>
        <v>44246</v>
      </c>
      <c r="D29" s="11"/>
    </row>
    <row r="33" spans="2:2">
      <c r="B33" s="226"/>
    </row>
    <row r="35" spans="2:2">
      <c r="B35" s="226"/>
    </row>
  </sheetData>
  <sheetProtection selectLockedCells="1" selectUnlockedCells="1"/>
  <dataValidations count="1">
    <dataValidation type="custom" showInputMessage="1" showErrorMessage="1" errorTitle="Fehler" error="gg" sqref="B33" xr:uid="{00000000-0002-0000-0600-000000000000}">
      <formula1>$B$33&lt;&gt;0</formula1>
    </dataValidation>
  </dataValidation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153</vt:i4>
      </vt:variant>
    </vt:vector>
  </HeadingPairs>
  <TitlesOfParts>
    <vt:vector size="160" baseType="lpstr">
      <vt:lpstr>Riassunto</vt:lpstr>
      <vt:lpstr>Calcolo</vt:lpstr>
      <vt:lpstr>Questionario_ammodernamento</vt:lpstr>
      <vt:lpstr>Constants</vt:lpstr>
      <vt:lpstr>Texte</vt:lpstr>
      <vt:lpstr>Bauteile</vt:lpstr>
      <vt:lpstr>Versionierung</vt:lpstr>
      <vt:lpstr>Antwort_simp</vt:lpstr>
      <vt:lpstr>AusmAushub</vt:lpstr>
      <vt:lpstr>AusmDecke</vt:lpstr>
      <vt:lpstr>AusmIW</vt:lpstr>
      <vt:lpstr>AusmSonde</vt:lpstr>
      <vt:lpstr>AusmTech</vt:lpstr>
      <vt:lpstr>BauteileNew</vt:lpstr>
      <vt:lpstr>BauteileRen</vt:lpstr>
      <vt:lpstr>Befriedigend</vt:lpstr>
      <vt:lpstr>BKPshort</vt:lpstr>
      <vt:lpstr>BodenUnbeh</vt:lpstr>
      <vt:lpstr>Cert</vt:lpstr>
      <vt:lpstr>CmpltElements</vt:lpstr>
      <vt:lpstr>CmpltTech</vt:lpstr>
      <vt:lpstr>CmpltTextElements</vt:lpstr>
      <vt:lpstr>CmpltTextTech</vt:lpstr>
      <vt:lpstr>Calcolo!Druckbereich</vt:lpstr>
      <vt:lpstr>Questionario_ammodernamento!Druckbereich</vt:lpstr>
      <vt:lpstr>Riassunto!Druckbereich</vt:lpstr>
      <vt:lpstr>Versionierung!Druckbereich</vt:lpstr>
      <vt:lpstr>EBF</vt:lpstr>
      <vt:lpstr>ECO</vt:lpstr>
      <vt:lpstr>EcoGW1_M</vt:lpstr>
      <vt:lpstr>EcoGW1_N</vt:lpstr>
      <vt:lpstr>EcoGW2_M</vt:lpstr>
      <vt:lpstr>EcoGW2_N</vt:lpstr>
      <vt:lpstr>EcoGWTH1_M</vt:lpstr>
      <vt:lpstr>EcoGWTH1_N</vt:lpstr>
      <vt:lpstr>EcoGWTH2_M</vt:lpstr>
      <vt:lpstr>EcoGWTH2_N</vt:lpstr>
      <vt:lpstr>EffiPfad</vt:lpstr>
      <vt:lpstr>EffiPfadGWpe</vt:lpstr>
      <vt:lpstr>EffiPfadGWth</vt:lpstr>
      <vt:lpstr>ElNeu</vt:lpstr>
      <vt:lpstr>EnStandard</vt:lpstr>
      <vt:lpstr>ErdSonde</vt:lpstr>
      <vt:lpstr>ErrText</vt:lpstr>
      <vt:lpstr>FaktorMEP</vt:lpstr>
      <vt:lpstr>FaktorMEP_WE</vt:lpstr>
      <vt:lpstr>FaktorPE_TH_ECO_M</vt:lpstr>
      <vt:lpstr>FaktorPE_TH_ECO_N</vt:lpstr>
      <vt:lpstr>FaktorPE_TH_SNBS</vt:lpstr>
      <vt:lpstr>FaktorSondenME</vt:lpstr>
      <vt:lpstr>Fehler</vt:lpstr>
      <vt:lpstr>GebKat</vt:lpstr>
      <vt:lpstr>GF</vt:lpstr>
      <vt:lpstr>GF_UG</vt:lpstr>
      <vt:lpstr>GT_PE_M</vt:lpstr>
      <vt:lpstr>GT_TH_M</vt:lpstr>
      <vt:lpstr>Gut</vt:lpstr>
      <vt:lpstr>GWPE1unbeh</vt:lpstr>
      <vt:lpstr>GWPE2unbeh</vt:lpstr>
      <vt:lpstr>GWPEerdsonde1</vt:lpstr>
      <vt:lpstr>GWPEerdsonde2</vt:lpstr>
      <vt:lpstr>GWPEpv</vt:lpstr>
      <vt:lpstr>GWPEthermie</vt:lpstr>
      <vt:lpstr>GWTH1unbeh</vt:lpstr>
      <vt:lpstr>GWTH2unbeh</vt:lpstr>
      <vt:lpstr>GWTHerdsonde1</vt:lpstr>
      <vt:lpstr>GWTHerdsonde2</vt:lpstr>
      <vt:lpstr>GWTHpv</vt:lpstr>
      <vt:lpstr>GWTHthermie</vt:lpstr>
      <vt:lpstr>IWtyp</vt:lpstr>
      <vt:lpstr>Ja</vt:lpstr>
      <vt:lpstr>JaNein</vt:lpstr>
      <vt:lpstr>LCAdata_New</vt:lpstr>
      <vt:lpstr>LCAdata_Ren</vt:lpstr>
      <vt:lpstr>ListBauteileNew</vt:lpstr>
      <vt:lpstr>ListBauteileRen</vt:lpstr>
      <vt:lpstr>ListBKP</vt:lpstr>
      <vt:lpstr>ListCert</vt:lpstr>
      <vt:lpstr>ListEcoKat</vt:lpstr>
      <vt:lpstr>ListEffiPfadKat</vt:lpstr>
      <vt:lpstr>ListEnStandard</vt:lpstr>
      <vt:lpstr>ListGebaeudekat</vt:lpstr>
      <vt:lpstr>ListIWtyp</vt:lpstr>
      <vt:lpstr>ListNewElem</vt:lpstr>
      <vt:lpstr>ListProjekttyp</vt:lpstr>
      <vt:lpstr>ListSNBSkat</vt:lpstr>
      <vt:lpstr>ListSprache</vt:lpstr>
      <vt:lpstr>MatrixBeleuchtung</vt:lpstr>
      <vt:lpstr>MatrixTexteT1</vt:lpstr>
      <vt:lpstr>MatrixTexteT2</vt:lpstr>
      <vt:lpstr>MatrixTexteT4</vt:lpstr>
      <vt:lpstr>MatrixWindow</vt:lpstr>
      <vt:lpstr>ME</vt:lpstr>
      <vt:lpstr>MEP</vt:lpstr>
      <vt:lpstr>MEP_New</vt:lpstr>
      <vt:lpstr>MEP_Ren</vt:lpstr>
      <vt:lpstr>MxBauteilgruppe</vt:lpstr>
      <vt:lpstr>MxCert</vt:lpstr>
      <vt:lpstr>MxEcoGWPE_M</vt:lpstr>
      <vt:lpstr>MxEcoGWPE_N</vt:lpstr>
      <vt:lpstr>MxEcoGWTH_M</vt:lpstr>
      <vt:lpstr>MxEcoGWTH_N</vt:lpstr>
      <vt:lpstr>MxEffiPfad_GWPE</vt:lpstr>
      <vt:lpstr>MxEffiPfad_GWTH</vt:lpstr>
      <vt:lpstr>MxIWausmass</vt:lpstr>
      <vt:lpstr>N_BKP_B</vt:lpstr>
      <vt:lpstr>N_BKP_C1</vt:lpstr>
      <vt:lpstr>N_BKP_C211</vt:lpstr>
      <vt:lpstr>N_BKP_C212</vt:lpstr>
      <vt:lpstr>N_BKP_C22</vt:lpstr>
      <vt:lpstr>N_BKP_C41</vt:lpstr>
      <vt:lpstr>N_BKP_C43</vt:lpstr>
      <vt:lpstr>N_BKP_C44</vt:lpstr>
      <vt:lpstr>N_BKP_D</vt:lpstr>
      <vt:lpstr>N_BKP_E3</vt:lpstr>
      <vt:lpstr>N_BKP_G</vt:lpstr>
      <vt:lpstr>Nein</vt:lpstr>
      <vt:lpstr>NewConstruction</vt:lpstr>
      <vt:lpstr>NoStandard</vt:lpstr>
      <vt:lpstr>OK</vt:lpstr>
      <vt:lpstr>Password</vt:lpstr>
      <vt:lpstr>Projektbez</vt:lpstr>
      <vt:lpstr>PVflaeche</vt:lpstr>
      <vt:lpstr>QuestComplete</vt:lpstr>
      <vt:lpstr>R_BKP_B</vt:lpstr>
      <vt:lpstr>R_BKP_C1</vt:lpstr>
      <vt:lpstr>R_BKP_C211</vt:lpstr>
      <vt:lpstr>R_BKP_C212</vt:lpstr>
      <vt:lpstr>R_BKP_C22</vt:lpstr>
      <vt:lpstr>R_BKP_C41</vt:lpstr>
      <vt:lpstr>R_BKP_C43</vt:lpstr>
      <vt:lpstr>R_BKP_C44</vt:lpstr>
      <vt:lpstr>R_BKP_D</vt:lpstr>
      <vt:lpstr>R_BKP_E3</vt:lpstr>
      <vt:lpstr>R_BKP_G</vt:lpstr>
      <vt:lpstr>Raumhoehe</vt:lpstr>
      <vt:lpstr>Renovation</vt:lpstr>
      <vt:lpstr>ResQuest</vt:lpstr>
      <vt:lpstr>SanNeu</vt:lpstr>
      <vt:lpstr>SheetBuildgData</vt:lpstr>
      <vt:lpstr>SheetOverview</vt:lpstr>
      <vt:lpstr>SheetQuestionaire</vt:lpstr>
      <vt:lpstr>SNBS</vt:lpstr>
      <vt:lpstr>SNBS_GWPE</vt:lpstr>
      <vt:lpstr>SNBS_GWTH</vt:lpstr>
      <vt:lpstr>SNBS_Note</vt:lpstr>
      <vt:lpstr>SNBSnoten</vt:lpstr>
      <vt:lpstr>Sprachwahl</vt:lpstr>
      <vt:lpstr>StockwerkeUH</vt:lpstr>
      <vt:lpstr>StockwerkeUT</vt:lpstr>
      <vt:lpstr>SumPE</vt:lpstr>
      <vt:lpstr>SumTHGE</vt:lpstr>
      <vt:lpstr>TableNames</vt:lpstr>
      <vt:lpstr>ThermieFlaeche</vt:lpstr>
      <vt:lpstr>Typ</vt:lpstr>
      <vt:lpstr>VentNeu</vt:lpstr>
      <vt:lpstr>Version</vt:lpstr>
      <vt:lpstr>WAneu</vt:lpstr>
      <vt:lpstr>WEneu</vt:lpstr>
      <vt:lpstr>WVneu</vt:lpstr>
    </vt:vector>
  </TitlesOfParts>
  <Company>eTeam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Gasser</dc:creator>
  <cp:lastModifiedBy>Severin Lenel</cp:lastModifiedBy>
  <cp:lastPrinted>2020-01-24T18:07:08Z</cp:lastPrinted>
  <dcterms:created xsi:type="dcterms:W3CDTF">1999-01-20T17:37:13Z</dcterms:created>
  <dcterms:modified xsi:type="dcterms:W3CDTF">2021-02-19T19:21:18Z</dcterms:modified>
</cp:coreProperties>
</file>