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Min\"/>
    </mc:Choice>
  </mc:AlternateContent>
  <bookViews>
    <workbookView xWindow="0" yWindow="0" windowWidth="11490" windowHeight="9810" tabRatio="620"/>
  </bookViews>
  <sheets>
    <sheet name="Entrées" sheetId="3" r:id="rId1"/>
    <sheet name="MINERGIE" sheetId="33254" r:id="rId2"/>
    <sheet name="Eté" sheetId="33255" r:id="rId3"/>
    <sheet name="Justificatif" sheetId="1027" r:id="rId4"/>
    <sheet name="Aperçu"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Justificatif!$R$8</definedName>
    <definedName name="_gew2">Justificatif!$R$12</definedName>
    <definedName name="_gew3">Justificatif!$R$16</definedName>
    <definedName name="_gew4">Justificatif!$R$20</definedName>
    <definedName name="_gew5">Justificatif!$F$51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Entrées!$F$83</definedName>
    <definedName name="_Qe2">Entrées!$G$83</definedName>
    <definedName name="_Qe3">Entrées!$H$83</definedName>
    <definedName name="_Qe4">Entrées!$I$83</definedName>
    <definedName name="_Qel1">Entrées!$F$82</definedName>
    <definedName name="_Qel2">Entrées!$G$82</definedName>
    <definedName name="_Qel3">Entrées!$H$82</definedName>
    <definedName name="_Qel4">Entrées!$I$82</definedName>
    <definedName name="_qh1">Entrées!$F$89</definedName>
    <definedName name="_qh2">Entrées!$G$89</definedName>
    <definedName name="_qh3">Entrées!$H$89</definedName>
    <definedName name="_qh4">Entrées!$I$89</definedName>
    <definedName name="_qhs1">Entrées!$F$90</definedName>
    <definedName name="_qhs2">Entrées!$G$90</definedName>
    <definedName name="_qhs3">Entrées!$H$90</definedName>
    <definedName name="_qhs4">Entrées!$I$90</definedName>
    <definedName name="_qw1">Justificatif!$G$35</definedName>
    <definedName name="_qw2">Justificatif!$H$35</definedName>
    <definedName name="_qw3">Justificatif!$I$35</definedName>
    <definedName name="_qw4">Justificatif!$J$35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Entrées!$F$45</definedName>
    <definedName name="_Vth2">Entrées!$G$45</definedName>
    <definedName name="_Vth3">Entrées!$H$45</definedName>
    <definedName name="_Vth4">Entrées!$I$45</definedName>
    <definedName name="_WRG1">Entrées!$F$93</definedName>
    <definedName name="_WRG2">Entrées!$G$93</definedName>
    <definedName name="_WRG3">Entrées!$H$93</definedName>
    <definedName name="_WRG4">Entrées!$I$93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Entrées!$K$85</definedName>
    <definedName name="ACDC1">Standardwerte!$N$25</definedName>
    <definedName name="ACDC2">Standardwerte!$R$25</definedName>
    <definedName name="ACDC3">Standardwerte!$N$29</definedName>
    <definedName name="ACDC4">Standardwerte!$R$29</definedName>
    <definedName name="AEBF">Entrées!$K$92</definedName>
    <definedName name="AEBF1">Entrées!$F$92</definedName>
    <definedName name="AEBF2">Entrées!$G$92</definedName>
    <definedName name="AEBF3">Entrées!$H$92</definedName>
    <definedName name="AEBF4">Entrées!$I$92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Justificatif!$J$27</definedName>
    <definedName name="DeckungsgradWW">Justificatif!$L$27</definedName>
    <definedName name="_xlnm.Print_Area" localSheetId="4">Aperçu!$A$1:$K$65</definedName>
    <definedName name="_xlnm.Print_Area" localSheetId="0">Entrées!$A$1:$K$62</definedName>
    <definedName name="_xlnm.Print_Area" localSheetId="2">Eté!$A$1:$M$52</definedName>
    <definedName name="_xlnm.Print_Area" localSheetId="3">Justificatif!$A$1:$L$84</definedName>
    <definedName name="_xlnm.Print_Area" localSheetId="1">MINERGIE!$A$1:$K$73</definedName>
    <definedName name="_xlnm.Print_Area" localSheetId="5">Standardwerte!$A$1:$Z$77</definedName>
    <definedName name="e_1">Standardwerte!$AV$27</definedName>
    <definedName name="e_2">Standardwerte!$AV$28</definedName>
    <definedName name="e_3">Standardwerte!$AV$29</definedName>
    <definedName name="e_4">Standardwerte!$AV$30</definedName>
    <definedName name="E_Qk">Entrées!$K$84</definedName>
    <definedName name="E_Qk1">Entrées!$F$84</definedName>
    <definedName name="E_Qk11">Entrées!$F$79</definedName>
    <definedName name="E_Qk2">Entrées!$G$84</definedName>
    <definedName name="E_Qk22">Entrées!$G$79</definedName>
    <definedName name="E_Qk3">Entrées!$H$84</definedName>
    <definedName name="E_Qk33">Entrées!$H$79</definedName>
    <definedName name="E_Qk4">Entrées!$I$84</definedName>
    <definedName name="E_Qk44">Entrées!$I$79</definedName>
    <definedName name="EBF">Entrées!$K$19</definedName>
    <definedName name="EBF_MUKEN">Justificatif!$T$2</definedName>
    <definedName name="EBFo">Entrées!$K$91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Justificatif!$O$8</definedName>
    <definedName name="EndenergieB">Justificatif!$O$12</definedName>
    <definedName name="EndenergieC">Justificatif!$O$16</definedName>
    <definedName name="EndenergieD">Justificatif!$O$20</definedName>
    <definedName name="EndenergieE">Justificatif!$U$48</definedName>
    <definedName name="Erzeugung">Standardwerte!$T$108:$T$155</definedName>
    <definedName name="f_fr_PV">MINERGIE!$AI$67</definedName>
    <definedName name="F_s1">Entrées!$F$25</definedName>
    <definedName name="F_s2">Entrées!$G$25</definedName>
    <definedName name="F_s3">Entrées!$H$25</definedName>
    <definedName name="F_s4">Entrées!$I$25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Entrées!$F$26</definedName>
    <definedName name="hlicht2">Entrées!$G$26</definedName>
    <definedName name="hlicht3">Entrées!$H$26</definedName>
    <definedName name="hlicht4">Entrées!$I$26</definedName>
    <definedName name="Hoehe">Entrées!$E$13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Justificatif!$I$58</definedName>
    <definedName name="minergiea">Standardwerte!$BM$33</definedName>
    <definedName name="minergiep">Standardwerte!$BM$28</definedName>
    <definedName name="MUKEN">Justificatif!$Q$2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Entrées!$C$7</definedName>
    <definedName name="Projekt2">Entrées!$H$7</definedName>
    <definedName name="Projekt3">Entrées!$J$7</definedName>
    <definedName name="Projekt4">Entrées!$C$8</definedName>
    <definedName name="Qe">Entrées!$K$83</definedName>
    <definedName name="Qe_vollständig">Entrées!$J$83</definedName>
    <definedName name="qh">Justificatif!$W$2</definedName>
    <definedName name="qh_vollständig">Entrées!$J$89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Entrées!$J$90</definedName>
    <definedName name="qw">Justificatif!$L$35</definedName>
    <definedName name="Raum1">Entrées!$F$32</definedName>
    <definedName name="Raum2">Entrées!$G$32</definedName>
    <definedName name="Raum3">Entrées!$H$32</definedName>
    <definedName name="Raum4">Entrées!$I$32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Justificatif!$U$47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Entrées!$K$45</definedName>
    <definedName name="vx">Standardwerte!$P$50</definedName>
    <definedName name="WaermebedarfA">Justificatif!$N$8</definedName>
    <definedName name="WaermebedarfB">Justificatif!$N$12</definedName>
    <definedName name="WaermebedarfC">Justificatif!$N$16</definedName>
    <definedName name="WaermebedarfD">Justificatif!$N$20</definedName>
    <definedName name="WaermebedarfE">Justificatif!$N$24</definedName>
    <definedName name="Waermepumpe">Entrées!$K$75</definedName>
    <definedName name="Warmwasser">Standardwerte!$N$103</definedName>
    <definedName name="WirkungsgradA">Justificatif!$I$8</definedName>
    <definedName name="WirkungsgradB">Justificatif!$I$12</definedName>
    <definedName name="WirkungsgradC">Justificatif!$I$16</definedName>
    <definedName name="WirkungsgradD">Justificatif!$I$20</definedName>
    <definedName name="wkk">Justificatif!$Q$29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Entrées!$K$93</definedName>
    <definedName name="WRG_1">Standardwerte!$T$46:$T$50</definedName>
    <definedName name="WRG_2">Standardwerte!$U$46:$U$50</definedName>
    <definedName name="WRG_3">Standardwerte!$V$46:$V$50</definedName>
    <definedName name="WRG_4">Standardwerte!$W$46:$W$50</definedName>
    <definedName name="WRG0">Entrées!$K$74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Justificatif!$AC$2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Entrées!$K$64</definedName>
    <definedName name="Zonen_vollständig">Standardwerte!$N$3</definedName>
  </definedNames>
  <calcPr calcId="152511"/>
</workbook>
</file>

<file path=xl/calcChain.xml><?xml version="1.0" encoding="utf-8"?>
<calcChain xmlns="http://schemas.openxmlformats.org/spreadsheetml/2006/main">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5" i="33253" s="1"/>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4" i="33253" s="1"/>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300" i="33253" s="1"/>
  <c r="A289" i="33253"/>
  <c r="A290" i="33253" s="1"/>
  <c r="A287" i="33253"/>
  <c r="A288" i="33253" s="1"/>
  <c r="A285" i="33253"/>
  <c r="A286" i="33253" s="1"/>
  <c r="A283" i="33253"/>
  <c r="A284" i="33253" s="1"/>
  <c r="A275" i="33253"/>
  <c r="A281" i="33253"/>
  <c r="A282" i="33253" s="1"/>
  <c r="A279" i="33253"/>
  <c r="A280" i="33253" s="1"/>
  <c r="A277" i="33253"/>
  <c r="A278" i="33253" s="1"/>
  <c r="A273" i="33253"/>
  <c r="A274" i="33253" s="1"/>
  <c r="A271" i="33253"/>
  <c r="A272" i="33253" s="1"/>
  <c r="A269" i="33253"/>
  <c r="A270" i="33253" s="1"/>
  <c r="A267" i="33253"/>
  <c r="A265" i="33253"/>
  <c r="A263" i="33253"/>
  <c r="A264" i="33253" s="1"/>
  <c r="A261" i="33253"/>
  <c r="A262" i="33253" s="1"/>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76" i="33253"/>
  <c r="A268" i="33253"/>
  <c r="A252"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T30" i="83"/>
  <c r="P74"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24"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U66" i="83" l="1"/>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K95" i="83" l="1"/>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O41" i="33254"/>
  <c r="C34" i="33258" s="1"/>
  <c r="P36" i="33254"/>
  <c r="D29" i="33258" s="1"/>
  <c r="Q37" i="33254"/>
  <c r="E30" i="33258" s="1"/>
  <c r="R37" i="33254"/>
  <c r="F30" i="33258" s="1"/>
  <c r="R22" i="33254"/>
  <c r="R26" i="33254" s="1"/>
  <c r="A214" i="33253"/>
  <c r="O39" i="33254"/>
  <c r="C32" i="33258" s="1"/>
  <c r="O37" i="33254"/>
  <c r="C30" i="33258" s="1"/>
  <c r="Q39" i="33254"/>
  <c r="E32" i="33258" s="1"/>
  <c r="O36" i="33254"/>
  <c r="C29" i="33258" s="1"/>
  <c r="AE158" i="83"/>
  <c r="P17" i="33254"/>
  <c r="Q36" i="33254"/>
  <c r="E29" i="33258" s="1"/>
  <c r="O35" i="33254"/>
  <c r="C28"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38" i="33254"/>
  <c r="C31" i="33258" s="1"/>
  <c r="O34" i="33254"/>
  <c r="C27" i="33258" s="1"/>
  <c r="O17" i="33254"/>
  <c r="R40" i="33254"/>
  <c r="F33" i="33258" s="1"/>
  <c r="R41" i="33254"/>
  <c r="F34" i="33258" s="1"/>
  <c r="O40" i="33254"/>
  <c r="C33"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s="1"/>
  <c r="K1" i="33257" l="1"/>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X59" i="33254"/>
  <c r="V59" i="33254"/>
  <c r="V68" i="33254"/>
  <c r="N49" i="1027"/>
  <c r="I12" i="33258"/>
  <c r="H12" i="33258"/>
  <c r="N50" i="1027"/>
  <c r="O50" i="1027"/>
  <c r="A191" i="33253"/>
  <c r="A201" i="33253"/>
  <c r="E22" i="33258"/>
  <c r="A192" i="33253" l="1"/>
  <c r="I17" i="33254"/>
  <c r="Z1" i="83"/>
  <c r="M1" i="33255"/>
  <c r="L1" i="1027"/>
  <c r="M136" i="83"/>
  <c r="Z67" i="33254"/>
  <c r="Y68" i="33254"/>
  <c r="Z68" i="33254" s="1"/>
  <c r="Y59" i="33254"/>
  <c r="Z59" i="33254" s="1"/>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M110" i="83" l="1"/>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J103" i="83"/>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Z43" i="33254" s="1"/>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N135" i="83" s="1"/>
  <c r="I94" i="3"/>
  <c r="N128" i="83" l="1"/>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J104" i="83"/>
  <c r="J107" i="83" s="1"/>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V85" i="33254"/>
  <c r="S85" i="33254"/>
  <c r="J94" i="3"/>
  <c r="N126" i="83"/>
  <c r="N124" i="83"/>
  <c r="N103" i="83"/>
  <c r="S5" i="83" s="1"/>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H41" i="1027" l="1"/>
  <c r="W41" i="33254"/>
  <c r="Z41" i="33254"/>
  <c r="S19" i="33254"/>
  <c r="I41" i="1027"/>
  <c r="X41" i="33254"/>
  <c r="J41" i="1027"/>
  <c r="Y41" i="33254"/>
  <c r="G41" i="1027"/>
  <c r="V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A575" i="33253" l="1"/>
  <c r="Z49" i="33254"/>
  <c r="Q46" i="33257" s="1"/>
  <c r="E23" i="33258"/>
  <c r="Q106" i="33254"/>
  <c r="A196" i="33253"/>
  <c r="G35" i="1027"/>
  <c r="A204" i="33253"/>
  <c r="F84" i="3"/>
  <c r="G40" i="1027" s="1"/>
  <c r="V46" i="33254"/>
  <c r="Z46" i="33254" s="1"/>
  <c r="Q48" i="33257" s="1"/>
  <c r="T2" i="1027"/>
  <c r="L43" i="1027" s="1"/>
  <c r="AD32" i="33254"/>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V43" i="33254" s="1"/>
  <c r="Z34" i="33254"/>
  <c r="K84" i="3"/>
  <c r="Q93" i="33254"/>
  <c r="A337" i="33253" s="1"/>
  <c r="S91" i="33254"/>
  <c r="Q92" i="33254"/>
  <c r="A333" i="33253" s="1"/>
  <c r="A561" i="33253"/>
  <c r="S94" i="33254"/>
  <c r="A565" i="33253" s="1"/>
  <c r="A476" i="33253"/>
  <c r="K37" i="33257"/>
  <c r="L35" i="1027"/>
  <c r="AD18" i="33254"/>
  <c r="H50" i="33254"/>
  <c r="E35" i="33258" s="1"/>
  <c r="A556" i="33253"/>
  <c r="R54" i="33254"/>
  <c r="R56" i="33254" s="1"/>
  <c r="R100" i="33254"/>
  <c r="R99" i="33254"/>
  <c r="R87" i="33254"/>
  <c r="P54" i="33254"/>
  <c r="P99" i="33254"/>
  <c r="P100" i="33254"/>
  <c r="P87" i="33254"/>
  <c r="K56" i="33257"/>
  <c r="A513" i="33253" s="1"/>
  <c r="R46" i="33257"/>
  <c r="X40" i="33254"/>
  <c r="X38" i="33254"/>
  <c r="X43" i="33254" l="1"/>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G44" i="1027"/>
  <c r="A219" i="33253" s="1"/>
  <c r="Z37" i="33254"/>
  <c r="F53" i="1027"/>
  <c r="I53" i="1027" s="1"/>
  <c r="A530" i="33253" s="1"/>
  <c r="L40" i="1027"/>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Y38" i="33254"/>
  <c r="Y40" i="33254"/>
  <c r="A559" i="33253"/>
  <c r="I50" i="33254"/>
  <c r="F35" i="33258" s="1"/>
  <c r="R98" i="33254"/>
  <c r="A554" i="33253"/>
  <c r="W38" i="33254"/>
  <c r="W40" i="33254"/>
  <c r="A557" i="33253"/>
  <c r="W43" i="33254" l="1"/>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X18" i="1027"/>
  <c r="Y18" i="1027" s="1"/>
  <c r="Y19" i="1027" s="1"/>
  <c r="X22" i="1027"/>
  <c r="Y22" i="1027" s="1"/>
  <c r="Y23" i="1027" s="1"/>
  <c r="Q16" i="1027" l="1"/>
  <c r="O16" i="1027"/>
  <c r="P16" i="1027" s="1"/>
  <c r="J49" i="1027" s="1"/>
  <c r="A526" i="33253" s="1"/>
  <c r="AL16" i="1027"/>
  <c r="G48" i="1027"/>
  <c r="J27" i="1027"/>
  <c r="X13" i="1027"/>
  <c r="Y13" i="1027"/>
  <c r="X14" i="1027" s="1"/>
  <c r="X15" i="1027" s="1"/>
  <c r="Y9" i="1027"/>
  <c r="X10" i="1027" s="1"/>
  <c r="X11" i="1027" s="1"/>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Y14" i="1027"/>
  <c r="Y15" i="1027" s="1"/>
  <c r="S18" i="33254"/>
  <c r="Y10" i="1027"/>
  <c r="Y11" i="1027" s="1"/>
  <c r="I47" i="1027"/>
  <c r="AD8" i="1027"/>
  <c r="A590" i="33253" l="1"/>
  <c r="I48" i="1027"/>
  <c r="A520" i="33253" s="1"/>
  <c r="Q27" i="1027"/>
  <c r="H10" i="33258"/>
  <c r="I11" i="33258"/>
  <c r="H11" i="33258"/>
  <c r="N44" i="33257"/>
  <c r="K48" i="33257" s="1"/>
  <c r="A510" i="33253" s="1"/>
  <c r="I9" i="33258"/>
  <c r="H9" i="33258"/>
  <c r="Q28" i="1027"/>
  <c r="A519" i="33253"/>
  <c r="I54" i="1027" l="1"/>
  <c r="AI63" i="33254"/>
  <c r="AI67" i="33254" s="1"/>
  <c r="AI70" i="33254" s="1"/>
  <c r="AI71" i="33254" s="1"/>
  <c r="I55" i="33254" s="1"/>
  <c r="S105" i="33254"/>
  <c r="S103" i="33254"/>
  <c r="N43" i="33257" s="1"/>
  <c r="R41" i="33257" s="1"/>
  <c r="S15" i="33254"/>
  <c r="R42" i="33257"/>
  <c r="Q29" i="1027"/>
  <c r="H59" i="33254"/>
  <c r="H43" i="33257" s="1"/>
  <c r="A536" i="33253" s="1"/>
  <c r="G59" i="33254" l="1"/>
  <c r="F43" i="33257" s="1"/>
  <c r="AI69" i="33254"/>
  <c r="K46" i="33257"/>
  <c r="A585" i="33253"/>
  <c r="I59" i="33254"/>
  <c r="N50" i="33257"/>
  <c r="A595" i="33253"/>
  <c r="A509" i="33253"/>
  <c r="A345" i="33253"/>
  <c r="AL43" i="1027"/>
  <c r="W71" i="33254"/>
  <c r="Y71" i="33254"/>
  <c r="S71" i="33254"/>
  <c r="N53" i="33257" s="1"/>
  <c r="K60" i="33257" s="1"/>
  <c r="A515" i="33253" s="1"/>
  <c r="S72" i="33254"/>
  <c r="N54" i="33257" s="1"/>
  <c r="K62" i="33257" s="1"/>
  <c r="A516" i="33253" s="1"/>
  <c r="R55" i="33257"/>
  <c r="Q42" i="33257"/>
  <c r="Q43" i="33257"/>
  <c r="Q41" i="33257"/>
  <c r="K43" i="33257" l="1"/>
  <c r="L43" i="33257" s="1"/>
  <c r="A535" i="33253"/>
  <c r="Z71" i="33254"/>
  <c r="S73" i="33254"/>
  <c r="N56" i="33257"/>
  <c r="Q55" i="33257"/>
  <c r="AH38" i="33254"/>
  <c r="H42" i="33257" s="1"/>
  <c r="S75" i="33254" l="1"/>
  <c r="I59" i="1027" s="1"/>
  <c r="A537" i="33253"/>
  <c r="A538" i="33253" s="1"/>
  <c r="A532" i="33253"/>
  <c r="A694" i="33253"/>
  <c r="Z72" i="33254" l="1"/>
  <c r="Z73" i="33254" s="1"/>
  <c r="E57" i="33254" s="1"/>
  <c r="A347" i="33253" s="1"/>
  <c r="AL44" i="1027"/>
  <c r="H30" i="33257"/>
  <c r="N58" i="33257" s="1"/>
  <c r="A216" i="33253"/>
  <c r="L59" i="1027"/>
  <c r="A217" i="33253" s="1"/>
  <c r="A218" i="33253" s="1"/>
  <c r="I57" i="33254"/>
  <c r="A348" i="33253" s="1"/>
  <c r="A349" i="33253" s="1"/>
  <c r="N60" i="33257"/>
  <c r="S60" i="33257" s="1"/>
  <c r="A471" i="33253"/>
  <c r="F40" i="33257" l="1"/>
  <c r="K40" i="33257" s="1"/>
  <c r="L40" i="33257" s="1"/>
  <c r="N52" i="33257"/>
  <c r="K63" i="33257" s="1"/>
  <c r="S38" i="33257"/>
  <c r="S37" i="33257" s="1"/>
  <c r="T60" i="33257"/>
  <c r="N55" i="33257" l="1"/>
  <c r="S40" i="33257"/>
  <c r="S39" i="33257"/>
  <c r="S55" i="33257" s="1"/>
  <c r="T55" i="33257" s="1"/>
  <c r="AD34" i="33254" l="1"/>
  <c r="AE34" i="33254"/>
  <c r="AF34" i="33254"/>
  <c r="AG34" i="33254"/>
  <c r="K42" i="33257"/>
  <c r="A533" i="33253" s="1"/>
  <c r="A534" i="33253" s="1"/>
  <c r="AL12" i="1027"/>
  <c r="J13" i="1027"/>
  <c r="J14" i="1027" s="1"/>
  <c r="AG15" i="1027"/>
  <c r="L42" i="33257" l="1"/>
  <c r="AH34" i="33254"/>
  <c r="W2" i="1027" l="1"/>
  <c r="L34" i="1027" s="1"/>
  <c r="A188" i="33253" s="1"/>
  <c r="AN5" i="1027" l="1"/>
  <c r="AN7" i="1027" s="1"/>
  <c r="AN44" i="1027" s="1"/>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45" i="1027" l="1"/>
  <c r="AN43" i="1027"/>
  <c r="AF33" i="33254" s="1"/>
  <c r="AL8" i="1027"/>
  <c r="AL45" i="1027" s="1"/>
  <c r="O8" i="1027"/>
  <c r="A210" i="33253"/>
  <c r="L58" i="1027"/>
  <c r="BR75" i="83"/>
  <c r="H38" i="33257"/>
  <c r="N27" i="1027"/>
  <c r="L47" i="1027"/>
  <c r="AD58" i="33254"/>
  <c r="AG58" i="33254"/>
  <c r="L50" i="1027"/>
  <c r="AE58" i="33254"/>
  <c r="L48" i="1027"/>
  <c r="L51" i="1027"/>
  <c r="O51" i="1027"/>
  <c r="O52" i="1027" s="1"/>
  <c r="M19" i="33254" s="1"/>
  <c r="AH58" i="33254"/>
  <c r="N51" i="1027"/>
  <c r="N52" i="1027" s="1"/>
  <c r="AG35" i="33254"/>
  <c r="AH35" i="33254"/>
  <c r="AE36" i="33254"/>
  <c r="AE37" i="33254" s="1"/>
  <c r="AF36" i="33254"/>
  <c r="AF37" i="33254" s="1"/>
  <c r="AD35" i="33254"/>
  <c r="AF35" i="33254"/>
  <c r="AD36" i="33254"/>
  <c r="AE35" i="33254"/>
  <c r="AG36" i="33254"/>
  <c r="AG37" i="33254" s="1"/>
  <c r="AF58" i="33254"/>
  <c r="L49" i="1027"/>
  <c r="Q18" i="33254" l="1"/>
  <c r="Q19" i="33254" s="1"/>
  <c r="R18" i="33254"/>
  <c r="R19" i="33254" s="1"/>
  <c r="P18" i="33254"/>
  <c r="P19" i="33254" s="1"/>
  <c r="O18" i="33254"/>
  <c r="O19" i="33254" s="1"/>
  <c r="AH33" i="33254"/>
  <c r="AD33" i="33254"/>
  <c r="AE33" i="33254"/>
  <c r="AG33" i="33254"/>
  <c r="L54" i="1027"/>
  <c r="AE58" i="83" s="1"/>
  <c r="R103" i="33254"/>
  <c r="P103" i="33254"/>
  <c r="R15" i="33254"/>
  <c r="A584" i="33253" s="1"/>
  <c r="Q103" i="33254"/>
  <c r="O15" i="33254"/>
  <c r="A581" i="33253" s="1"/>
  <c r="Q15" i="33254"/>
  <c r="A583" i="33253" s="1"/>
  <c r="O103" i="33254"/>
  <c r="P15" i="33254"/>
  <c r="A582" i="33253" s="1"/>
  <c r="A589" i="33253"/>
  <c r="P8" i="1027"/>
  <c r="O27" i="1027"/>
  <c r="AI58" i="33254"/>
  <c r="AE62" i="33254" s="1"/>
  <c r="A497" i="33253"/>
  <c r="H31" i="33257"/>
  <c r="A475" i="33253" s="1"/>
  <c r="A481" i="33253"/>
  <c r="K30" i="33257"/>
  <c r="K38" i="33257"/>
  <c r="AD37" i="33254"/>
  <c r="AH37" i="33254" s="1"/>
  <c r="F42" i="33257" s="1"/>
  <c r="AH36" i="33254"/>
  <c r="N58" i="1027"/>
  <c r="A211" i="33253"/>
  <c r="A212" i="33253" s="1"/>
  <c r="A587" i="33253" l="1"/>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A693" i="33253"/>
  <c r="A695" i="33253" s="1"/>
  <c r="A696" i="33253" s="1"/>
  <c r="A531" i="33253"/>
  <c r="L38" i="33257"/>
  <c r="A482" i="33253"/>
  <c r="A483" i="33253" s="1"/>
  <c r="A472" i="33253"/>
  <c r="A473" i="33253" s="1"/>
  <c r="L30" i="33257"/>
  <c r="AA59" i="83" l="1"/>
  <c r="AI62" i="33254"/>
  <c r="AH87" i="83" s="1"/>
  <c r="AE59" i="83"/>
  <c r="AA60" i="83" s="1"/>
  <c r="A524" i="33253"/>
  <c r="J54" i="1027"/>
  <c r="AE61" i="83" l="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<sst xmlns="http://schemas.openxmlformats.org/spreadsheetml/2006/main" count="6328" uniqueCount="4036">
  <si>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</si>
  <si>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</si>
  <si>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</si>
  <si>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</si>
  <si>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</si>
  <si>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</si>
  <si>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</si>
  <si>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</si>
  <si>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</si>
  <si>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</si>
  <si>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</si>
  <si>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</si>
  <si>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</si>
  <si>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</si>
  <si>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</si>
  <si>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</si>
  <si>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</si>
  <si>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</si>
  <si>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</si>
  <si>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</si>
  <si>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</si>
  <si>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</si>
  <si>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</si>
  <si>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</si>
  <si>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</si>
  <si>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</si>
  <si>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</si>
  <si>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</si>
  <si>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</si>
  <si>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</si>
  <si>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</si>
  <si>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</si>
  <si>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</si>
  <si>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</si>
  <si>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</si>
  <si>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</si>
  <si>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</si>
  <si>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</si>
  <si>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</si>
  <si>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</si>
  <si>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</si>
  <si>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</si>
  <si>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</si>
  <si>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</si>
  <si>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</si>
  <si>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</si>
  <si>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</si>
  <si>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</si>
  <si>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</si>
  <si>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</si>
  <si>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</si>
  <si>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</si>
  <si>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</si>
  <si>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</si>
  <si>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</si>
  <si>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</si>
  <si>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</si>
  <si>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</si>
  <si>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</si>
  <si>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</si>
  <si>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</si>
  <si>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</si>
  <si>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</si>
  <si>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</si>
  <si>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</si>
  <si>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</si>
  <si>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</si>
  <si>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</si>
  <si>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</si>
  <si>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</si>
  <si>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</si>
  <si>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</si>
  <si>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</si>
  <si>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</si>
  <si>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</si>
  <si>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</si>
  <si>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</si>
  <si>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</si>
  <si>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</si>
  <si>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</si>
  <si>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</si>
  <si>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</si>
  <si>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</si>
  <si>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</si>
  <si>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</si>
  <si>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</si>
  <si>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</si>
  <si>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</si>
  <si>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</si>
  <si>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</si>
  <si>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</si>
  <si>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</si>
  <si>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</si>
  <si>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</si>
  <si>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</si>
  <si>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</si>
  <si>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</si>
  <si>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</si>
  <si>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</si>
  <si>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</si>
  <si>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</si>
  <si>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</si>
  <si>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</si>
  <si>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</si>
  <si>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</si>
  <si>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</si>
  <si>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</si>
  <si>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</si>
  <si>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</si>
  <si>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</si>
  <si>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</si>
  <si>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</si>
  <si>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</si>
  <si>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</si>
  <si>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</si>
  <si>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</si>
  <si>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</si>
  <si>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</si>
  <si>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</si>
  <si>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</si>
  <si>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</si>
  <si>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</si>
  <si>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</si>
  <si>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</si>
  <si>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</si>
  <si>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</si>
  <si>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</si>
  <si>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</si>
  <si>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</si>
  <si>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</si>
  <si>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</si>
  <si>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</si>
  <si>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</si>
  <si>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</si>
  <si>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</si>
  <si>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</si>
  <si>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</si>
  <si>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</si>
  <si>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</si>
  <si>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</si>
  <si>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</si>
  <si>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</si>
  <si>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</si>
  <si>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</si>
  <si>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</si>
  <si>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</si>
  <si>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</si>
  <si>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</si>
  <si>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</si>
  <si>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</si>
  <si>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</si>
  <si>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</si>
  <si>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</si>
  <si>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</si>
  <si>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</si>
  <si>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</si>
  <si>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</si>
  <si>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</si>
  <si>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</si>
  <si>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</si>
  <si>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</si>
  <si>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</si>
  <si>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</si>
  <si>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</si>
  <si>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</si>
  <si>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</si>
  <si>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</si>
  <si>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</si>
  <si>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</si>
  <si>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</si>
  <si>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</si>
  <si>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</si>
  <si>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</si>
  <si>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</si>
  <si>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</si>
  <si>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</si>
  <si>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</si>
  <si>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</si>
  <si>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</si>
  <si>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</si>
  <si>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</si>
  <si>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</si>
  <si>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</si>
  <si>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</si>
  <si>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</si>
  <si>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</si>
  <si>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</si>
  <si>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</si>
  <si>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</si>
  <si>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</si>
  <si>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</si>
  <si>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</si>
  <si>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</si>
  <si>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</si>
  <si>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</si>
  <si>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</si>
  <si>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</si>
  <si>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</si>
  <si>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</si>
  <si>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</si>
  <si>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</si>
  <si>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</si>
  <si>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</si>
  <si>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</si>
  <si>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</si>
  <si>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</si>
  <si>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</si>
  <si>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</si>
  <si>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</si>
  <si>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</si>
  <si>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</si>
  <si>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</si>
  <si>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</si>
  <si>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</si>
  <si>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</si>
  <si>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</si>
  <si>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</si>
  <si>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</si>
  <si>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</si>
  <si>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</si>
  <si>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</si>
  <si>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</si>
  <si>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</si>
  <si>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</si>
  <si>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</si>
  <si>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</si>
  <si>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</si>
  <si>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</si>
  <si>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</si>
  <si>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</si>
  <si>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</si>
  <si>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</si>
  <si>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</si>
  <si>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</si>
  <si>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</si>
  <si>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</si>
  <si>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</si>
  <si>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</si>
  <si>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</si>
  <si>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</si>
  <si>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</si>
  <si>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</si>
  <si>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</si>
  <si>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</si>
  <si>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</si>
  <si>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</si>
  <si>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</si>
  <si>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</si>
  <si>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</si>
  <si>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</si>
  <si>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</si>
  <si>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</si>
  <si>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</si>
  <si>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</si>
  <si>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</si>
  <si>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</si>
  <si>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</si>
  <si>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</si>
  <si>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</si>
  <si>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</si>
  <si>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</si>
  <si>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</si>
  <si>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</si>
  <si>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</si>
  <si>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</si>
  <si>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</si>
  <si>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</si>
  <si>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</si>
  <si>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</si>
  <si>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</si>
  <si>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</si>
  <si>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</si>
  <si>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</si>
  <si>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</si>
  <si>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</si>
  <si>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</si>
  <si>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</si>
  <si>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</si>
  <si>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</si>
  <si>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</si>
  <si>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</si>
  <si>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</si>
  <si>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</si>
  <si>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</si>
  <si>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</si>
  <si>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</si>
  <si>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</si>
  <si>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</si>
  <si>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</si>
  <si>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</si>
  <si>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</si>
  <si>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</si>
  <si>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</si>
  <si>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</si>
  <si>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</si>
  <si>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</si>
  <si>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</si>
  <si>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</si>
  <si>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</si>
  <si>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</si>
  <si>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</si>
  <si>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</si>
  <si>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</si>
  <si>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</si>
  <si>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</si>
  <si>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</si>
  <si>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</si>
  <si>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</si>
  <si>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</si>
  <si>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</si>
  <si>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</si>
  <si>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</si>
  <si>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</si>
  <si>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</si>
  <si>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</si>
  <si>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</si>
  <si>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</si>
  <si>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</si>
  <si>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</si>
  <si>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</si>
  <si>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</si>
  <si>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</si>
  <si>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</si>
  <si>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</si>
  <si>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</si>
  <si>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</si>
  <si>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</si>
  <si>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</si>
  <si>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</si>
  <si>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</si>
  <si>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</si>
  <si>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</si>
  <si>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</si>
  <si>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</si>
  <si>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</si>
  <si>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</si>
  <si>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</si>
  <si>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</si>
  <si>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</si>
  <si>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</si>
  <si>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</si>
  <si>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</si>
  <si>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</si>
  <si>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</si>
  <si>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</si>
  <si>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</si>
  <si>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</si>
  <si>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</si>
  <si>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</si>
  <si>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</si>
  <si>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</si>
  <si>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</si>
  <si>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</si>
  <si>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</si>
  <si>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</si>
  <si>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</si>
  <si>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</si>
  <si>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</si>
  <si>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</si>
  <si>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</si>
  <si>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</si>
  <si>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</si>
  <si>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</si>
  <si>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</si>
  <si>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</si>
  <si>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</si>
  <si>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</si>
  <si>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</si>
  <si>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</si>
  <si>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</si>
  <si>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</si>
  <si>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</si>
  <si>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</si>
  <si>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</si>
  <si>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</si>
  <si>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</si>
  <si>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</si>
  <si>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</si>
  <si>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</si>
  <si>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</si>
  <si>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</si>
  <si>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</si>
  <si>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</si>
  <si>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</si>
  <si>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</si>
  <si>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</si>
  <si>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</si>
  <si>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</si>
  <si>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</si>
  <si>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</si>
  <si>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</si>
  <si>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</si>
  <si>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</si>
  <si>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</si>
  <si>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</si>
  <si>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</si>
  <si>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</si>
  <si>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</si>
  <si>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</si>
  <si>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</si>
  <si>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</si>
  <si>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</si>
  <si>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</si>
  <si>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</si>
  <si>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</si>
  <si>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</si>
  <si>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</si>
  <si>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</si>
  <si>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</si>
  <si>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</si>
  <si>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</si>
  <si>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</si>
  <si>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</si>
  <si>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</si>
  <si>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</si>
  <si>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</si>
  <si>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</si>
  <si>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</si>
  <si>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</si>
  <si>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</si>
  <si>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</si>
  <si>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</si>
  <si>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</si>
  <si>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</si>
  <si>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</si>
  <si>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</si>
  <si>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</si>
  <si>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</si>
  <si>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</si>
  <si>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</si>
  <si>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</si>
  <si>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</si>
  <si>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</si>
  <si>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</si>
  <si>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</si>
  <si>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</si>
  <si>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</si>
  <si>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</si>
  <si>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</si>
  <si>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</si>
  <si>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</si>
  <si>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</si>
  <si>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</si>
  <si>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</si>
  <si>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</si>
  <si>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</si>
  <si>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</si>
  <si>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</si>
  <si>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</si>
  <si>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</si>
  <si>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</si>
  <si>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</si>
  <si>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</si>
  <si>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</si>
  <si>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</si>
  <si>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</si>
  <si>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</si>
  <si>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</si>
  <si>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</si>
  <si>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</si>
  <si>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</si>
  <si>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</si>
  <si>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</si>
  <si>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</si>
  <si>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</si>
  <si>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</si>
  <si>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</si>
  <si>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</si>
  <si>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</si>
  <si>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</si>
  <si>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</si>
  <si>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</si>
  <si>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</si>
  <si>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</si>
  <si>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</si>
  <si>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</si>
  <si>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</si>
  <si>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</si>
  <si>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</si>
  <si>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</si>
  <si>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</si>
  <si>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</si>
  <si>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</si>
  <si>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</si>
  <si>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</si>
  <si>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</si>
  <si>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</si>
  <si>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</si>
  <si>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</si>
  <si>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</si>
  <si>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</si>
  <si>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</si>
  <si>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</si>
  <si>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</si>
  <si>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</si>
  <si>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</si>
  <si>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</si>
  <si>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</si>
  <si>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</si>
  <si>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</si>
  <si>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</si>
  <si>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</si>
  <si>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</si>
  <si>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</si>
  <si>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</si>
  <si>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</si>
  <si>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</si>
  <si>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</si>
  <si>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</si>
  <si>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</si>
  <si>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</si>
  <si>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</si>
  <si>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</si>
  <si>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</si>
  <si>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</si>
  <si>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</si>
  <si>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</si>
  <si>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</si>
  <si>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</si>
  <si>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</si>
  <si>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</si>
  <si>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</si>
  <si>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</si>
  <si>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</si>
  <si>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</si>
  <si>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</si>
  <si>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</si>
  <si>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</si>
  <si>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</si>
  <si>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</si>
  <si>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</si>
  <si>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</si>
  <si>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</si>
  <si>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</si>
  <si>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</si>
  <si>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</si>
  <si>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</si>
  <si>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</si>
  <si>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</si>
  <si>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</si>
  <si>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</si>
  <si>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</si>
  <si>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</si>
  <si>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</si>
  <si>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</si>
  <si>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</si>
  <si>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</si>
  <si>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</si>
  <si>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</si>
  <si>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</si>
  <si>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</si>
  <si>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</si>
  <si>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</si>
  <si>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</si>
  <si>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</si>
  <si>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</si>
  <si>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</si>
  <si>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</si>
  <si>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</si>
  <si>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</si>
  <si>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</si>
  <si>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</si>
  <si>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</si>
  <si>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</si>
  <si>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</si>
  <si>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</si>
  <si>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</si>
  <si>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</si>
  <si>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</si>
  <si>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</si>
  <si>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</si>
  <si>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</si>
  <si>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</si>
  <si>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</si>
  <si>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</si>
  <si>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</si>
  <si>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</si>
  <si>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</si>
  <si>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</si>
  <si>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</si>
  <si>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</si>
  <si>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</si>
  <si>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</si>
  <si>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</si>
  <si>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</si>
  <si>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</si>
  <si>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</si>
  <si>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</si>
  <si>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</si>
  <si>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</si>
  <si>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</si>
  <si>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</si>
  <si>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</si>
  <si>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</si>
  <si>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</si>
  <si>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</si>
  <si>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</si>
  <si>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</si>
  <si>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</si>
  <si>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</si>
  <si>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</si>
  <si>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</si>
  <si>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</si>
  <si>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</si>
  <si>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</si>
  <si>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</si>
  <si>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</si>
  <si>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</si>
  <si>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</si>
  <si>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</si>
  <si>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</si>
  <si>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</si>
  <si>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</si>
  <si>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</si>
  <si>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</si>
  <si>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</si>
  <si>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</si>
  <si>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</si>
  <si>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</si>
  <si>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</si>
  <si>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</si>
  <si>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</si>
  <si>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</si>
  <si>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</si>
  <si>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</si>
  <si>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</si>
  <si>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</si>
  <si>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</si>
  <si>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</si>
  <si>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</si>
  <si>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</si>
  <si>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</si>
  <si>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</si>
  <si>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</si>
  <si>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</si>
  <si>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</si>
  <si>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</si>
  <si>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</si>
  <si>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</si>
  <si>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</si>
  <si>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</si>
  <si>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</si>
  <si>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</si>
  <si>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</si>
  <si>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</si>
  <si>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</si>
  <si>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</si>
  <si>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</si>
  <si>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</si>
  <si>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</si>
  <si>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</si>
  <si>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</si>
  <si>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</si>
  <si>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</si>
  <si>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</si>
  <si>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</si>
  <si>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</si>
  <si>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</si>
  <si>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</si>
  <si>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</si>
  <si>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</si>
  <si>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</si>
  <si>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</si>
  <si>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</si>
  <si>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</si>
  <si>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</si>
  <si>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</si>
  <si>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</si>
  <si>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</si>
  <si>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</si>
  <si>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</si>
  <si>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</si>
  <si>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</si>
  <si>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</si>
  <si>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</si>
  <si>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</si>
  <si>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</si>
  <si>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</si>
  <si>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</si>
  <si>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</si>
  <si>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</si>
  <si>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</si>
  <si>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</si>
  <si>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</si>
  <si>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</si>
  <si>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</si>
  <si>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</si>
  <si>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</si>
  <si>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</si>
  <si>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</si>
  <si>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</si>
  <si>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</si>
  <si>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</si>
  <si>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</si>
  <si>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</si>
  <si>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</si>
  <si>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</si>
  <si>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</si>
  <si>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</si>
  <si>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</si>
  <si>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</si>
  <si>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</si>
  <si>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</si>
  <si>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</si>
  <si>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</si>
  <si>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</si>
  <si>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</si>
  <si>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</si>
  <si>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</si>
  <si>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</si>
  <si>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</si>
  <si>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</si>
  <si>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</si>
  <si>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</si>
  <si>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</si>
  <si>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</si>
  <si>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</si>
  <si>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</si>
  <si>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</si>
  <si>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</si>
  <si>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</si>
  <si>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</si>
  <si>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</si>
  <si>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</si>
  <si>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</si>
  <si>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</si>
  <si>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</si>
  <si>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</si>
  <si>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</si>
  <si>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</si>
  <si>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</si>
  <si>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</si>
  <si>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</si>
  <si>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</si>
  <si>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</si>
  <si>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</si>
  <si>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</si>
  <si>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</si>
  <si>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</si>
  <si>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</si>
  <si>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</si>
  <si>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</si>
  <si>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</si>
  <si>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</si>
  <si>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</si>
  <si>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</si>
  <si>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</si>
  <si>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</si>
  <si>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</si>
  <si>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</si>
  <si>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</si>
  <si>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</si>
  <si>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</si>
  <si>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</si>
  <si>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</si>
  <si>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</si>
  <si>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</si>
  <si>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</si>
  <si>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</si>
  <si>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</si>
  <si>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</si>
  <si>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</si>
  <si>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</si>
  <si>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</si>
  <si>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</si>
  <si>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</si>
  <si>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</si>
  <si>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</si>
  <si>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</si>
  <si>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</si>
  <si>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</si>
  <si>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</si>
  <si>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</si>
  <si>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</si>
  <si>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</si>
  <si>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</si>
  <si>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</si>
  <si>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</si>
  <si>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</si>
  <si>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</si>
  <si>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</si>
  <si>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</si>
  <si>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</si>
  <si>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</si>
  <si>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</si>
  <si>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</si>
  <si>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</si>
  <si>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</si>
  <si>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</si>
  <si>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</si>
  <si>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</si>
  <si>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</si>
  <si>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</si>
  <si>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</si>
  <si>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</si>
  <si>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</si>
  <si>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</si>
  <si>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</si>
  <si>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</si>
  <si>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</si>
  <si>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</si>
  <si>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</si>
  <si>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</si>
  <si>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</si>
  <si>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</si>
  <si>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</si>
  <si>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</si>
  <si>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</si>
  <si>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</si>
  <si>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</si>
  <si>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</si>
  <si>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</si>
  <si>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</si>
  <si>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</si>
  <si>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</si>
  <si>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</si>
  <si>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</si>
  <si>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</si>
  <si>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</si>
  <si>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</si>
  <si>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</si>
  <si>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</si>
  <si>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</si>
  <si>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</si>
  <si>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</si>
  <si>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</si>
  <si>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</si>
  <si>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</si>
  <si>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</si>
  <si>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</si>
  <si>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</si>
  <si>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</si>
  <si>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</si>
  <si>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</si>
  <si>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</si>
  <si>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</si>
  <si>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</si>
  <si>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</si>
  <si>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</si>
  <si>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</si>
  <si>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</si>
  <si>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</si>
  <si>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</si>
  <si>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</si>
  <si>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</si>
  <si>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</si>
  <si>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</si>
  <si>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</si>
  <si>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</si>
  <si>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</si>
  <si>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</si>
  <si>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</si>
  <si>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</si>
  <si>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</si>
  <si>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</si>
  <si>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</si>
  <si>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</si>
  <si>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</si>
  <si>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</si>
  <si>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</si>
  <si>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</si>
  <si>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</si>
  <si>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</si>
  <si>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</si>
  <si>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</si>
  <si>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</si>
  <si>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</si>
  <si>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</si>
  <si>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</si>
  <si>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</si>
  <si>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</si>
  <si>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</si>
  <si>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</si>
  <si>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</si>
  <si>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</si>
  <si>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</si>
  <si>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</si>
  <si>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</si>
  <si>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</si>
  <si>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</si>
  <si>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</si>
  <si>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</si>
  <si>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</si>
  <si>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</si>
  <si>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</si>
  <si>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</si>
  <si>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</si>
  <si>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</si>
  <si>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</si>
  <si>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</si>
  <si>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</si>
  <si>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</si>
  <si>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</si>
  <si>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</si>
  <si>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</si>
  <si>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</si>
  <si>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</si>
  <si>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</si>
  <si>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</si>
  <si>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</si>
  <si>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</si>
  <si>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</si>
  <si>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</si>
  <si>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</si>
  <si>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</si>
  <si>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</si>
  <si>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</si>
  <si>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</si>
  <si>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</si>
  <si>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</si>
  <si>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</si>
  <si>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</si>
  <si>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</si>
  <si>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</si>
  <si>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</si>
  <si>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</si>
  <si>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</si>
  <si>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</si>
  <si>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</si>
  <si>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</si>
  <si>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</si>
  <si>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</si>
  <si>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</si>
  <si>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</si>
  <si>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</si>
  <si>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</si>
  <si>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</si>
  <si>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</si>
  <si>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</si>
  <si>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</si>
  <si>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</si>
  <si>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</si>
  <si>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</si>
  <si>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</si>
  <si>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</si>
  <si>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</si>
  <si>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</si>
  <si>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</si>
  <si>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</si>
  <si>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</si>
  <si>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</si>
  <si>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</si>
  <si>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</si>
  <si>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</si>
  <si>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</si>
  <si>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</si>
  <si>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</si>
  <si>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</si>
  <si>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</si>
  <si>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</si>
  <si>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</si>
  <si>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</si>
  <si>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</si>
  <si>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</si>
  <si>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</si>
  <si>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</si>
  <si>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</si>
  <si>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</si>
  <si>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</si>
  <si>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</si>
  <si>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</si>
  <si>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</si>
  <si>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</si>
  <si>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</si>
  <si>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</si>
  <si>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</si>
  <si>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</si>
  <si>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</si>
  <si>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</si>
  <si>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</si>
  <si>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</si>
  <si>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</si>
  <si>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</si>
  <si>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</si>
  <si>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</si>
  <si>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</si>
  <si>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</si>
  <si>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</si>
  <si>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</si>
  <si>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</si>
  <si>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</si>
  <si>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</si>
  <si>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</si>
  <si>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</si>
  <si>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</si>
  <si>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</si>
  <si>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</si>
  <si>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</si>
  <si>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</si>
  <si>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</si>
  <si>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</si>
  <si>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</si>
  <si>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</si>
  <si>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</si>
  <si>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</si>
  <si>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</si>
  <si>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</si>
  <si>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</si>
  <si>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</si>
  <si>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</si>
  <si>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</si>
  <si>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</si>
  <si>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</si>
  <si>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</si>
  <si>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</si>
  <si>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</si>
  <si>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</si>
  <si>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</si>
  <si>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</si>
  <si>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</si>
  <si>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</si>
  <si>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</si>
  <si>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</si>
  <si>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</si>
  <si>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</si>
  <si>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</si>
  <si>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</si>
  <si>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</si>
  <si>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</si>
  <si>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</si>
  <si>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</si>
  <si>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</si>
  <si>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</si>
  <si>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</si>
  <si>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</si>
  <si>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</si>
  <si>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</si>
  <si>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</si>
  <si>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</si>
  <si>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</si>
  <si>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</si>
  <si>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</si>
  <si>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</si>
  <si>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</si>
  <si>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</si>
  <si>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</si>
  <si>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</si>
  <si>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</si>
  <si>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</si>
  <si>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</si>
  <si>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</si>
  <si>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</si>
  <si>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</si>
  <si>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</si>
  <si>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</si>
  <si>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</si>
  <si>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</si>
  <si>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</si>
  <si>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</si>
  <si>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</si>
  <si>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</si>
  <si>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</si>
  <si>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</si>
  <si>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</si>
  <si>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</si>
  <si>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</si>
  <si>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</si>
  <si>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</si>
  <si>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</si>
  <si>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</si>
  <si>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</si>
  <si>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</si>
  <si>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</si>
  <si>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</si>
  <si>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</si>
  <si>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</si>
  <si>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</si>
  <si>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</si>
  <si>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</si>
  <si>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</si>
  <si>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</si>
  <si>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</si>
  <si>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</si>
  <si>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</si>
  <si>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</si>
  <si>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</si>
  <si>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</si>
  <si>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</si>
  <si>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</si>
  <si>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</si>
  <si>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</si>
  <si>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</si>
  <si>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</si>
  <si>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</si>
  <si>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</si>
  <si>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</si>
  <si>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</si>
  <si>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</si>
  <si>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</si>
  <si>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</si>
  <si>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</si>
  <si>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</si>
  <si>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</si>
  <si>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</si>
  <si>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</si>
  <si>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</si>
  <si>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</si>
  <si>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</si>
  <si>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</si>
  <si>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</si>
  <si>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</si>
  <si>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</si>
  <si>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</si>
  <si>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</si>
  <si>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</si>
  <si>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</si>
  <si>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</si>
  <si>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</si>
  <si>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</si>
  <si>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</si>
  <si>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</si>
  <si>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</si>
  <si>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</si>
  <si>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</si>
  <si>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</si>
  <si>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</si>
  <si>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</si>
  <si>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</si>
  <si>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</si>
  <si>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</si>
  <si>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</si>
  <si>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</si>
  <si>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</si>
  <si>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</si>
  <si>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</si>
  <si>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</si>
  <si>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</si>
  <si>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</si>
  <si>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</si>
  <si>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</si>
  <si>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</si>
  <si>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</si>
  <si>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</si>
  <si>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</si>
  <si>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</si>
  <si>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</si>
  <si>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</si>
  <si>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</si>
  <si>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</si>
  <si>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</si>
  <si>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</si>
  <si>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</si>
  <si>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</si>
  <si>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</si>
  <si>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</si>
  <si>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</si>
  <si>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</si>
  <si>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</si>
  <si>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</si>
  <si>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</si>
  <si>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</si>
  <si>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</si>
  <si>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</si>
  <si>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</si>
  <si>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</si>
  <si>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</si>
  <si>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</si>
  <si>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</si>
  <si>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</si>
  <si>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</si>
  <si>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</si>
  <si>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</si>
  <si>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</si>
  <si>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</si>
  <si>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</si>
  <si>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</si>
  <si>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</si>
  <si>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</si>
  <si>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</si>
  <si>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</si>
  <si>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</si>
  <si>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</si>
  <si>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</si>
  <si>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</si>
  <si>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</si>
  <si>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</si>
  <si>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</si>
  <si>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</si>
  <si>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</si>
  <si>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</si>
  <si>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</si>
  <si>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</si>
  <si>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</si>
  <si>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</si>
  <si>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</si>
  <si>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</si>
  <si>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</si>
  <si>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</si>
  <si>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</si>
  <si>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</si>
  <si>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</si>
  <si>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</si>
  <si>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</si>
  <si>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</si>
  <si>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</si>
  <si>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</si>
  <si>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</si>
  <si>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</si>
  <si>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</si>
  <si>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</si>
  <si>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</si>
  <si>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</si>
  <si>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</si>
  <si>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</si>
  <si>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</si>
  <si>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</si>
  <si>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</si>
  <si>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</si>
  <si>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</si>
  <si>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</si>
  <si>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</si>
  <si>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</si>
  <si>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</si>
  <si>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</si>
  <si>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</si>
  <si>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</si>
  <si>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</si>
  <si>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</si>
  <si>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</si>
  <si>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</si>
  <si>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</si>
  <si>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</si>
  <si>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</si>
  <si>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</si>
  <si>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</si>
  <si>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</si>
  <si>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</si>
  <si>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</si>
  <si>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</si>
  <si>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</si>
  <si>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</si>
  <si>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</si>
  <si>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</si>
  <si>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</si>
  <si>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</si>
  <si>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</si>
  <si>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</si>
  <si>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</si>
  <si>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</si>
  <si>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</si>
  <si>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</si>
  <si>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</si>
  <si>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</si>
  <si>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</si>
  <si>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</si>
  <si>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</si>
  <si>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</si>
  <si>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</si>
  <si>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</si>
  <si>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</si>
  <si>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</si>
  <si>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</si>
  <si>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</si>
  <si>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</si>
  <si>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</si>
  <si>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</si>
  <si>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</si>
  <si>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</si>
  <si>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</si>
  <si>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</si>
  <si>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</si>
  <si>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</si>
  <si>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</si>
  <si>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</si>
  <si>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</si>
  <si>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</si>
  <si>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</si>
  <si>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</si>
  <si>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</si>
  <si>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</si>
  <si>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</si>
  <si>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</si>
  <si>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</si>
  <si>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</si>
  <si>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</si>
  <si>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</si>
  <si>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</si>
  <si>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</si>
  <si>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</si>
  <si>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</si>
  <si>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</si>
  <si>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</si>
  <si>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</si>
  <si>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</si>
  <si>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</si>
  <si>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</si>
  <si>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</si>
  <si>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</si>
  <si>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</si>
  <si>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</si>
  <si>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</si>
  <si>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</si>
  <si>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</si>
  <si>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</si>
  <si>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</si>
  <si>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</si>
  <si>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</si>
  <si>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</si>
  <si>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</si>
  <si>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</si>
  <si>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</si>
  <si>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</si>
  <si>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</si>
  <si>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</si>
  <si>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</si>
  <si>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</si>
  <si>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</si>
  <si>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</si>
  <si>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</si>
  <si>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</si>
  <si>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</si>
  <si>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</si>
  <si>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</si>
  <si>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</si>
  <si>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</si>
  <si>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</si>
  <si>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</si>
  <si>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</si>
  <si>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</si>
  <si>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</si>
  <si>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</si>
  <si>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</si>
  <si>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</si>
  <si>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</si>
  <si>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</si>
  <si>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</si>
  <si>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</si>
  <si>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</si>
  <si>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</si>
  <si>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</si>
  <si>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</si>
  <si>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</si>
  <si>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</si>
  <si>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</si>
  <si>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</si>
  <si>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</si>
  <si>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</si>
  <si>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</si>
  <si>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</si>
  <si>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</si>
  <si>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</si>
  <si>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</si>
  <si>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</si>
  <si>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</si>
  <si>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</si>
  <si>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</si>
  <si>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</si>
  <si>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</si>
  <si>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</si>
  <si>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</si>
  <si>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</si>
  <si>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</si>
  <si>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</si>
  <si>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</si>
  <si>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</si>
  <si>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</si>
  <si>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</si>
  <si>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</si>
  <si>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</si>
  <si>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</si>
  <si>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</si>
  <si>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</si>
  <si>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</si>
  <si>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</si>
  <si>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</si>
  <si>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</si>
  <si>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</si>
  <si>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</si>
  <si>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</si>
  <si>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</si>
  <si>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</si>
  <si>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</si>
  <si>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</si>
  <si>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</si>
  <si>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</si>
  <si>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</si>
  <si>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</si>
  <si>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</si>
  <si>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</si>
  <si>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</si>
  <si>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</si>
  <si>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</si>
  <si>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</si>
  <si>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</si>
  <si>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</si>
  <si>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</si>
  <si>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</si>
  <si>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</si>
  <si>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</si>
  <si>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</si>
  <si>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</si>
  <si>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</si>
  <si>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</si>
  <si>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</si>
  <si>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</si>
  <si>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</si>
  <si>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</si>
  <si>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</si>
  <si>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</si>
  <si>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</si>
  <si>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</si>
  <si>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</si>
  <si>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</si>
  <si>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</si>
  <si>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</si>
  <si>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</si>
  <si>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</si>
  <si>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</si>
  <si>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</si>
  <si>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</si>
  <si>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</si>
  <si>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</si>
  <si>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</si>
  <si>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</si>
  <si>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</si>
  <si>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</si>
  <si>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</si>
  <si>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</si>
  <si>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</si>
  <si>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</si>
  <si>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</si>
  <si>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</si>
  <si>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</si>
  <si>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</si>
  <si>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</si>
  <si>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</si>
  <si>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</si>
  <si>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</si>
  <si>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</si>
  <si>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</si>
  <si>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</si>
  <si>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</si>
  <si>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</si>
  <si>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</si>
  <si>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</si>
  <si>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</si>
  <si>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</si>
  <si>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</si>
  <si>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</si>
  <si>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</si>
  <si>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</si>
  <si>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</si>
  <si>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</si>
  <si>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</si>
  <si>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</si>
  <si>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</si>
  <si>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</si>
  <si>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</si>
  <si>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</si>
  <si>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</si>
  <si>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</si>
  <si>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</si>
  <si>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</si>
  <si>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</si>
  <si>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</si>
  <si>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</si>
  <si>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</si>
  <si>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</si>
  <si>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</si>
  <si>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</si>
  <si>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</si>
  <si>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</si>
  <si>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</si>
  <si>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</si>
  <si>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</si>
  <si>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</si>
  <si>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</si>
  <si>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</si>
  <si>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</si>
  <si>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</si>
  <si>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</si>
  <si>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</si>
  <si>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</si>
  <si>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</si>
  <si>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</si>
  <si>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</si>
  <si>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</si>
  <si>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</si>
  <si>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</si>
  <si>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</si>
  <si>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</si>
  <si>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</si>
  <si>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</si>
  <si>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</si>
  <si>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</si>
  <si>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</si>
  <si>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</si>
  <si>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</si>
  <si>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</si>
  <si>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</si>
  <si>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</si>
  <si>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</si>
  <si>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</si>
  <si>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</si>
  <si>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</si>
  <si>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</si>
  <si>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</si>
  <si>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</si>
  <si>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</si>
  <si>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</si>
  <si>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</si>
  <si>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</si>
  <si>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</si>
  <si>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</si>
  <si>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</si>
  <si>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</si>
  <si>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</si>
  <si>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</si>
  <si>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</si>
  <si>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</si>
  <si>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</si>
  <si>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</si>
  <si>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</si>
  <si>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</si>
  <si>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</si>
  <si>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</si>
  <si>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</si>
  <si>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</si>
  <si>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</si>
  <si>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</si>
  <si>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</si>
  <si>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</si>
  <si>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</si>
  <si>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</si>
  <si>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</si>
  <si>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</si>
  <si>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</si>
  <si>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</si>
  <si>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</si>
  <si>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</si>
  <si>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</si>
  <si>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</si>
  <si>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</si>
  <si>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</si>
  <si>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</si>
  <si>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</si>
  <si>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</si>
  <si>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</si>
  <si>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</si>
  <si>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</si>
  <si>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</si>
  <si>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</si>
  <si>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</si>
  <si>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</si>
  <si>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</si>
  <si>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</si>
  <si>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</si>
  <si>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</si>
  <si>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</si>
  <si>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</si>
  <si>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</si>
  <si>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</si>
  <si>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</si>
  <si>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</si>
  <si>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</si>
  <si>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</si>
  <si>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</si>
  <si>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</si>
  <si>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</si>
  <si>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</si>
  <si>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</si>
  <si>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</si>
  <si>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</si>
  <si>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</si>
  <si>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</si>
  <si>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</si>
  <si>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</si>
  <si>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</si>
  <si>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</si>
  <si>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</si>
  <si>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</si>
  <si>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</si>
  <si>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</si>
  <si>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</si>
  <si>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</si>
  <si>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</si>
  <si>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</si>
  <si>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</si>
  <si>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</si>
  <si>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</si>
  <si>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</si>
  <si>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</si>
  <si>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</si>
  <si>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</si>
  <si>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</si>
  <si>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</si>
  <si>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</si>
  <si>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</si>
  <si>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</si>
  <si>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</si>
  <si>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</si>
  <si>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</si>
  <si>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</si>
  <si>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</si>
  <si>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</si>
  <si>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</si>
  <si>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</si>
  <si>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</si>
  <si>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</si>
  <si>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</si>
  <si>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</si>
  <si>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</si>
  <si>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</si>
  <si>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</si>
  <si>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</si>
  <si>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</si>
  <si>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</si>
  <si>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</si>
  <si>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</si>
  <si>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</si>
  <si>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</si>
  <si>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</si>
  <si>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</si>
  <si>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</si>
  <si>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</si>
  <si>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</si>
  <si>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</si>
  <si>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</si>
  <si>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</si>
  <si>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</si>
  <si>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</si>
  <si>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</si>
  <si>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</si>
  <si>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</si>
  <si>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</si>
  <si>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</si>
  <si>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</si>
  <si>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</si>
  <si>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</si>
  <si>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</si>
  <si>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</si>
  <si>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</si>
  <si>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</si>
  <si>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</si>
  <si>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</si>
  <si>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</si>
  <si>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</si>
  <si>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</si>
  <si>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</si>
  <si>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</si>
  <si>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</si>
  <si>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</si>
  <si>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</si>
  <si>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</si>
  <si>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</si>
  <si>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</si>
  <si>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</si>
  <si>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</si>
  <si>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</si>
  <si>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</si>
  <si>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</si>
  <si>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</si>
  <si>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</si>
  <si>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</si>
  <si>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</si>
  <si>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</si>
  <si>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</si>
  <si>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</si>
  <si>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</si>
  <si>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</si>
  <si>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</si>
  <si>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</si>
  <si>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</si>
  <si>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</si>
  <si>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</si>
  <si>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</si>
  <si>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</si>
  <si>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</si>
  <si>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</si>
  <si>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</si>
  <si>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</si>
  <si>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</si>
  <si>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</si>
  <si>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</si>
  <si>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</si>
  <si>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</si>
  <si>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</si>
  <si>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</si>
  <si>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</si>
  <si>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</si>
  <si>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</si>
  <si>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</si>
  <si>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</si>
  <si>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</si>
  <si>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</si>
  <si>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</si>
  <si>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</si>
  <si>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</si>
  <si>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</si>
  <si>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</si>
  <si>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</si>
  <si>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</si>
  <si>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</si>
  <si>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</si>
  <si>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</si>
  <si>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</si>
  <si>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</si>
  <si>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</si>
  <si>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</si>
  <si>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</si>
  <si>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</si>
  <si>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</si>
  <si>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</si>
  <si>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</si>
  <si>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</si>
  <si>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</si>
  <si>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</si>
  <si>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</si>
  <si>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</si>
  <si>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</si>
  <si>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</si>
  <si>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</si>
  <si>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</si>
  <si>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</si>
  <si>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</si>
  <si>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</si>
  <si>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</si>
  <si>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</si>
  <si>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</si>
  <si>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</si>
  <si>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</si>
  <si>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</si>
  <si>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</si>
  <si>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</si>
  <si>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</si>
  <si>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</si>
  <si>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</si>
  <si>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</si>
  <si>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</si>
  <si>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</si>
  <si>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</si>
  <si>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</si>
  <si>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</si>
  <si>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</si>
  <si>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</si>
  <si>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</si>
  <si>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</si>
  <si>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</si>
  <si>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</si>
  <si>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</si>
  <si>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</si>
  <si>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</si>
  <si>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</si>
  <si>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</si>
  <si>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</si>
  <si>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</si>
  <si>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</si>
  <si>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</si>
  <si>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</si>
  <si>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</si>
  <si>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</si>
  <si>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</si>
  <si>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</si>
  <si>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</si>
  <si>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</si>
  <si>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</si>
  <si>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</si>
  <si>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</si>
  <si>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</si>
  <si>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</si>
  <si>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</si>
  <si>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</si>
  <si>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</si>
  <si>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</si>
  <si>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</si>
  <si>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</si>
  <si>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</si>
  <si>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</si>
  <si>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</si>
  <si>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</si>
  <si>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</si>
  <si>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</si>
  <si>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</si>
  <si>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</si>
  <si>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</si>
  <si>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</si>
  <si>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</si>
  <si>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</si>
  <si>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</si>
  <si>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</si>
  <si>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</si>
  <si>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</si>
  <si>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</si>
  <si>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</si>
  <si>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</si>
  <si>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</si>
  <si>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</si>
  <si>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</si>
  <si>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</si>
  <si>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</si>
  <si>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</si>
  <si>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</si>
  <si>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</si>
  <si>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</si>
  <si>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</si>
  <si>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</si>
  <si>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</si>
  <si>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</si>
  <si>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</si>
  <si>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</si>
  <si>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</si>
  <si>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</si>
  <si>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</si>
  <si>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</si>
  <si>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</si>
  <si>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</si>
  <si>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</si>
  <si>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</si>
  <si>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</si>
  <si>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</si>
  <si>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</si>
  <si>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</si>
  <si>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</si>
  <si>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</si>
  <si>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</si>
  <si>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</si>
  <si>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</si>
  <si>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</si>
  <si>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</si>
  <si>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</si>
  <si>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</si>
  <si>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</si>
  <si>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</si>
  <si>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</si>
  <si>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</si>
  <si>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</si>
  <si>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</si>
  <si>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</si>
  <si>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</si>
  <si>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</si>
  <si>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</si>
  <si>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</si>
  <si>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</si>
  <si>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</si>
  <si>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</si>
  <si>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</si>
  <si>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</si>
  <si>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</si>
  <si>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</si>
  <si>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</si>
  <si>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</si>
  <si>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</si>
  <si>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</si>
  <si>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</si>
  <si>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</si>
  <si>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</si>
  <si>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</si>
  <si>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</si>
  <si>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</si>
  <si>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</si>
  <si>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</si>
  <si>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</si>
  <si>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</si>
  <si>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</si>
  <si>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</si>
  <si>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</si>
  <si>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</si>
  <si>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</si>
  <si>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</si>
  <si>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</si>
  <si>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</si>
  <si>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</si>
  <si>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</si>
  <si>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</si>
  <si>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</si>
  <si>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</si>
  <si>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</si>
  <si>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</si>
  <si>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</si>
  <si>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</si>
  <si>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</si>
  <si>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</si>
  <si>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</si>
  <si>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</si>
  <si>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</si>
  <si>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</si>
  <si>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</si>
  <si>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</si>
  <si>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</si>
  <si>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</si>
  <si>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</si>
  <si>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</si>
  <si>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</si>
  <si>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</si>
  <si>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</si>
  <si>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</si>
  <si>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</si>
  <si>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</si>
  <si>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</si>
  <si>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</si>
  <si>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</si>
  <si>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</si>
  <si>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</si>
  <si>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</si>
  <si>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</si>
  <si>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</si>
  <si>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</si>
  <si>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</si>
  <si>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</si>
  <si>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</si>
  <si>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</si>
  <si>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</si>
  <si>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</si>
  <si>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</si>
  <si>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</si>
  <si>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</si>
  <si>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</si>
  <si>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</si>
  <si>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</si>
  <si>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</si>
  <si>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</si>
  <si>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</si>
  <si>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</si>
  <si>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</si>
  <si>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</si>
  <si>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</si>
  <si>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</si>
  <si>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</si>
  <si>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</si>
  <si>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</si>
  <si>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</si>
  <si>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</si>
  <si>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</si>
  <si>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</si>
  <si>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</si>
  <si>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</si>
  <si>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</si>
  <si>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</si>
  <si>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</si>
  <si>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</si>
  <si>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</si>
  <si>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</si>
  <si>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</si>
  <si>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</si>
  <si>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</si>
  <si>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</si>
  <si>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</si>
  <si>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</si>
  <si>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</si>
  <si>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</si>
  <si>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</si>
  <si>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</si>
  <si>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</si>
  <si>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</si>
  <si>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</si>
  <si>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</si>
  <si>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</si>
  <si>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</si>
  <si>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</si>
  <si>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</si>
  <si>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</si>
  <si>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</si>
  <si>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</si>
  <si>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</si>
  <si>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</si>
  <si>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</si>
  <si>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</si>
  <si>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</si>
  <si>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</si>
  <si>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</si>
  <si>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</si>
  <si>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</si>
  <si>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</si>
  <si>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</si>
  <si>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</si>
  <si>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</si>
  <si>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</si>
  <si>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</si>
  <si>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</si>
  <si>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</si>
  <si>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</si>
  <si>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</si>
  <si>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</si>
  <si>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</si>
  <si>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</si>
  <si>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</si>
  <si>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</si>
  <si>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</si>
  <si>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</si>
  <si>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</si>
  <si>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</si>
  <si>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</si>
  <si>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</si>
  <si>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</si>
  <si>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</si>
  <si>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</si>
  <si>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</si>
  <si>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</si>
  <si>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</si>
  <si>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</si>
  <si>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</si>
  <si>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</si>
  <si>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</si>
  <si>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</si>
  <si>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</si>
  <si>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</si>
  <si>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</si>
  <si>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</si>
  <si>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</si>
  <si>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</si>
  <si>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</si>
  <si>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</si>
  <si>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</si>
  <si>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</si>
  <si>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</si>
  <si>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</si>
  <si>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</si>
  <si>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</si>
  <si>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</si>
  <si>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</si>
  <si>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</si>
  <si>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</si>
  <si>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</si>
  <si>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</si>
  <si>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</si>
  <si>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</si>
  <si>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</si>
  <si>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</si>
  <si>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</si>
  <si>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</si>
  <si>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</si>
  <si>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</si>
  <si>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</si>
  <si>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</si>
  <si>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</si>
  <si>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</si>
  <si>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</si>
  <si>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</si>
  <si>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</si>
  <si>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</si>
  <si>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</si>
  <si>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</si>
  <si>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</si>
  <si>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</si>
  <si>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</si>
  <si>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</si>
  <si>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</si>
  <si>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</si>
  <si>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</si>
  <si>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</si>
  <si>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</si>
  <si>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</si>
  <si>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</si>
  <si>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</si>
  <si>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</si>
  <si>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</si>
  <si>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</si>
  <si>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</si>
  <si>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</si>
  <si>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</si>
  <si>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</si>
  <si>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</si>
  <si>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</si>
  <si>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</si>
  <si>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</si>
  <si>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</si>
  <si>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</si>
  <si>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</si>
  <si>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</si>
  <si>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</si>
  <si>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</si>
  <si>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</si>
  <si>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</si>
  <si>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</si>
  <si>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</si>
  <si>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</si>
  <si>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</si>
  <si>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</si>
  <si>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</si>
  <si>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</si>
  <si>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</si>
  <si>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</si>
  <si>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</si>
  <si>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</si>
  <si>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</si>
  <si>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</si>
  <si>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</si>
  <si>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</si>
  <si>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</si>
  <si>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</si>
  <si>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</si>
  <si>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</si>
  <si>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</si>
  <si>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</si>
  <si>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</si>
  <si>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</si>
  <si>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</si>
  <si>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</si>
  <si>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</si>
  <si>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</si>
  <si>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</si>
  <si>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</si>
  <si>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</si>
  <si>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</si>
  <si>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</si>
  <si>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</si>
  <si>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</si>
  <si>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</si>
  <si>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</si>
  <si>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</si>
  <si>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</si>
  <si>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</si>
  <si>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</si>
  <si>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</si>
  <si>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</si>
  <si>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</si>
  <si>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</si>
  <si>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</si>
  <si>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</si>
  <si>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</si>
  <si>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</si>
  <si>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</si>
  <si>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</si>
  <si>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</si>
  <si>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</si>
  <si>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</si>
  <si>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</si>
  <si>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</si>
  <si>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</si>
  <si>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</si>
  <si>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</si>
  <si>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</si>
  <si>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</si>
  <si>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</si>
  <si>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</si>
  <si>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</si>
  <si>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</si>
  <si>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</si>
  <si>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</si>
  <si>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</si>
  <si>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</si>
  <si>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</si>
  <si>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</si>
  <si>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</si>
  <si>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</si>
  <si>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</si>
  <si>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</si>
  <si>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</si>
  <si>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</si>
  <si>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</si>
  <si>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</si>
  <si>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</si>
  <si>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</si>
  <si>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</si>
  <si>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</si>
  <si>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</si>
  <si>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</si>
  <si>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</si>
  <si>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</si>
  <si>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</si>
  <si>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</si>
  <si>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</si>
  <si>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</si>
  <si>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</si>
  <si>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</si>
  <si>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</si>
  <si>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</si>
  <si>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</si>
  <si>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</si>
  <si>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</si>
  <si>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</si>
  <si>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</si>
  <si>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</si>
  <si>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</si>
  <si>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</si>
  <si>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</si>
  <si>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</si>
  <si>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</si>
  <si>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</si>
  <si>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</si>
  <si>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</si>
  <si>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</si>
  <si>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</si>
  <si>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</si>
  <si>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</si>
  <si>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</si>
  <si>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</si>
  <si>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</si>
  <si>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</si>
  <si>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</si>
  <si>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</si>
  <si>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</si>
  <si>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</si>
  <si>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</si>
  <si>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</si>
  <si>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</si>
  <si>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</si>
  <si>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</si>
  <si>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</si>
  <si>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</si>
  <si>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</si>
  <si>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</si>
  <si>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</si>
  <si>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</si>
  <si>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</si>
  <si>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</si>
  <si>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</si>
  <si>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</si>
  <si>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</si>
  <si>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</si>
  <si>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</si>
  <si>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</si>
  <si>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</si>
  <si>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</si>
  <si>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</si>
  <si>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</si>
  <si>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</si>
  <si>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</si>
  <si>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</si>
  <si>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</si>
  <si>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</si>
  <si>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</si>
  <si>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</si>
  <si>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</si>
  <si>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</si>
  <si>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</si>
  <si>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</si>
  <si>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</si>
  <si>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</si>
  <si>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</si>
  <si>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</si>
  <si>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</si>
  <si>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</si>
  <si>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</si>
  <si>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</si>
  <si>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</si>
  <si>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</si>
  <si>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</si>
  <si>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</si>
  <si>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</si>
  <si>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</si>
  <si>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</si>
  <si>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</si>
  <si>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</si>
  <si>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</si>
  <si>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</si>
  <si>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</si>
  <si>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</si>
  <si>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</si>
  <si>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</si>
  <si>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</si>
  <si>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</si>
  <si>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</si>
  <si>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</si>
  <si>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</si>
  <si>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</si>
  <si>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</si>
  <si>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</si>
  <si>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</si>
  <si>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</si>
  <si>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</si>
  <si>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</si>
  <si>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</si>
  <si>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</si>
  <si>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</si>
  <si>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</si>
  <si>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</si>
  <si>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</si>
  <si>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</si>
  <si>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</si>
  <si>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</si>
  <si>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</si>
  <si>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</si>
  <si>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</si>
  <si>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</si>
  <si>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</si>
  <si>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</si>
  <si>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</si>
  <si>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</si>
  <si>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</si>
  <si>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</si>
  <si>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</si>
  <si>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</si>
  <si>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</si>
  <si>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</si>
  <si>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</si>
  <si>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</si>
  <si>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</si>
  <si>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</si>
  <si>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</si>
  <si>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</si>
  <si>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</si>
  <si>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</si>
  <si>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</si>
  <si>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</si>
  <si>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</si>
  <si>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</si>
  <si>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</si>
  <si>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</si>
  <si>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</si>
  <si>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</si>
  <si>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</si>
  <si>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</si>
  <si>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</si>
  <si>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</si>
  <si>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</si>
  <si>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</si>
  <si>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</si>
  <si>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</si>
  <si>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</si>
  <si>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</si>
  <si>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</si>
  <si>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</si>
  <si>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</si>
  <si>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</si>
  <si>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</si>
  <si>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</si>
  <si>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</si>
  <si>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</si>
  <si>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</si>
  <si>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</si>
  <si>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</si>
  <si>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</si>
  <si>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</si>
  <si>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</si>
  <si>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</si>
  <si>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</si>
  <si>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</si>
  <si>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</si>
  <si>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</si>
  <si>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</si>
  <si>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</si>
  <si>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</si>
  <si>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</si>
  <si>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</si>
  <si>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</si>
  <si>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</si>
  <si>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</si>
  <si>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</si>
  <si>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</si>
  <si>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</si>
  <si>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</si>
  <si>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</si>
  <si>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</si>
  <si>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</si>
  <si>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</si>
  <si>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</si>
  <si>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</si>
  <si>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</si>
  <si>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</si>
  <si>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</si>
  <si>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</si>
  <si>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</si>
  <si>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</si>
  <si>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</si>
  <si>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</si>
  <si>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</si>
  <si>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</si>
  <si>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</si>
  <si>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</si>
  <si>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</si>
  <si>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</si>
  <si>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</si>
  <si>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</si>
  <si>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</si>
  <si>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</si>
  <si>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</si>
  <si>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</si>
  <si>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</si>
  <si>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</si>
  <si>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</si>
  <si>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</si>
  <si>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</si>
  <si>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</si>
  <si>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</si>
  <si>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</si>
  <si>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</si>
  <si>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</si>
  <si>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</si>
  <si>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</si>
  <si>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</si>
  <si>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</si>
  <si>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</si>
  <si>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</si>
  <si>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</si>
  <si>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</si>
  <si>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</si>
  <si>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</si>
  <si>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</si>
  <si>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</si>
  <si>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</si>
  <si>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</si>
  <si>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</si>
  <si>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</si>
  <si>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</si>
  <si>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</si>
  <si>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</si>
  <si>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</si>
  <si>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</si>
  <si>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</si>
  <si>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</si>
  <si>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</si>
  <si>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</si>
  <si>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</si>
  <si>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</si>
  <si>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</si>
  <si>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</si>
  <si>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</si>
  <si>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</si>
  <si>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</si>
  <si>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</si>
  <si>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</si>
  <si>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</si>
  <si>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</si>
  <si>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</si>
  <si>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</si>
  <si>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</si>
  <si>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</si>
  <si>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</si>
  <si>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</si>
  <si>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</si>
  <si>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</si>
  <si>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</si>
  <si>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</si>
  <si>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</si>
  <si>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</si>
  <si>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</si>
  <si>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</si>
  <si>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</si>
  <si>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</si>
  <si>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</si>
  <si>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</si>
  <si>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</si>
  <si>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</si>
  <si>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</si>
  <si>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</si>
  <si>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</si>
  <si>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</si>
  <si>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</si>
  <si>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</si>
  <si>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</si>
  <si>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</si>
  <si>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</si>
  <si>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</si>
  <si>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</si>
  <si>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</si>
  <si>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</si>
  <si>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</si>
  <si>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</si>
  <si>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</si>
  <si>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</si>
  <si>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</si>
  <si>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</si>
  <si>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</si>
  <si>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</si>
  <si>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</si>
  <si>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</si>
  <si>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</si>
  <si>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</si>
  <si>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</si>
  <si>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</si>
  <si>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</si>
  <si>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</si>
  <si>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</si>
  <si>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</si>
  <si>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</si>
  <si>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</si>
  <si>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</si>
  <si>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</si>
  <si>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</si>
  <si>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</si>
  <si>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</si>
  <si>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</si>
  <si>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</si>
  <si>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</si>
  <si>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</si>
  <si>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</si>
  <si>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</si>
  <si>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</si>
  <si>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</si>
  <si>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</si>
  <si>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</si>
  <si>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</si>
  <si>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</si>
  <si>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</si>
  <si>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</si>
  <si>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</si>
  <si>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</si>
  <si>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</si>
  <si>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</si>
  <si>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</si>
  <si>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</si>
  <si>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</si>
  <si>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</si>
  <si>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</si>
  <si>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</si>
  <si>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</si>
  <si>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</si>
  <si>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</si>
  <si>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</si>
  <si>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</si>
  <si>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</si>
  <si>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</si>
  <si>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</si>
  <si>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</si>
  <si>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</si>
  <si>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</si>
  <si>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</si>
  <si>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</si>
  <si>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</si>
  <si>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</si>
  <si>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</si>
  <si>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</si>
  <si>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</si>
  <si>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</si>
  <si>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</si>
  <si>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</si>
  <si>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</si>
  <si>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</si>
  <si>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</si>
  <si>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</si>
  <si>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</si>
  <si>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</si>
  <si>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</si>
  <si>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</si>
  <si>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</si>
  <si>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</si>
  <si>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</si>
  <si>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</si>
  <si>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</si>
  <si>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</si>
  <si>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</si>
  <si>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</si>
  <si>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</si>
  <si>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</si>
  <si>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</si>
  <si>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</si>
  <si>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</si>
  <si>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</si>
  <si>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</si>
  <si>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</si>
  <si>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</si>
  <si>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</si>
  <si>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</si>
  <si>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</si>
  <si>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</si>
  <si>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</si>
  <si>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</si>
  <si>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</si>
  <si>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</si>
  <si>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</si>
  <si>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</si>
  <si>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</si>
  <si>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</si>
  <si>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</si>
  <si>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</si>
  <si>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</si>
  <si>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</si>
  <si>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</si>
  <si>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</si>
  <si>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</si>
  <si>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</si>
  <si>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</si>
  <si>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</si>
  <si>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</si>
  <si>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</si>
  <si>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</si>
  <si>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</si>
  <si>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</si>
  <si>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</si>
  <si>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</si>
  <si>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</si>
  <si>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</si>
  <si>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</si>
  <si>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</si>
  <si>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</si>
  <si>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</si>
  <si>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</si>
  <si>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</si>
  <si>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</si>
  <si>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</si>
  <si>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</si>
  <si>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</si>
  <si>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</si>
  <si>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</si>
  <si>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</si>
  <si>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</si>
  <si>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</si>
  <si>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</si>
  <si>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</si>
  <si>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</si>
  <si>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</si>
  <si>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</si>
  <si>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</si>
  <si>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</si>
  <si>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</si>
  <si>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</si>
  <si>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</si>
  <si>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</si>
  <si>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</si>
  <si>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</si>
  <si>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</si>
  <si>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</si>
  <si>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</si>
  <si>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</si>
  <si>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</si>
  <si>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</si>
  <si>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</si>
  <si>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</si>
  <si>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</si>
  <si>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</si>
  <si>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</si>
  <si>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</si>
  <si>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</si>
  <si>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</si>
  <si>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</si>
  <si>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</si>
  <si>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</si>
  <si>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</si>
  <si>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</si>
  <si>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</si>
  <si>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</si>
  <si>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</si>
  <si>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</si>
  <si>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</si>
  <si>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</si>
  <si>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</si>
  <si>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</si>
  <si>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</si>
  <si>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</si>
  <si>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</si>
  <si>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</si>
  <si>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</si>
  <si>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</si>
  <si>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</si>
  <si>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</si>
  <si>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</si>
  <si>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</si>
  <si>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</si>
  <si>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</si>
  <si>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</si>
  <si>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</si>
  <si>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</si>
  <si>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</si>
  <si>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</si>
  <si>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</si>
  <si>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</si>
  <si>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</si>
  <si>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</si>
  <si>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</si>
  <si>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</si>
  <si>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</si>
  <si>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</si>
  <si>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</si>
  <si>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</si>
  <si>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</si>
  <si>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</si>
  <si>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</si>
  <si>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</si>
  <si>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</si>
  <si>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</si>
  <si>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</si>
  <si>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</si>
  <si>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</si>
  <si>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</si>
  <si>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</si>
  <si>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</si>
  <si>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</si>
  <si>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</si>
  <si>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</si>
  <si>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</si>
  <si>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</si>
  <si>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</si>
  <si>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</si>
  <si>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</si>
  <si>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</si>
  <si>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</si>
  <si>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</si>
  <si>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</si>
  <si>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</si>
  <si>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</si>
  <si>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</si>
  <si>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</si>
  <si>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</si>
  <si>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</si>
  <si>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</si>
  <si>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</si>
  <si>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</si>
  <si>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</si>
  <si>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</si>
  <si>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</si>
  <si>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</si>
  <si>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</si>
  <si>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</si>
  <si>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</si>
  <si>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</si>
  <si>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</si>
  <si>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</si>
  <si>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</si>
  <si>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</si>
  <si>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</si>
  <si>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</si>
  <si>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</si>
  <si>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</si>
  <si>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</si>
  <si>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</si>
  <si>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</si>
  <si>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</si>
  <si>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</si>
  <si>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</si>
  <si>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</si>
  <si>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</si>
  <si>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</si>
  <si>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</si>
  <si>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</si>
  <si>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</si>
  <si>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</si>
  <si>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</si>
  <si>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</si>
  <si>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</si>
  <si>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</si>
  <si>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</si>
  <si>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</si>
  <si>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</si>
  <si>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</si>
  <si>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</si>
  <si>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</si>
  <si>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</si>
  <si>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</si>
  <si>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</si>
  <si>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</si>
  <si>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</si>
  <si>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</si>
  <si>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</si>
  <si>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</si>
  <si>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</si>
  <si>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</si>
  <si>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</si>
  <si>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</si>
  <si>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</si>
  <si>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</si>
  <si>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</si>
  <si>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</si>
  <si>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</si>
  <si>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</si>
  <si>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</si>
  <si>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</si>
  <si>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</si>
  <si>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</si>
  <si>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</si>
  <si>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</si>
  <si>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</si>
  <si>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</si>
  <si>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</si>
  <si>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</si>
  <si>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</si>
  <si>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</si>
  <si>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</si>
  <si>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</si>
  <si>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</si>
  <si>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</si>
  <si>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</si>
  <si>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</si>
  <si>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</si>
  <si>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</si>
  <si>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</si>
  <si>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</si>
  <si>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</si>
  <si>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</si>
  <si>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</si>
  <si>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</si>
  <si>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</si>
  <si>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</si>
  <si>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</si>
  <si>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</si>
  <si>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</si>
  <si>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</si>
  <si>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</si>
  <si>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</si>
  <si>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</si>
  <si>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</si>
  <si>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</si>
  <si>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</si>
  <si>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</si>
  <si>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</si>
  <si>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</si>
  <si>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</si>
  <si>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</si>
  <si>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</si>
  <si>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</si>
  <si>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</si>
  <si>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</si>
  <si>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</si>
  <si>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</si>
  <si>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</si>
  <si>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</si>
  <si>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</si>
  <si>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</si>
  <si>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</si>
  <si>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</si>
  <si>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</si>
  <si>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</si>
  <si>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</si>
  <si>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</si>
  <si>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</si>
  <si>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</si>
  <si>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</si>
  <si>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</si>
  <si>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</si>
  <si>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</si>
  <si>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</si>
  <si>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</si>
  <si>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</si>
  <si>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</si>
  <si>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</si>
  <si>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</si>
  <si>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</si>
  <si>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</si>
  <si>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</si>
  <si>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</si>
  <si>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</si>
  <si>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</si>
  <si>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</si>
  <si>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</si>
  <si>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</si>
  <si>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</si>
  <si>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</si>
  <si>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</si>
  <si>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</si>
  <si>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</si>
  <si>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</si>
  <si>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</si>
  <si>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</si>
  <si>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</si>
  <si>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</si>
  <si>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</si>
  <si>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</si>
  <si>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</si>
  <si>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</si>
  <si>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</si>
  <si>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</si>
  <si>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</si>
  <si>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</si>
  <si>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</si>
  <si>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</si>
  <si>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</si>
  <si>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</si>
  <si>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</si>
  <si>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</si>
  <si>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</si>
  <si>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</si>
  <si>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</si>
  <si>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</si>
  <si>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</si>
  <si>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</si>
  <si>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</si>
  <si>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</si>
  <si>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</si>
  <si>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</si>
  <si>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</si>
  <si>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</si>
  <si>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</si>
  <si>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</si>
  <si>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</si>
  <si>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</si>
  <si>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</si>
  <si>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</si>
  <si>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</si>
  <si>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</si>
  <si>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</si>
  <si>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</si>
  <si>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</si>
  <si>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</si>
  <si>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</si>
  <si>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</si>
  <si>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</si>
  <si>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</si>
  <si>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</si>
  <si>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</si>
  <si>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</si>
  <si>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</si>
  <si>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</si>
  <si>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</si>
  <si>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</si>
  <si>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</si>
  <si>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</si>
  <si>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</si>
  <si>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</si>
  <si>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</si>
  <si>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</si>
  <si>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</si>
  <si>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</si>
  <si>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</si>
  <si>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</si>
  <si>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</si>
  <si>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</si>
  <si>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</si>
  <si>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</si>
  <si>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</si>
  <si>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</si>
  <si>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</si>
  <si>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</si>
  <si>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</si>
  <si>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</si>
  <si>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</si>
  <si>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</si>
  <si>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</si>
  <si>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</si>
  <si>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</si>
  <si>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</si>
  <si>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</si>
  <si>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</si>
  <si>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</si>
  <si>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</si>
  <si>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</si>
  <si>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</si>
  <si>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</si>
  <si>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</si>
  <si>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</si>
  <si>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</si>
  <si>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</si>
  <si>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</si>
  <si>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</si>
  <si>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</si>
  <si>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</si>
  <si>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</si>
  <si>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</si>
  <si>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</si>
  <si>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</si>
  <si>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</si>
  <si>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</si>
  <si>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</si>
  <si>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</si>
  <si>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</si>
  <si>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</si>
  <si>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</si>
  <si>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</si>
  <si>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</si>
  <si>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</si>
  <si>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</si>
  <si>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</si>
  <si>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</si>
  <si>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</si>
  <si>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</si>
  <si>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</si>
  <si>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</si>
  <si>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</si>
  <si>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</si>
  <si>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</si>
  <si>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</si>
  <si>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</si>
  <si>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</si>
  <si>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</si>
  <si>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</si>
  <si>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</si>
  <si>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</si>
  <si>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</si>
  <si>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</si>
  <si>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</si>
  <si>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</si>
  <si>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</si>
  <si>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</si>
  <si>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</si>
  <si>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</si>
  <si>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</si>
  <si>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</si>
  <si>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</si>
  <si>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</si>
  <si>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</si>
  <si>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</si>
  <si>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</si>
  <si>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</si>
  <si>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</si>
  <si>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</si>
  <si>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</si>
  <si>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</si>
  <si>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</si>
  <si>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</si>
  <si>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</si>
  <si>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</si>
  <si>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</si>
  <si>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</si>
  <si>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</si>
  <si>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</si>
  <si>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</si>
  <si>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</si>
  <si>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</si>
  <si>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</si>
  <si>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</si>
  <si>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</si>
  <si>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</si>
  <si>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</si>
  <si>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</si>
  <si>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</si>
  <si>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</si>
  <si>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</si>
  <si>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</si>
  <si>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</si>
  <si>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</si>
  <si>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</si>
  <si>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</si>
  <si>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</si>
  <si>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</si>
  <si>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</si>
  <si>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</si>
  <si>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</si>
  <si>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</si>
  <si>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</si>
  <si>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</si>
  <si>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</si>
  <si>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</si>
  <si>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</si>
  <si>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</si>
  <si>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</si>
  <si>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</si>
  <si>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</si>
  <si>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</si>
  <si>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</si>
  <si>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</si>
  <si>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</si>
  <si>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</si>
  <si>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</si>
  <si>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</si>
  <si>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</si>
  <si>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</si>
  <si>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</si>
  <si>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</si>
  <si>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</si>
  <si>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</si>
  <si>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</si>
  <si>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</si>
  <si>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</si>
  <si>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</si>
  <si>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</si>
  <si>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</si>
  <si>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</si>
  <si>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</si>
  <si>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</si>
  <si>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</si>
  <si>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</si>
  <si>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</si>
  <si>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</si>
  <si>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</si>
  <si>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</si>
  <si>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</si>
  <si>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</si>
  <si>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</si>
  <si>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</si>
  <si>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</si>
  <si>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</si>
  <si>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</si>
  <si>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</si>
  <si>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</si>
  <si>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</si>
  <si>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</si>
  <si>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</si>
  <si>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</si>
  <si>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</si>
  <si>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</si>
  <si>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</si>
  <si>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</si>
  <si>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</si>
  <si>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</si>
  <si>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</si>
  <si>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</si>
  <si>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</si>
  <si>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</si>
  <si>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</si>
  <si>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</si>
  <si>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</si>
  <si>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</si>
  <si>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</si>
  <si>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</si>
  <si>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</si>
  <si>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</si>
  <si>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</si>
  <si>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</si>
  <si>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</si>
  <si>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</si>
  <si>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</si>
  <si>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</si>
  <si>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</si>
  <si>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</si>
  <si>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</si>
  <si>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</si>
  <si>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</si>
  <si>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</si>
  <si>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</si>
  <si>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</si>
  <si>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</si>
  <si>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</si>
  <si>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</si>
  <si>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</si>
  <si>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</si>
  <si>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</si>
  <si>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</si>
  <si>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</si>
  <si>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</si>
  <si>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</si>
  <si>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</si>
  <si>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</si>
  <si>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</si>
  <si>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</si>
  <si>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</si>
  <si>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</si>
  <si>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</si>
  <si>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</si>
  <si>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</si>
  <si>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</si>
  <si>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</si>
  <si>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</si>
  <si>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</si>
  <si>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</si>
  <si>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</si>
  <si>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</si>
  <si>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</si>
  <si>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</si>
  <si>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</si>
  <si>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</si>
  <si>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</si>
  <si>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</si>
  <si>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</si>
  <si>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</si>
  <si>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</si>
  <si>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</si>
  <si>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</si>
  <si>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</si>
  <si>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</si>
  <si>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</si>
  <si>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</si>
  <si>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</si>
  <si>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</si>
  <si>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</si>
  <si>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</si>
  <si>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</si>
  <si>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</si>
  <si>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</si>
  <si>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</si>
  <si>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</si>
  <si>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</si>
  <si>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</si>
  <si>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</si>
  <si>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</si>
  <si>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</si>
  <si>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</si>
  <si>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</si>
  <si>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</si>
  <si>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</si>
  <si>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</si>
  <si>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</si>
  <si>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</si>
  <si>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</si>
  <si>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</si>
  <si>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</si>
  <si>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</si>
  <si>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</si>
  <si>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</si>
  <si>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</si>
  <si>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</si>
  <si>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</si>
  <si>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</si>
  <si>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</si>
  <si>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</si>
  <si>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</si>
  <si>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</si>
  <si>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</si>
  <si>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</si>
  <si>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</si>
  <si>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</si>
  <si>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</si>
  <si>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</si>
  <si>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</si>
  <si>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</si>
  <si>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</si>
  <si>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</si>
  <si>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</si>
  <si>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</si>
  <si>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</si>
  <si>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</si>
  <si>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</si>
  <si>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</si>
  <si>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</si>
  <si>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</si>
  <si>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</si>
  <si>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</si>
  <si>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</si>
  <si>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</si>
  <si>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</si>
  <si>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</si>
  <si>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</si>
  <si>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</si>
  <si>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</si>
  <si>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</si>
  <si>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</si>
  <si>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</si>
  <si>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</si>
  <si>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</si>
  <si>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</si>
  <si>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</si>
  <si>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</si>
  <si>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</si>
  <si>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</si>
  <si>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</si>
  <si>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</si>
  <si>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</si>
  <si>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</si>
  <si>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</si>
  <si>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</si>
  <si>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</si>
  <si>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</si>
  <si>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</si>
  <si>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</si>
  <si>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</si>
  <si>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</si>
  <si>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</si>
  <si>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</si>
  <si>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</si>
  <si>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</si>
  <si>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</si>
  <si>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</si>
  <si>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</si>
  <si>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</si>
  <si>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</si>
  <si>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</si>
  <si>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</si>
  <si>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</si>
  <si>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</si>
  <si>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</si>
  <si>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</si>
  <si>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</si>
  <si>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</si>
  <si>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</si>
  <si>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</si>
  <si>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</si>
  <si>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</si>
  <si>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</si>
  <si>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</si>
  <si>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</si>
  <si>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</si>
  <si>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</si>
  <si>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</si>
  <si>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</si>
  <si>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</si>
  <si>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</si>
  <si>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</si>
  <si>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</si>
  <si>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</si>
  <si>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</si>
  <si>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</si>
  <si>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</si>
  <si>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</si>
  <si>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</si>
  <si>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</si>
  <si>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</si>
  <si>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</si>
  <si>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</si>
  <si>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</si>
  <si>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</si>
  <si>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</si>
  <si>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</si>
  <si>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</si>
  <si>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</si>
  <si>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</si>
  <si>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</si>
  <si>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</si>
  <si>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</si>
  <si>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</si>
  <si>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</si>
  <si>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</si>
  <si>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</si>
  <si>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</si>
  <si>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</si>
  <si>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</si>
  <si>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</si>
  <si>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</si>
  <si>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</si>
  <si>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</si>
  <si>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</si>
  <si>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</si>
  <si>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</si>
  <si>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</si>
  <si>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</si>
  <si>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</si>
  <si>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</si>
  <si>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</si>
  <si>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</si>
  <si>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</si>
  <si>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</si>
  <si>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</si>
  <si>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</si>
  <si>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</si>
  <si>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</si>
  <si>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</si>
  <si>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</si>
  <si>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</si>
  <si>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</si>
  <si>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</si>
  <si>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</si>
  <si>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</si>
  <si>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</si>
  <si>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</si>
  <si>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</si>
  <si>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</si>
  <si>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</si>
  <si>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</si>
  <si>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</si>
  <si>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</si>
  <si>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</si>
  <si>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</si>
  <si>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</si>
  <si>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</si>
  <si>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</si>
  <si>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</si>
  <si>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</si>
  <si>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</si>
  <si>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</si>
  <si>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</si>
  <si>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</si>
  <si>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</si>
  <si>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</si>
  <si>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</si>
  <si>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</si>
  <si>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</si>
  <si>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</si>
  <si>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</si>
  <si>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</si>
  <si>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</si>
  <si>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</si>
  <si>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</si>
  <si>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</si>
  <si>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</si>
  <si>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</si>
  <si>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</si>
  <si>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</si>
  <si>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</si>
  <si>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</si>
  <si>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</si>
  <si>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</si>
  <si>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</si>
  <si>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</si>
  <si>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</si>
  <si>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</si>
  <si>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</si>
  <si>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</si>
  <si>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</si>
  <si>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</si>
  <si>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</si>
  <si>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</si>
  <si>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</si>
  <si>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</si>
  <si>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</si>
  <si>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</si>
  <si>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</si>
  <si>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</si>
  <si>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</si>
  <si>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</si>
  <si>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</si>
  <si>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</si>
  <si>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</si>
  <si>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</si>
  <si>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</si>
  <si>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</si>
  <si>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</si>
  <si>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</si>
  <si>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</si>
  <si>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</si>
  <si>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</si>
  <si>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</si>
  <si>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</si>
  <si>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</si>
  <si>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</si>
  <si>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</si>
  <si>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</si>
  <si>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</si>
  <si>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</si>
  <si>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</si>
  <si>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</si>
  <si>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</si>
  <si>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</si>
  <si>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</si>
  <si>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</si>
  <si>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</si>
  <si>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</si>
  <si>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</si>
  <si>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</si>
  <si>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</si>
  <si>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</si>
  <si>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</si>
  <si>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</si>
  <si>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</si>
  <si>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</si>
  <si>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</si>
  <si>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</si>
  <si>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</si>
  <si>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</si>
  <si>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</si>
  <si>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</si>
  <si>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</si>
  <si>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</si>
  <si>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</si>
  <si>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</si>
  <si>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</si>
  <si>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</si>
  <si>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</si>
  <si>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</si>
  <si>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</si>
  <si>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</si>
  <si>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</si>
  <si>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</si>
  <si>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</si>
  <si>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</si>
  <si>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</si>
  <si>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</si>
  <si>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</si>
  <si>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</si>
  <si>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</si>
  <si>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</si>
  <si>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</si>
  <si>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</si>
  <si>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</si>
  <si>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</si>
  <si>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</si>
  <si>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</si>
  <si>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</si>
  <si>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</si>
  <si>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</si>
  <si>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</si>
  <si>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</si>
  <si>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</si>
  <si>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</si>
  <si>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</si>
  <si>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</si>
  <si>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</si>
  <si>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</si>
  <si>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</si>
  <si>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</si>
  <si>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</si>
  <si>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</si>
  <si>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</si>
  <si>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</si>
  <si>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</si>
  <si>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</si>
  <si>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</si>
  <si>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</si>
  <si>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</si>
  <si>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</si>
  <si>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</si>
  <si>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</si>
  <si>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</si>
  <si>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</si>
  <si>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</si>
  <si>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</si>
  <si>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</si>
  <si>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</si>
  <si>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</si>
  <si>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</si>
  <si>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</si>
  <si>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</si>
  <si>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</si>
  <si>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</si>
  <si>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</si>
  <si>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</si>
  <si>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</si>
  <si>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</si>
  <si>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</si>
  <si>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</si>
  <si>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</si>
  <si>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</si>
  <si>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</si>
  <si>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</si>
  <si>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</si>
  <si>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</si>
  <si>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</si>
  <si>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</si>
  <si>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</si>
  <si>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</si>
  <si>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</si>
  <si>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</si>
  <si>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</si>
  <si>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</si>
  <si>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</si>
  <si>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</si>
  <si>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</si>
  <si>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</si>
  <si>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</si>
  <si>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</si>
  <si>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</si>
  <si>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</si>
  <si>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</si>
  <si>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</si>
  <si>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</si>
  <si>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</si>
  <si>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</si>
  <si>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</si>
  <si>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</si>
  <si>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</si>
  <si>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</si>
  <si>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</si>
  <si>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</si>
  <si>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</si>
  <si>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</si>
  <si>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</si>
  <si>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</si>
  <si>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</si>
  <si>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</si>
  <si>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</si>
  <si>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</si>
  <si>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</si>
  <si>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</si>
  <si>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</si>
  <si>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</si>
  <si>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</si>
  <si>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</si>
  <si>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</si>
  <si>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</si>
  <si>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</si>
  <si>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</si>
  <si>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</si>
  <si>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</si>
  <si>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</si>
  <si>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</si>
  <si>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</si>
  <si>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</si>
  <si>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</si>
  <si>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</si>
  <si>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</si>
  <si>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</si>
  <si>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</si>
  <si>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</si>
  <si>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</si>
  <si>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</si>
  <si>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</si>
  <si>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</si>
  <si>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</si>
  <si>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</si>
  <si>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</si>
  <si>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</si>
  <si>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</si>
  <si>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</si>
  <si>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</si>
  <si>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</si>
  <si>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</si>
  <si>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</si>
  <si>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</si>
  <si>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</si>
  <si>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</si>
  <si>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</si>
  <si>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</si>
  <si>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</si>
  <si>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</si>
  <si>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</si>
  <si>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</si>
  <si>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</si>
  <si>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</si>
  <si>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</si>
  <si>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</si>
  <si>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</si>
  <si>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</si>
  <si>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</si>
  <si>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</si>
  <si>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</si>
  <si>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</si>
  <si>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</si>
  <si>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</si>
  <si>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</si>
  <si>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</si>
  <si>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</si>
  <si>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</si>
  <si>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</si>
  <si>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</si>
  <si>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</si>
  <si>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</si>
  <si>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</si>
  <si>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</si>
  <si>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</si>
  <si>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</si>
  <si>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</si>
  <si>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</si>
  <si>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</si>
  <si>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</si>
  <si>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</si>
  <si>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</si>
  <si>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</si>
  <si>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</si>
  <si>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</si>
  <si>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</si>
  <si>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</si>
  <si>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</si>
  <si>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</si>
  <si>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</si>
  <si>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</si>
  <si>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</si>
  <si>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</si>
  <si>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</si>
  <si>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</si>
  <si>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</si>
  <si>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</si>
  <si>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</si>
  <si>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</si>
  <si>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</si>
  <si>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</si>
  <si>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</si>
  <si>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</si>
  <si>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</si>
  <si>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</si>
  <si>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</si>
  <si>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</si>
  <si>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</si>
  <si>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</si>
  <si>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</si>
  <si>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</si>
  <si>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</si>
  <si>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</si>
  <si>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</si>
  <si>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</si>
  <si>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</si>
  <si>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</si>
  <si>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</si>
  <si>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</si>
  <si>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</si>
  <si>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</si>
  <si>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</si>
  <si>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</si>
  <si>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</si>
  <si>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</si>
  <si>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</si>
  <si>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</si>
  <si>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</si>
  <si>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</si>
  <si>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</si>
  <si>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</si>
  <si>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</si>
  <si>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</si>
  <si>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</si>
  <si>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</si>
  <si>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</si>
  <si>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</si>
  <si>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</si>
  <si>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</si>
  <si>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</si>
  <si>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</si>
  <si>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</si>
  <si>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</si>
  <si>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</si>
  <si>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</si>
  <si>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</si>
  <si>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</si>
  <si>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</si>
  <si>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</si>
  <si>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</si>
  <si>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</si>
  <si>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</si>
  <si>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</si>
  <si>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</si>
  <si>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</si>
  <si>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</si>
  <si>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</si>
  <si>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</si>
  <si>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</si>
  <si>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</si>
  <si>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</si>
  <si>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</si>
  <si>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</si>
  <si>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</si>
  <si>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</si>
  <si>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</si>
  <si>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</si>
  <si>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</si>
  <si>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</si>
  <si>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</si>
  <si>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</si>
  <si>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</si>
  <si>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</si>
  <si>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</si>
  <si>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</si>
  <si>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</si>
  <si>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</si>
  <si>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</si>
  <si>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</si>
  <si>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</si>
  <si>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</si>
  <si>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</si>
  <si>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</si>
  <si>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</si>
  <si>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</si>
  <si>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</si>
  <si>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</si>
  <si>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</si>
  <si>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</si>
  <si>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</si>
  <si>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</si>
  <si>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</si>
  <si>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</si>
  <si>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</si>
  <si>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</si>
  <si>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</si>
  <si>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</si>
  <si>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</si>
  <si>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</si>
  <si>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</si>
  <si>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</si>
  <si>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</si>
  <si>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</si>
  <si>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</si>
  <si>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</si>
  <si>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</si>
  <si>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</si>
  <si>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</si>
  <si>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</si>
  <si>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</si>
  <si>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</si>
  <si>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</si>
  <si>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</si>
  <si>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</si>
  <si>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</si>
  <si>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</si>
  <si>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</si>
  <si>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</si>
  <si>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</si>
  <si>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</si>
  <si>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</si>
  <si>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</si>
  <si>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</si>
  <si>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</si>
  <si>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</si>
  <si>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</si>
  <si>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</si>
  <si>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</si>
  <si>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</si>
  <si>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</si>
  <si>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</si>
  <si>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</si>
  <si>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</si>
  <si>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</si>
  <si>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</si>
  <si>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</si>
  <si>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</si>
  <si>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</si>
  <si>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</si>
  <si>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</si>
  <si>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</si>
  <si>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</si>
  <si>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</si>
  <si>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</si>
  <si>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</si>
  <si>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</si>
  <si>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</si>
  <si>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</si>
  <si>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</si>
  <si>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</si>
  <si>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</si>
  <si>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</si>
  <si>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</si>
  <si>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</si>
  <si>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</si>
  <si>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</si>
  <si>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</si>
  <si>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</si>
  <si>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</si>
  <si>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</si>
  <si>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</si>
  <si>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</si>
  <si>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</si>
  <si>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</si>
  <si>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</si>
  <si>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</si>
  <si>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</si>
  <si>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</si>
  <si>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</si>
  <si>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</si>
  <si>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</si>
  <si>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</si>
  <si>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</si>
  <si>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</si>
  <si>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</si>
  <si>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</si>
  <si>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</si>
  <si>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</si>
  <si>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</si>
  <si>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</si>
  <si>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</si>
  <si>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</si>
  <si>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</si>
  <si>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</si>
  <si>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</si>
  <si>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</si>
  <si>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</si>
  <si>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</si>
  <si>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</si>
  <si>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</si>
  <si>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</si>
  <si>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</si>
  <si>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</si>
  <si>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</si>
  <si>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</si>
  <si>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</si>
  <si>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</si>
  <si>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</si>
  <si>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</si>
  <si>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</si>
  <si>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</si>
  <si>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</si>
  <si>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</si>
  <si>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</si>
  <si>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</si>
  <si>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</si>
  <si>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</si>
  <si>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</si>
  <si>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</si>
  <si>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</si>
  <si>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</si>
  <si>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</si>
  <si>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</si>
  <si>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</si>
  <si>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</si>
  <si>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</si>
  <si>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</si>
  <si>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</si>
  <si>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</si>
  <si>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</si>
  <si>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</si>
  <si>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</si>
  <si>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</si>
  <si>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</si>
  <si>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</si>
  <si>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</si>
  <si>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</si>
  <si>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</si>
  <si>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</si>
  <si>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</si>
  <si>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</si>
  <si>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</si>
  <si>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</si>
  <si>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</si>
  <si>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</si>
  <si>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</si>
  <si>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</si>
  <si>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</si>
  <si>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</si>
  <si>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</si>
  <si>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</si>
  <si>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</si>
  <si>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</si>
  <si>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</si>
  <si>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</si>
  <si>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</si>
  <si>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</si>
  <si>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</si>
  <si>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</si>
  <si>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</si>
  <si>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</si>
  <si>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</si>
  <si>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</si>
  <si>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</si>
  <si>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</si>
  <si>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</si>
  <si>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</si>
  <si>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</si>
  <si>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</si>
  <si>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</si>
  <si>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</si>
  <si>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</si>
  <si>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</si>
  <si>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</si>
  <si>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</si>
  <si>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</si>
  <si>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</si>
  <si>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</si>
  <si>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</si>
  <si>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</si>
  <si>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</si>
  <si>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</si>
  <si>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</si>
  <si>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</si>
  <si>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</si>
  <si>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</si>
  <si>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</si>
  <si>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</si>
  <si>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</si>
  <si>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</si>
  <si>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</si>
  <si>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</si>
  <si>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</si>
  <si>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</si>
  <si>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</si>
  <si>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</si>
  <si>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</si>
  <si>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</si>
  <si>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</si>
  <si>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</si>
  <si>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</si>
  <si>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</si>
  <si>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</si>
  <si>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</si>
  <si>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</si>
  <si>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</si>
  <si>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</si>
  <si>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</si>
  <si>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</si>
  <si>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</si>
  <si>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</si>
  <si>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</si>
  <si>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</si>
  <si>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</si>
  <si>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</si>
  <si>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</si>
  <si>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</si>
  <si>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</si>
  <si>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</si>
  <si>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</si>
  <si>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</si>
  <si>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</si>
  <si>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</si>
  <si>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</si>
  <si>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</si>
  <si>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</si>
  <si>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</si>
  <si>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</si>
  <si>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</si>
  <si>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</si>
  <si>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</si>
  <si>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</si>
  <si>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</si>
  <si>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</si>
  <si>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</si>
  <si>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</si>
  <si>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</si>
  <si>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</si>
  <si>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</si>
  <si>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</si>
  <si>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</si>
  <si>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</si>
  <si>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</si>
  <si>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</si>
  <si>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</si>
  <si>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</si>
  <si>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</si>
  <si>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</si>
  <si>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</si>
  <si>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</si>
  <si>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</si>
  <si>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</si>
  <si>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</si>
  <si>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</si>
  <si>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</si>
  <si>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</si>
  <si>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</si>
  <si>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</si>
  <si>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</si>
  <si>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</si>
  <si>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</si>
  <si>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</si>
  <si>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</si>
  <si>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</si>
  <si>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</si>
  <si>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</si>
  <si>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</si>
  <si>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</si>
  <si>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</si>
  <si>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</si>
  <si>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</si>
  <si>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</si>
  <si>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</si>
  <si>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</si>
  <si>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</si>
  <si>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</si>
  <si>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</si>
  <si>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</si>
  <si>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</si>
  <si>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</si>
  <si>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</si>
  <si>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</si>
  <si>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</si>
  <si>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</si>
  <si>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</si>
  <si>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</si>
  <si>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</si>
  <si>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</si>
  <si>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</si>
  <si>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</si>
  <si>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</si>
  <si>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</si>
  <si>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</si>
  <si>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</si>
  <si>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</si>
  <si>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</si>
  <si>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</si>
  <si>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</si>
  <si>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</si>
  <si>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</si>
  <si>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</si>
  <si>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</si>
  <si>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</si>
  <si>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</si>
  <si>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</si>
  <si>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</si>
  <si>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</si>
  <si>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</si>
  <si>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</si>
  <si>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</si>
  <si>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</si>
  <si>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</si>
  <si>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</si>
  <si>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</si>
  <si>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</si>
  <si>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</si>
  <si>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</si>
  <si>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</si>
  <si>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</si>
  <si>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</si>
  <si>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</si>
  <si>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</si>
  <si>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</si>
  <si>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</si>
  <si>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</si>
  <si>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</si>
  <si>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</si>
  <si>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</si>
  <si>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</si>
  <si>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v2.5</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</si>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</sst>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2">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177411800"/>
        <c:axId val="177332056"/>
      </c:barChart>
      <c:catAx>
        <c:axId val="177411800"/>
        <c:scaling>
          <c:orientation val="minMax"/>
        </c:scaling>
        <c:delete val="1"/>
        <c:axPos val="b"/>
        <c:numFmt formatCode="General" sourceLinked="1"/>
        <c:majorTickMark val="none"/>
        <c:minorTickMark val="none"/>
        <c:tickLblPos val="nextTo"/>
        <c:crossAx val="177332056"/>
        <c:crosses val="autoZero"/>
        <c:auto val="1"/>
        <c:lblAlgn val="ctr"/>
        <c:lblOffset val="100"/>
        <c:noMultiLvlLbl val="0"/>
      </c:catAx>
      <c:valAx>
        <c:axId val="177332056"/>
        <c:scaling>
          <c:orientation val="minMax"/>
        </c:scaling>
        <c:delete val="1"/>
        <c:axPos val="l"/>
        <c:numFmt formatCode="0%" sourceLinked="1"/>
        <c:majorTickMark val="none"/>
        <c:minorTickMark val="none"/>
        <c:tickLblPos val="nextTo"/>
        <c:crossAx val="177411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Entrées!$C$3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Entrées!$B$3</c:f>
              <c:numCache>
                <c:formatCode>General</c:formatCode>
                <c:ptCount val="1"/>
                <c:pt idx="0">
                  <c:v>0</c:v>
                </c:pt>
              </c:numCache>
            </c:numRef>
          </c:val>
        </c:ser>
        <c:dLbls>
          <c:showLegendKey val="0"/>
          <c:showVal val="0"/>
          <c:showCatName val="0"/>
          <c:showSerName val="0"/>
          <c:showPercent val="0"/>
          <c:showBubbleSize val="0"/>
        </c:dLbls>
        <c:gapWidth val="0"/>
        <c:overlap val="100"/>
        <c:axId val="121001072"/>
        <c:axId val="378305472"/>
      </c:barChart>
      <c:catAx>
        <c:axId val="121001072"/>
        <c:scaling>
          <c:orientation val="minMax"/>
        </c:scaling>
        <c:delete val="1"/>
        <c:axPos val="b"/>
        <c:numFmt formatCode="General" sourceLinked="1"/>
        <c:majorTickMark val="none"/>
        <c:minorTickMark val="none"/>
        <c:tickLblPos val="nextTo"/>
        <c:crossAx val="378305472"/>
        <c:crosses val="autoZero"/>
        <c:auto val="1"/>
        <c:lblAlgn val="ctr"/>
        <c:lblOffset val="100"/>
        <c:noMultiLvlLbl val="0"/>
      </c:catAx>
      <c:valAx>
        <c:axId val="378305472"/>
        <c:scaling>
          <c:orientation val="minMax"/>
        </c:scaling>
        <c:delete val="1"/>
        <c:axPos val="l"/>
        <c:numFmt formatCode="0%" sourceLinked="1"/>
        <c:majorTickMark val="none"/>
        <c:minorTickMark val="none"/>
        <c:tickLblPos val="nextTo"/>
        <c:crossAx val="12100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Aperçu!$P$48</c:f>
              <c:strCache>
                <c:ptCount val="1"/>
                <c:pt idx="0">
                  <c:v>Grenzwert E hlwk,li</c:v>
                </c:pt>
              </c:strCache>
            </c:strRef>
          </c:tx>
          <c:spPr>
            <a:solidFill>
              <a:srgbClr val="92D050"/>
            </a:solidFill>
            <a:ln>
              <a:noFill/>
            </a:ln>
            <a:effectLst/>
          </c:spPr>
          <c:invertIfNegative val="0"/>
          <c:cat>
            <c:numRef>
              <c:f>Aperçu!$S$59:$T$59</c:f>
              <c:numCache>
                <c:formatCode>General</c:formatCode>
                <c:ptCount val="2"/>
                <c:pt idx="0">
                  <c:v>1</c:v>
                </c:pt>
                <c:pt idx="1">
                  <c:v>3</c:v>
                </c:pt>
              </c:numCache>
            </c:numRef>
          </c:cat>
          <c:val>
            <c:numRef>
              <c:f>Aperçu!$Q$48:$S$48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Aperçu!$S$59:$T$59</c:f>
              <c:numCache>
                <c:formatCode>General</c:formatCode>
                <c:ptCount val="2"/>
                <c:pt idx="0">
                  <c:v>1</c:v>
                </c:pt>
                <c:pt idx="1">
                  <c:v>3</c:v>
                </c:pt>
              </c:numCache>
            </c:numRef>
          </c:cat>
          <c:val>
            <c:numRef>
              <c:f>Aperçu!$Q$49:$S$49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Aperçu!$S$59:$T$59</c:f>
              <c:numCache>
                <c:formatCode>General</c:formatCode>
                <c:ptCount val="2"/>
                <c:pt idx="0">
                  <c:v>1</c:v>
                </c:pt>
                <c:pt idx="1">
                  <c:v>3</c:v>
                </c:pt>
              </c:numCache>
            </c:numRef>
          </c:cat>
          <c:val>
            <c:numRef>
              <c:f>Aperçu!$Q$50:$S$50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Aperçu!$S$59:$T$59</c:f>
              <c:numCache>
                <c:formatCode>General</c:formatCode>
                <c:ptCount val="2"/>
                <c:pt idx="0">
                  <c:v>1</c:v>
                </c:pt>
                <c:pt idx="1">
                  <c:v>3</c:v>
                </c:pt>
              </c:numCache>
            </c:numRef>
          </c:cat>
          <c:val>
            <c:numRef>
              <c:f>Aperçu!$Q$52:$S$52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Aperçu!$S$59:$T$59</c:f>
              <c:numCache>
                <c:formatCode>General</c:formatCode>
                <c:ptCount val="2"/>
                <c:pt idx="0">
                  <c:v>1</c:v>
                </c:pt>
                <c:pt idx="1">
                  <c:v>3</c:v>
                </c:pt>
              </c:numCache>
            </c:numRef>
          </c:cat>
          <c:val>
            <c:numRef>
              <c:f>Aperçu!$Q$53:$S$53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Aperçu!$S$59:$T$59</c:f>
              <c:numCache>
                <c:formatCode>General</c:formatCode>
                <c:ptCount val="2"/>
                <c:pt idx="0">
                  <c:v>1</c:v>
                </c:pt>
                <c:pt idx="1">
                  <c:v>3</c:v>
                </c:pt>
              </c:numCache>
            </c:numRef>
          </c:cat>
          <c:val>
            <c:numRef>
              <c:f>Aperçu!$Q$54:$S$54</c:f>
              <c:numCache>
                <c:formatCode>General</c:formatCode>
                <c:ptCount val="3"/>
                <c:pt idx="1">
                  <c:v>0</c:v>
                </c:pt>
                <c:pt idx="2">
                  <c:v>0</c:v>
                </c:pt>
              </c:numCache>
            </c:numRef>
          </c:val>
        </c:ser>
        <c:ser>
          <c:idx val="4"/>
          <c:order val="9"/>
          <c:tx>
            <c:strRef>
              <c:f>Aperçu!$M$43</c:f>
              <c:strCache>
                <c:ptCount val="1"/>
                <c:pt idx="0">
                  <c:v>Chauffage</c:v>
                </c:pt>
              </c:strCache>
            </c:strRef>
          </c:tx>
          <c:spPr>
            <a:solidFill>
              <a:srgbClr val="EA6E76"/>
            </a:solidFill>
            <a:ln>
              <a:noFill/>
            </a:ln>
            <a:effectLst/>
          </c:spPr>
          <c:invertIfNegative val="0"/>
          <c:cat>
            <c:numRef>
              <c:f>Aperçu!$S$59:$T$59</c:f>
              <c:numCache>
                <c:formatCode>General</c:formatCode>
                <c:ptCount val="2"/>
                <c:pt idx="0">
                  <c:v>1</c:v>
                </c:pt>
                <c:pt idx="1">
                  <c:v>3</c:v>
                </c:pt>
              </c:numCache>
            </c:numRef>
          </c:cat>
          <c:val>
            <c:numRef>
              <c:f>Aperçu!$Q$41:$S$41</c:f>
              <c:numCache>
                <c:formatCode>0.0</c:formatCode>
                <c:ptCount val="3"/>
                <c:pt idx="0">
                  <c:v>0</c:v>
                </c:pt>
                <c:pt idx="1">
                  <c:v>0</c:v>
                </c:pt>
                <c:pt idx="2" formatCode="General">
                  <c:v>0</c:v>
                </c:pt>
              </c:numCache>
            </c:numRef>
          </c:val>
        </c:ser>
        <c:ser>
          <c:idx val="3"/>
          <c:order val="10"/>
          <c:tx>
            <c:strRef>
              <c:f>Aperçu!$M$44</c:f>
              <c:strCache>
                <c:ptCount val="1"/>
                <c:pt idx="0">
                  <c:v>Eau chaude</c:v>
                </c:pt>
              </c:strCache>
            </c:strRef>
          </c:tx>
          <c:spPr>
            <a:solidFill>
              <a:srgbClr val="81C7DC"/>
            </a:solidFill>
            <a:ln>
              <a:noFill/>
            </a:ln>
            <a:effectLst/>
          </c:spPr>
          <c:invertIfNegative val="0"/>
          <c:cat>
            <c:numRef>
              <c:f>Aperçu!$S$59:$T$59</c:f>
              <c:numCache>
                <c:formatCode>General</c:formatCode>
                <c:ptCount val="2"/>
                <c:pt idx="0">
                  <c:v>1</c:v>
                </c:pt>
                <c:pt idx="1">
                  <c:v>3</c:v>
                </c:pt>
              </c:numCache>
            </c:numRef>
          </c:cat>
          <c:val>
            <c:numRef>
              <c:f>Aperçu!$Q$42:$S$42</c:f>
              <c:numCache>
                <c:formatCode>0.0</c:formatCode>
                <c:ptCount val="3"/>
                <c:pt idx="0">
                  <c:v>0</c:v>
                </c:pt>
                <c:pt idx="1">
                  <c:v>0</c:v>
                </c:pt>
                <c:pt idx="2" formatCode="General">
                  <c:v>0</c:v>
                </c:pt>
              </c:numCache>
            </c:numRef>
          </c:val>
        </c:ser>
        <c:ser>
          <c:idx val="16"/>
          <c:order val="11"/>
          <c:tx>
            <c:strRef>
              <c:f>Aperçu!$M$45</c:f>
              <c:strCache>
                <c:ptCount val="1"/>
                <c:pt idx="0">
                  <c:v>ventilation et climatisation</c:v>
                </c:pt>
              </c:strCache>
            </c:strRef>
          </c:tx>
          <c:spPr>
            <a:solidFill>
              <a:srgbClr val="AA8C8C"/>
            </a:solidFill>
            <a:ln>
              <a:noFill/>
            </a:ln>
            <a:effectLst/>
          </c:spPr>
          <c:invertIfNegative val="0"/>
          <c:cat>
            <c:numRef>
              <c:f>Aperçu!$S$59:$T$59</c:f>
              <c:numCache>
                <c:formatCode>General</c:formatCode>
                <c:ptCount val="2"/>
                <c:pt idx="0">
                  <c:v>1</c:v>
                </c:pt>
                <c:pt idx="1">
                  <c:v>3</c:v>
                </c:pt>
              </c:numCache>
            </c:numRef>
          </c:cat>
          <c:val>
            <c:numRef>
              <c:f>Aperçu!$Q$43:$S$43</c:f>
              <c:numCache>
                <c:formatCode>0.0</c:formatCode>
                <c:ptCount val="3"/>
                <c:pt idx="0">
                  <c:v>0</c:v>
                </c:pt>
                <c:pt idx="1">
                  <c:v>0</c:v>
                </c:pt>
                <c:pt idx="2" formatCode="General">
                  <c:v>0</c:v>
                </c:pt>
              </c:numCache>
            </c:numRef>
          </c:val>
        </c:ser>
        <c:ser>
          <c:idx val="17"/>
          <c:order val="12"/>
          <c:tx>
            <c:strRef>
              <c:f>Aperçu!$M$46</c:f>
              <c:strCache>
                <c:ptCount val="1"/>
                <c:pt idx="0">
                  <c:v>Electricité d'habitation</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Aperçu!$Q$44:$S$44</c:f>
              <c:numCache>
                <c:formatCode>0.0</c:formatCode>
                <c:ptCount val="3"/>
                <c:pt idx="0">
                  <c:v>0</c:v>
                </c:pt>
                <c:pt idx="1">
                  <c:v>0</c:v>
                </c:pt>
                <c:pt idx="2" formatCode="General">
                  <c:v>0</c:v>
                </c:pt>
              </c:numCache>
            </c:numRef>
          </c:val>
        </c:ser>
        <c:ser>
          <c:idx val="18"/>
          <c:order val="13"/>
          <c:tx>
            <c:strRef>
              <c:f>Aperçu!$M$47</c:f>
              <c:strCache>
                <c:ptCount val="1"/>
                <c:pt idx="0">
                  <c:v>Eclairage</c:v>
                </c:pt>
              </c:strCache>
            </c:strRef>
          </c:tx>
          <c:spPr>
            <a:solidFill>
              <a:srgbClr val="E1BA5E"/>
            </a:solidFill>
            <a:ln>
              <a:noFill/>
            </a:ln>
            <a:effectLst/>
          </c:spPr>
          <c:invertIfNegative val="0"/>
          <c:cat>
            <c:numRef>
              <c:f>Aperçu!$S$59:$T$59</c:f>
              <c:numCache>
                <c:formatCode>General</c:formatCode>
                <c:ptCount val="2"/>
                <c:pt idx="0">
                  <c:v>1</c:v>
                </c:pt>
                <c:pt idx="1">
                  <c:v>3</c:v>
                </c:pt>
              </c:numCache>
            </c:numRef>
          </c:cat>
          <c:val>
            <c:numRef>
              <c:f>Aperçu!$Q$45:$S$45</c:f>
              <c:numCache>
                <c:formatCode>0.0</c:formatCode>
                <c:ptCount val="3"/>
                <c:pt idx="0">
                  <c:v>0</c:v>
                </c:pt>
                <c:pt idx="1">
                  <c:v>0</c:v>
                </c:pt>
                <c:pt idx="2" formatCode="General">
                  <c:v>0</c:v>
                </c:pt>
              </c:numCache>
            </c:numRef>
          </c:val>
        </c:ser>
        <c:ser>
          <c:idx val="19"/>
          <c:order val="14"/>
          <c:tx>
            <c:strRef>
              <c:f>Aperçu!$M$48</c:f>
              <c:strCache>
                <c:ptCount val="1"/>
                <c:pt idx="0">
                  <c:v>Appareils</c:v>
                </c:pt>
              </c:strCache>
            </c:strRef>
          </c:tx>
          <c:spPr>
            <a:solidFill>
              <a:srgbClr val="7F7F7F"/>
            </a:solidFill>
            <a:ln>
              <a:noFill/>
            </a:ln>
            <a:effectLst/>
          </c:spPr>
          <c:invertIfNegative val="0"/>
          <c:cat>
            <c:numRef>
              <c:f>Aperçu!$S$59:$T$59</c:f>
              <c:numCache>
                <c:formatCode>General</c:formatCode>
                <c:ptCount val="2"/>
                <c:pt idx="0">
                  <c:v>1</c:v>
                </c:pt>
                <c:pt idx="1">
                  <c:v>3</c:v>
                </c:pt>
              </c:numCache>
            </c:numRef>
          </c:cat>
          <c:val>
            <c:numRef>
              <c:f>Aperçu!$Q$46:$S$46</c:f>
              <c:numCache>
                <c:formatCode>0.0</c:formatCode>
                <c:ptCount val="3"/>
                <c:pt idx="0">
                  <c:v>0</c:v>
                </c:pt>
                <c:pt idx="1">
                  <c:v>0</c:v>
                </c:pt>
                <c:pt idx="2" formatCode="General">
                  <c:v>0</c:v>
                </c:pt>
              </c:numCache>
            </c:numRef>
          </c:val>
        </c:ser>
        <c:ser>
          <c:idx val="20"/>
          <c:order val="15"/>
          <c:tx>
            <c:strRef>
              <c:f>Aperçu!$M$49</c:f>
              <c:strCache>
                <c:ptCount val="1"/>
                <c:pt idx="0">
                  <c:v>Installations techn. du bâtiment</c:v>
                </c:pt>
              </c:strCache>
            </c:strRef>
          </c:tx>
          <c:spPr>
            <a:solidFill>
              <a:srgbClr val="9CB4BB"/>
            </a:solidFill>
            <a:ln>
              <a:noFill/>
            </a:ln>
            <a:effectLst/>
          </c:spPr>
          <c:invertIfNegative val="0"/>
          <c:cat>
            <c:numRef>
              <c:f>Aperçu!$S$59:$T$59</c:f>
              <c:numCache>
                <c:formatCode>General</c:formatCode>
                <c:ptCount val="2"/>
                <c:pt idx="0">
                  <c:v>1</c:v>
                </c:pt>
                <c:pt idx="1">
                  <c:v>3</c:v>
                </c:pt>
              </c:numCache>
            </c:numRef>
          </c:cat>
          <c:val>
            <c:numRef>
              <c:f>Aperçu!$Q$47:$S$47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Aperçu!$S$59:$T$59</c:f>
              <c:numCache>
                <c:formatCode>General</c:formatCode>
                <c:ptCount val="2"/>
                <c:pt idx="0">
                  <c:v>1</c:v>
                </c:pt>
                <c:pt idx="1">
                  <c:v>3</c:v>
                </c:pt>
              </c:numCache>
            </c:numRef>
          </c:cat>
          <c:val>
            <c:numRef>
              <c:f>Aperçu!$Q$37:$S$37</c:f>
              <c:numCache>
                <c:formatCode>General</c:formatCode>
                <c:ptCount val="3"/>
                <c:pt idx="0">
                  <c:v>0</c:v>
                </c:pt>
                <c:pt idx="1">
                  <c:v>0</c:v>
                </c:pt>
                <c:pt idx="2" formatCode="0.0">
                  <c:v>0</c:v>
                </c:pt>
              </c:numCache>
            </c:numRef>
          </c:val>
        </c:ser>
        <c:ser>
          <c:idx val="15"/>
          <c:order val="17"/>
          <c:tx>
            <c:strRef>
              <c:f>Aperçu!$M$56</c:f>
              <c:strCache>
                <c:ptCount val="1"/>
                <c:pt idx="0">
                  <c:v>PV non pris en compte</c:v>
                </c:pt>
              </c:strCache>
            </c:strRef>
          </c:tx>
          <c:spPr>
            <a:pattFill prst="wdUpDiag">
              <a:fgClr>
                <a:srgbClr val="F9EA85"/>
              </a:fgClr>
              <a:bgClr>
                <a:schemeClr val="bg1"/>
              </a:bgClr>
            </a:pattFill>
            <a:ln>
              <a:noFill/>
            </a:ln>
            <a:effectLst/>
          </c:spPr>
          <c:invertIfNegative val="0"/>
          <c:cat>
            <c:numRef>
              <c:f>Aperçu!$S$59:$T$59</c:f>
              <c:numCache>
                <c:formatCode>General</c:formatCode>
                <c:ptCount val="2"/>
                <c:pt idx="0">
                  <c:v>1</c:v>
                </c:pt>
                <c:pt idx="1">
                  <c:v>3</c:v>
                </c:pt>
              </c:numCache>
            </c:numRef>
          </c:cat>
          <c:val>
            <c:numRef>
              <c:f>Aperçu!$Q$38:$S$38</c:f>
              <c:numCache>
                <c:formatCode>General</c:formatCode>
                <c:ptCount val="3"/>
                <c:pt idx="0">
                  <c:v>0</c:v>
                </c:pt>
                <c:pt idx="1">
                  <c:v>0</c:v>
                </c:pt>
                <c:pt idx="2" formatCode="0.0">
                  <c:v>0</c:v>
                </c:pt>
              </c:numCache>
            </c:numRef>
          </c:val>
        </c:ser>
        <c:ser>
          <c:idx val="1"/>
          <c:order val="18"/>
          <c:tx>
            <c:strRef>
              <c:f>Aperçu!$M$54</c:f>
              <c:strCache>
                <c:ptCount val="1"/>
                <c:pt idx="0">
                  <c:v>PV part injectée</c:v>
                </c:pt>
              </c:strCache>
            </c:strRef>
          </c:tx>
          <c:spPr>
            <a:solidFill>
              <a:srgbClr val="F9EA85"/>
            </a:solidFill>
            <a:ln>
              <a:noFill/>
            </a:ln>
            <a:effectLst/>
          </c:spPr>
          <c:invertIfNegative val="0"/>
          <c:cat>
            <c:numRef>
              <c:f>Aperçu!$S$59:$T$59</c:f>
              <c:numCache>
                <c:formatCode>General</c:formatCode>
                <c:ptCount val="2"/>
                <c:pt idx="0">
                  <c:v>1</c:v>
                </c:pt>
                <c:pt idx="1">
                  <c:v>3</c:v>
                </c:pt>
              </c:numCache>
            </c:numRef>
          </c:cat>
          <c:val>
            <c:numRef>
              <c:f>Aperçu!$Q$39:$S$39</c:f>
              <c:numCache>
                <c:formatCode>General</c:formatCode>
                <c:ptCount val="3"/>
                <c:pt idx="0">
                  <c:v>0</c:v>
                </c:pt>
                <c:pt idx="1">
                  <c:v>0</c:v>
                </c:pt>
                <c:pt idx="2" formatCode="0.0">
                  <c:v>0</c:v>
                </c:pt>
              </c:numCache>
            </c:numRef>
          </c:val>
        </c:ser>
        <c:ser>
          <c:idx val="2"/>
          <c:order val="19"/>
          <c:tx>
            <c:strRef>
              <c:f>Aperçu!$M$53</c:f>
              <c:strCache>
                <c:ptCount val="1"/>
                <c:pt idx="0">
                  <c:v>PV autoconsommation</c:v>
                </c:pt>
              </c:strCache>
            </c:strRef>
          </c:tx>
          <c:spPr>
            <a:solidFill>
              <a:srgbClr val="F4DC32"/>
            </a:solidFill>
            <a:ln>
              <a:noFill/>
            </a:ln>
            <a:effectLst/>
          </c:spPr>
          <c:invertIfNegative val="0"/>
          <c:cat>
            <c:numRef>
              <c:f>Aperçu!$S$59:$T$59</c:f>
              <c:numCache>
                <c:formatCode>General</c:formatCode>
                <c:ptCount val="2"/>
                <c:pt idx="0">
                  <c:v>1</c:v>
                </c:pt>
                <c:pt idx="1">
                  <c:v>3</c:v>
                </c:pt>
              </c:numCache>
            </c:numRef>
          </c:cat>
          <c:val>
            <c:numRef>
              <c:f>Aperçu!$Q$40:$S$40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176734176"/>
        <c:axId val="378450656"/>
      </c:barChart>
      <c:scatterChart>
        <c:scatterStyle val="lineMarker"/>
        <c:varyColors val="0"/>
        <c:ser>
          <c:idx val="12"/>
          <c:order val="7"/>
          <c:tx>
            <c:strRef>
              <c:f>Aperçu!$M$61</c:f>
              <c:strCache>
                <c:ptCount val="1"/>
                <c:pt idx="0">
                  <c:v>Indice Minergie max.</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Aperçu!$S$56:$T$56</c:f>
              <c:numCache>
                <c:formatCode>General</c:formatCode>
                <c:ptCount val="2"/>
                <c:pt idx="0">
                  <c:v>1</c:v>
                </c:pt>
                <c:pt idx="1">
                  <c:v>3</c:v>
                </c:pt>
              </c:numCache>
            </c:numRef>
          </c:xVal>
          <c:yVal>
            <c:numRef>
              <c:f>Aperçu!$S$61:$T$61</c:f>
              <c:numCache>
                <c:formatCode>0.0</c:formatCode>
                <c:ptCount val="2"/>
                <c:pt idx="0">
                  <c:v>0</c:v>
                </c:pt>
                <c:pt idx="1">
                  <c:v>0</c:v>
                </c:pt>
              </c:numCache>
            </c:numRef>
          </c:yVal>
          <c:smooth val="0"/>
        </c:ser>
        <c:ser>
          <c:idx val="11"/>
          <c:order val="8"/>
          <c:tx>
            <c:strRef>
              <c:f>Aperçu!$M$60</c:f>
              <c:strCache>
                <c:ptCount val="1"/>
                <c:pt idx="0">
                  <c:v>Indice Minergie calculé</c:v>
                </c:pt>
              </c:strCache>
            </c:strRef>
          </c:tx>
          <c:spPr>
            <a:ln w="19050" cap="rnd">
              <a:solidFill>
                <a:schemeClr val="tx1"/>
              </a:solidFill>
              <a:round/>
            </a:ln>
            <a:effectLst/>
          </c:spPr>
          <c:marker>
            <c:symbol val="none"/>
          </c:marker>
          <c:xVal>
            <c:numRef>
              <c:f>Aperçu!$S$59:$T$59</c:f>
              <c:numCache>
                <c:formatCode>General</c:formatCode>
                <c:ptCount val="2"/>
                <c:pt idx="0">
                  <c:v>1</c:v>
                </c:pt>
                <c:pt idx="1">
                  <c:v>3</c:v>
                </c:pt>
              </c:numCache>
            </c:numRef>
          </c:xVal>
          <c:yVal>
            <c:numRef>
              <c:f>Aperçu!$S$60:$T$60</c:f>
              <c:numCache>
                <c:formatCode>0.0</c:formatCode>
                <c:ptCount val="2"/>
                <c:pt idx="0">
                  <c:v>0</c:v>
                </c:pt>
                <c:pt idx="1">
                  <c:v>0</c:v>
                </c:pt>
              </c:numCache>
            </c:numRef>
          </c:yVal>
          <c:smooth val="0"/>
        </c:ser>
        <c:dLbls>
          <c:showLegendKey val="0"/>
          <c:showVal val="0"/>
          <c:showCatName val="0"/>
          <c:showSerName val="0"/>
          <c:showPercent val="0"/>
          <c:showBubbleSize val="0"/>
        </c:dLbls>
        <c:axId val="176734176"/>
        <c:axId val="378450656"/>
      </c:scatterChart>
      <c:catAx>
        <c:axId val="176734176"/>
        <c:scaling>
          <c:orientation val="minMax"/>
        </c:scaling>
        <c:delete val="1"/>
        <c:axPos val="b"/>
        <c:numFmt formatCode="General" sourceLinked="1"/>
        <c:majorTickMark val="none"/>
        <c:minorTickMark val="none"/>
        <c:tickLblPos val="nextTo"/>
        <c:crossAx val="378450656"/>
        <c:crosses val="autoZero"/>
        <c:auto val="1"/>
        <c:lblAlgn val="ctr"/>
        <c:lblOffset val="100"/>
        <c:noMultiLvlLbl val="0"/>
      </c:catAx>
      <c:valAx>
        <c:axId val="378450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6734176"/>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64"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2021.1</v>
      </c>
      <c r="C1" s="3"/>
      <c r="D1" s="3"/>
      <c r="E1" s="341"/>
      <c r="F1" s="3"/>
      <c r="G1" s="3"/>
      <c r="H1" s="3"/>
      <c r="I1" s="158"/>
      <c r="J1" s="3"/>
      <c r="K1" s="7" t="str">
        <f>Uebersetzung!D5</f>
        <v>Formulaire MINERGIE 2021.1, à utiliser jusqu'au 31 décembre 2021</v>
      </c>
    </row>
    <row r="2" spans="1:11" ht="17.100000000000001" customHeight="1">
      <c r="B2" s="36"/>
      <c r="C2" s="829"/>
      <c r="D2" s="115"/>
      <c r="E2" s="36"/>
      <c r="F2" s="115"/>
      <c r="G2" s="1996" t="str">
        <f>Uebersetzung!D6</f>
        <v>Justificatif énergétique</v>
      </c>
      <c r="H2" s="1997"/>
      <c r="I2" s="1997"/>
      <c r="J2" s="1997"/>
      <c r="K2" s="1998"/>
    </row>
    <row r="3" spans="1:11" ht="17.100000000000001" customHeight="1">
      <c r="B3" s="1109">
        <f>IF(MUKEN,1,0)</f>
        <v>0</v>
      </c>
      <c r="C3" s="143">
        <f>IF(MUKEN,0,1)</f>
        <v>1</v>
      </c>
      <c r="D3" s="53"/>
      <c r="E3" s="1999" t="s">
        <v>756</v>
      </c>
      <c r="F3" s="2000"/>
      <c r="G3" s="2001" t="str">
        <f>Uebersetzung!D7</f>
        <v>Besoin d'énergie</v>
      </c>
      <c r="H3" s="2002"/>
      <c r="I3" s="2002"/>
      <c r="J3" s="2002"/>
      <c r="K3" s="2003"/>
    </row>
    <row r="4" spans="1:11" ht="17.100000000000001" customHeight="1">
      <c r="B4" s="94"/>
      <c r="C4" s="60"/>
      <c r="D4" s="116"/>
      <c r="E4" s="94"/>
      <c r="F4" s="116"/>
      <c r="G4" s="2004">
        <f>IF(MUKEN,Uebersetzung!D8,)</f>
        <v>0</v>
      </c>
      <c r="H4" s="2005"/>
      <c r="I4" s="2005"/>
      <c r="J4" s="2005"/>
      <c r="K4" s="2006"/>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65" t="s">
        <v>384</v>
      </c>
      <c r="B7" s="785" t="str">
        <f>IF(MUKEN,Uebersetzung!D9,Uebersetzung!D356)</f>
        <v>Nom du projet:</v>
      </c>
      <c r="C7" s="2013"/>
      <c r="D7" s="2013"/>
      <c r="E7" s="2013"/>
      <c r="F7" s="2013"/>
      <c r="G7" s="873" t="str">
        <f>Uebersetzung!D10</f>
        <v>N° cadastre:</v>
      </c>
      <c r="H7" s="983"/>
      <c r="I7" s="873" t="str">
        <f>IF(MUKEN,Uebersetzung!D11,Uebersetzung!D358)</f>
        <v xml:space="preserve">N° MOP: </v>
      </c>
      <c r="J7" s="2009"/>
      <c r="K7" s="2010"/>
    </row>
    <row r="8" spans="1:11" ht="20.100000000000001" customHeight="1">
      <c r="A8" s="1565" t="s">
        <v>385</v>
      </c>
      <c r="B8" s="786" t="str">
        <f>IF(MUKEN,Uebersetzung!D13,Uebersetzung!D359)</f>
        <v>Adresse du bâtiment:</v>
      </c>
      <c r="C8" s="2014"/>
      <c r="D8" s="2014"/>
      <c r="E8" s="2014"/>
      <c r="F8" s="2014"/>
      <c r="G8" s="2014"/>
      <c r="H8" s="2014"/>
      <c r="I8" s="1035" t="str">
        <f>Uebersetzung!D117</f>
        <v>EGID:</v>
      </c>
      <c r="J8" s="2011"/>
      <c r="K8" s="2012"/>
    </row>
    <row r="9" spans="1:11" ht="20.100000000000001" hidden="1" customHeight="1"/>
    <row r="10" spans="1:11" ht="1.1499999999999999" customHeight="1">
      <c r="B10" s="8"/>
      <c r="C10" s="8"/>
      <c r="D10" s="9"/>
      <c r="E10" s="9"/>
      <c r="F10" s="9"/>
      <c r="G10" s="9"/>
    </row>
    <row r="11" spans="1:11" ht="9.9499999999999993" customHeight="1">
      <c r="A11" s="1565"/>
      <c r="F11" s="9"/>
      <c r="G11" s="9"/>
    </row>
    <row r="12" spans="1:11" ht="1.1499999999999999" customHeight="1">
      <c r="A12" s="1565"/>
      <c r="B12" s="3"/>
      <c r="C12" s="3"/>
      <c r="D12" s="3"/>
      <c r="E12" s="3"/>
      <c r="F12" s="3"/>
      <c r="G12" s="3"/>
      <c r="H12" s="9"/>
      <c r="I12" s="9"/>
      <c r="J12" s="9"/>
      <c r="K12" s="9"/>
    </row>
    <row r="13" spans="1:11" ht="20.100000000000001" customHeight="1">
      <c r="A13" s="1565" t="s">
        <v>389</v>
      </c>
      <c r="B13" s="808" t="str">
        <f>Uebersetzung!D14</f>
        <v>Données sur le bâtiment</v>
      </c>
      <c r="C13" s="809"/>
      <c r="D13" s="780" t="str">
        <f>Uebersetzung!D15</f>
        <v xml:space="preserve">Altitude: </v>
      </c>
      <c r="E13" s="2019"/>
      <c r="F13" s="2019"/>
      <c r="G13" s="12" t="str">
        <f>Uebersetzung!D16</f>
        <v>m</v>
      </c>
      <c r="H13" s="784" t="str">
        <f>Uebersetzung!D12</f>
        <v>Canton:</v>
      </c>
      <c r="I13" s="2015"/>
      <c r="J13" s="2015"/>
      <c r="K13" s="2016"/>
    </row>
    <row r="14" spans="1:11" ht="20.100000000000001" customHeight="1">
      <c r="A14" s="1565" t="s">
        <v>852</v>
      </c>
      <c r="B14" s="10" t="str">
        <f>Uebersetzung!D17</f>
        <v>(Selon la norme SIA 380/1)</v>
      </c>
      <c r="C14" s="17"/>
      <c r="D14" s="865" t="str">
        <f>Uebersetzung!D18</f>
        <v>Justificatif pour:</v>
      </c>
      <c r="E14" s="2017" t="s">
        <v>3616</v>
      </c>
      <c r="F14" s="2017"/>
      <c r="G14" s="2017"/>
      <c r="H14" s="15" t="str">
        <f>Uebersetzung!D28</f>
        <v>Station climat.</v>
      </c>
      <c r="I14" s="2017" t="s">
        <v>199</v>
      </c>
      <c r="J14" s="2017"/>
      <c r="K14" s="2018"/>
    </row>
    <row r="15" spans="1:11" ht="20.100000000000001" customHeight="1">
      <c r="A15" s="1565"/>
      <c r="B15" s="783" t="str">
        <f>Uebersetzung!D29</f>
        <v>Zone</v>
      </c>
      <c r="C15" s="11"/>
      <c r="D15" s="11"/>
      <c r="E15" s="11"/>
      <c r="F15" s="180">
        <v>1</v>
      </c>
      <c r="G15" s="180">
        <v>2</v>
      </c>
      <c r="H15" s="180">
        <v>3</v>
      </c>
      <c r="I15" s="180">
        <v>4</v>
      </c>
      <c r="J15" s="781"/>
      <c r="K15" s="782" t="str">
        <f>Uebersetzung!D30</f>
        <v>Somme</v>
      </c>
    </row>
    <row r="16" spans="1:11" ht="21.95" customHeight="1">
      <c r="A16" s="1565" t="s">
        <v>390</v>
      </c>
      <c r="B16" s="1946" t="str">
        <f>Uebersetzung!D31</f>
        <v>Catégorie d'ouvrage</v>
      </c>
      <c r="C16" s="1947"/>
      <c r="D16" s="2007"/>
      <c r="E16" s="2008"/>
      <c r="F16" s="1327"/>
      <c r="G16" s="1327"/>
      <c r="H16" s="1327"/>
      <c r="I16" s="1327"/>
      <c r="J16" s="196"/>
      <c r="K16" s="197" t="str">
        <f>Uebersetzung!D35</f>
        <v>(moyenne)</v>
      </c>
    </row>
    <row r="17" spans="1:21" ht="20.100000000000001" customHeight="1">
      <c r="A17" s="1565" t="s">
        <v>391</v>
      </c>
      <c r="B17" s="1950" t="str">
        <f>Uebersetzung!D32</f>
        <v>Avec eau chaude?</v>
      </c>
      <c r="C17" s="1951"/>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65"/>
      <c r="F18" s="984"/>
      <c r="G18" s="984"/>
      <c r="H18" s="984"/>
      <c r="I18" s="984"/>
      <c r="L18" s="300"/>
    </row>
    <row r="19" spans="1:21" ht="20.100000000000001" customHeight="1">
      <c r="A19" s="1565" t="s">
        <v>393</v>
      </c>
      <c r="B19" s="1950" t="str">
        <f>Uebersetzung!D33</f>
        <v>Surface de référence énergétique SRE</v>
      </c>
      <c r="C19" s="1951"/>
      <c r="D19" s="194" t="s">
        <v>138</v>
      </c>
      <c r="E19" s="194" t="s">
        <v>321</v>
      </c>
      <c r="F19" s="249"/>
      <c r="G19" s="249"/>
      <c r="H19" s="249"/>
      <c r="I19" s="249"/>
      <c r="J19" s="185"/>
      <c r="K19" s="187">
        <f>IF(OR(F19&lt;F91,G19&lt;G91,H19&lt;H91,I19&lt;I91),0,_EBF1+_EBF2+_EBF3+_EBF4)</f>
        <v>0</v>
      </c>
    </row>
    <row r="20" spans="1:21" ht="20.100000000000001" hidden="1" customHeight="1">
      <c r="A20" s="1565" t="s">
        <v>385</v>
      </c>
      <c r="F20" s="984"/>
      <c r="G20" s="984"/>
      <c r="H20" s="984"/>
      <c r="I20" s="984"/>
    </row>
    <row r="21" spans="1:21" ht="20.100000000000001" customHeight="1">
      <c r="A21" s="1565" t="s">
        <v>394</v>
      </c>
      <c r="B21" s="1950" t="str">
        <f>Uebersetzung!D36</f>
        <v>Nouvelle construction</v>
      </c>
      <c r="C21" s="1951"/>
      <c r="D21" s="194"/>
      <c r="E21" s="199"/>
      <c r="F21" s="842"/>
      <c r="G21" s="842"/>
      <c r="H21" s="842"/>
      <c r="I21" s="842"/>
      <c r="J21" s="200"/>
      <c r="K21" s="866" t="str">
        <f>IF(OR(AND(F21="",Kategorie1&gt;1),AND(G21="",Kategorie2&gt;1),AND(H21="",Kategorie3&gt;1),AND(I21="",Kategorie4&gt;1)),Fehler1,"")</f>
        <v/>
      </c>
    </row>
    <row r="22" spans="1:21" ht="20.100000000000001" hidden="1" customHeight="1">
      <c r="A22" s="1565" t="s">
        <v>387</v>
      </c>
      <c r="B22" s="1100"/>
      <c r="C22" s="1025"/>
      <c r="D22" s="1102"/>
      <c r="E22" s="1102"/>
      <c r="F22" s="1320"/>
      <c r="G22" s="1320"/>
      <c r="H22" s="1320"/>
      <c r="I22" s="1320"/>
      <c r="J22" s="1025"/>
      <c r="K22" s="1101"/>
    </row>
    <row r="23" spans="1:21" ht="18" customHeight="1">
      <c r="A23" s="1565" t="s">
        <v>395</v>
      </c>
      <c r="B23" s="1988" t="str">
        <f>Uebersetzung!D357</f>
        <v>Facteur d'enveloppe</v>
      </c>
      <c r="C23" s="1989"/>
      <c r="D23" s="205" t="s">
        <v>532</v>
      </c>
      <c r="E23" s="268"/>
      <c r="F23" s="1099"/>
      <c r="G23" s="1099"/>
      <c r="H23" s="1099"/>
      <c r="I23" s="1099"/>
      <c r="J23" s="269"/>
      <c r="K23" s="188" t="str">
        <f>IF(EBF&gt;0,(F23*_EBF1+G23*_EBF2+H23*_EBF3+I23*_EBF4)/(_EBF1+_EBF2+_EBF3+_EBF4),"")</f>
        <v/>
      </c>
      <c r="L23" s="1296"/>
    </row>
    <row r="24" spans="1:21" ht="21.95" customHeight="1">
      <c r="A24" s="1565" t="s">
        <v>396</v>
      </c>
      <c r="B24" s="1990" t="str">
        <f>Uebersetzung!D37</f>
        <v>Besoins pour chauffage avec renouvellement d'air normal</v>
      </c>
      <c r="C24" s="1991"/>
      <c r="D24" s="1366" t="str">
        <f>"Qh"</f>
        <v>Qh</v>
      </c>
      <c r="E24" s="1108" t="str">
        <f>E46</f>
        <v>kWh/m2</v>
      </c>
      <c r="F24" s="1269"/>
      <c r="G24" s="1269"/>
      <c r="H24" s="1269"/>
      <c r="I24" s="1269"/>
      <c r="J24" s="1272">
        <f>IF(OR(AND(Zonen&gt;0,_qhs1=0,,Kategorie1&lt;13),AND(Zonen&gt;1,_qhs2=0,Kategorie2&lt;13),AND(Zonen&gt;2,_qhs3=0,Kategorie3&lt;13),AND(Zonen&gt;3,_qhs4=0,Kategorie4&lt;13)),0,1)</f>
        <v>1</v>
      </c>
      <c r="K24" s="1273">
        <f>IF(EBF=0,0,(F24*_EBF1+G24*_EBF2+H24*_EBF3+I24*_EBF4)/EBF)</f>
        <v>0</v>
      </c>
      <c r="N24" s="452"/>
    </row>
    <row r="25" spans="1:21" ht="20.100000000000001" hidden="1" customHeight="1">
      <c r="A25" s="1565" t="s">
        <v>389</v>
      </c>
      <c r="B25" s="1355"/>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6"/>
      <c r="B26" s="1297"/>
      <c r="C26" s="1297"/>
      <c r="D26" s="459"/>
      <c r="E26" s="459"/>
      <c r="F26" s="155">
        <v>3</v>
      </c>
      <c r="G26" s="155">
        <v>3</v>
      </c>
      <c r="H26" s="155">
        <v>3</v>
      </c>
      <c r="I26" s="155">
        <v>3</v>
      </c>
      <c r="J26" s="459"/>
      <c r="K26" s="459"/>
      <c r="M26" s="459"/>
      <c r="N26" s="121"/>
    </row>
    <row r="27" spans="1:21" ht="21.95" customHeight="1">
      <c r="A27" s="1564" t="s">
        <v>678</v>
      </c>
      <c r="B27" s="1992" t="str">
        <f>Uebersetzung!D38</f>
        <v>Installations de ventilation et de climatisation</v>
      </c>
      <c r="C27" s="1993"/>
      <c r="D27" s="1993"/>
      <c r="E27" s="1993"/>
      <c r="F27" s="1914" t="str">
        <f>IF(Kategorie1=1,"",IF(Standardwerte!AG50,"1)",IF(OR(minergiea,minergiep),IF(AND(F37&gt;1000,Lüftung1=6),IF(MUKEN,"",Uebersetzung!D572),""),IF(Standardwerte!AG49,"1)",IF(AND(F37&gt;1000,Lüftung1=6),IF(MUKEN,"",Uebersetzung!D572),"")))))</f>
        <v/>
      </c>
      <c r="G27" s="1914" t="str">
        <f>IF(Zonen&gt;1,IF(Standardwerte!AI50,"1)",IF(OR(minergiea,minergiep),IF(AND(G37&gt;1000,Lüftung2=6),IF(MUKEN,"",Uebersetzung!D572),""),IF(Standardwerte!AI49,"1)",IF(AND(G37&gt;1000,Lüftung2=6),IF(MUKEN,"",Uebersetzung!D572),"")))),"")</f>
        <v/>
      </c>
      <c r="H27" s="1914" t="str">
        <f>IF(Zonen&gt;2,IF(Standardwerte!AK50,"1)",IF(OR(minergiea,minergiep),IF(AND(H37&gt;1000,Lüftung3=6),IF(MUKEN,"",Uebersetzung!D572),""),IF(Standardwerte!AK49,"1)",IF(AND(H37&gt;1000,Lüftung3=6),IF(MUKEN,"",Uebersetzung!D572),"")))),"")</f>
        <v/>
      </c>
      <c r="I27" s="1914"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Le débit d'air neuf thermiquement actif calculé en F45-I45 est à introduire dans le calcul des besoins de chaleur pour le chauffage (SIA 380/1)</v>
      </c>
      <c r="C28" s="17"/>
      <c r="D28" s="14"/>
      <c r="E28" s="14"/>
      <c r="F28" s="11"/>
      <c r="G28" s="11"/>
      <c r="H28" s="15"/>
      <c r="I28" s="16"/>
      <c r="J28" s="17"/>
      <c r="K28" s="18"/>
      <c r="T28" s="143"/>
      <c r="U28" s="143"/>
    </row>
    <row r="29" spans="1:21" ht="20.100000000000001" customHeight="1">
      <c r="B29" s="1994" t="str">
        <f>Uebersetzung!D40</f>
        <v>Données pour installation de ventilation standard</v>
      </c>
      <c r="C29" s="1995"/>
      <c r="D29" s="1995"/>
      <c r="E29" s="416" t="str">
        <f>B15</f>
        <v>Zone</v>
      </c>
      <c r="F29" s="180">
        <v>1</v>
      </c>
      <c r="G29" s="180">
        <v>2</v>
      </c>
      <c r="H29" s="180">
        <v>3</v>
      </c>
      <c r="I29" s="180">
        <v>4</v>
      </c>
      <c r="J29" s="19"/>
      <c r="K29" s="20" t="str">
        <f>K15</f>
        <v>Somme</v>
      </c>
      <c r="T29" s="143"/>
      <c r="U29" s="143"/>
    </row>
    <row r="30" spans="1:21" ht="20.100000000000001" customHeight="1">
      <c r="A30" s="1565" t="s">
        <v>397</v>
      </c>
      <c r="B30" s="1946" t="str">
        <f>Uebersetzung!D48</f>
        <v>Petite installation avec valeurs standard</v>
      </c>
      <c r="C30" s="1947"/>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65" t="s">
        <v>398</v>
      </c>
      <c r="B31" s="1950" t="str">
        <f>Uebersetzung!D41</f>
        <v>Type d'installation de ventilation standard</v>
      </c>
      <c r="C31" s="1951"/>
      <c r="D31" s="199"/>
      <c r="E31" s="194"/>
      <c r="F31" s="1894"/>
      <c r="G31" s="1894"/>
      <c r="H31" s="1894"/>
      <c r="I31" s="1894"/>
      <c r="J31" s="184"/>
      <c r="K31" s="1890"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65" t="s">
        <v>399</v>
      </c>
      <c r="B32" s="1986">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7"/>
      <c r="D32" s="194"/>
      <c r="E32" s="194"/>
      <c r="F32" s="869"/>
      <c r="G32" s="869"/>
      <c r="H32" s="869"/>
      <c r="I32" s="869"/>
      <c r="J32" s="182"/>
      <c r="K32" s="186"/>
      <c r="N32" s="1909"/>
    </row>
    <row r="33" spans="1:24" ht="20.100000000000001" hidden="1" customHeight="1">
      <c r="A33" s="1565" t="s">
        <v>392</v>
      </c>
      <c r="B33" s="1950"/>
      <c r="C33" s="1951"/>
      <c r="D33" s="194"/>
      <c r="E33" s="194"/>
      <c r="F33" s="871"/>
      <c r="G33" s="871"/>
      <c r="H33" s="871"/>
      <c r="I33" s="871"/>
      <c r="J33" s="182"/>
      <c r="K33" s="187"/>
    </row>
    <row r="34" spans="1:24" ht="21.95" customHeight="1">
      <c r="A34" s="1565" t="s">
        <v>401</v>
      </c>
      <c r="B34" s="1950" t="str">
        <f>Uebersetzung!D45</f>
        <v>Récupération de chaleur-Echangeur de chaleur</v>
      </c>
      <c r="C34" s="1985"/>
      <c r="D34" s="1951"/>
      <c r="E34" s="194"/>
      <c r="F34" s="1893"/>
      <c r="G34" s="1893"/>
      <c r="H34" s="1893"/>
      <c r="I34" s="1893"/>
      <c r="J34" s="182"/>
      <c r="K34" s="223"/>
      <c r="N34" s="1454"/>
    </row>
    <row r="35" spans="1:24" ht="20.100000000000001" customHeight="1">
      <c r="A35" s="1565" t="s">
        <v>402</v>
      </c>
      <c r="B35" s="1950" t="str">
        <f>Uebersetzung!D47</f>
        <v>Entrainement de ventilateur avec</v>
      </c>
      <c r="C35" s="1951"/>
      <c r="D35" s="194"/>
      <c r="E35" s="194"/>
      <c r="F35" s="869"/>
      <c r="G35" s="869"/>
      <c r="H35" s="869"/>
      <c r="I35" s="869"/>
      <c r="J35" s="182"/>
      <c r="K35" s="187"/>
      <c r="N35" s="1454"/>
    </row>
    <row r="36" spans="1:24" ht="17.25" hidden="1" customHeight="1">
      <c r="A36" s="1565" t="s">
        <v>394</v>
      </c>
      <c r="F36" s="984"/>
      <c r="G36" s="984"/>
      <c r="H36" s="984"/>
      <c r="I36" s="984"/>
    </row>
    <row r="37" spans="1:24" ht="20.100000000000001" customHeight="1">
      <c r="A37" s="1565" t="s">
        <v>116</v>
      </c>
      <c r="B37" s="1981" t="str">
        <f>Uebersetzung!D46</f>
        <v>Débit d'air nominal</v>
      </c>
      <c r="C37" s="1982"/>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65" t="s">
        <v>2871</v>
      </c>
      <c r="B38" s="1983" t="str">
        <f>Uebersetzung!D53</f>
        <v>Calcul externe</v>
      </c>
      <c r="C38" s="1984"/>
      <c r="D38" s="933" t="str">
        <f>IF(OR(F27&lt;&gt;"",G27&lt;&gt;"",H27&lt;&gt;""),Uebersetzung!D116,"")</f>
        <v/>
      </c>
      <c r="E38" s="418"/>
      <c r="F38" s="418"/>
      <c r="G38" s="418"/>
      <c r="H38" s="418"/>
      <c r="I38" s="418"/>
      <c r="J38" s="418"/>
      <c r="K38" s="415"/>
      <c r="L38" s="155"/>
    </row>
    <row r="39" spans="1:24" ht="20.100000000000001" customHeight="1">
      <c r="A39" s="1565" t="s">
        <v>2872</v>
      </c>
      <c r="B39" s="1946" t="str">
        <f>Uebersetzung!D54</f>
        <v>Rafraîchissement et/ou humidification ?</v>
      </c>
      <c r="C39" s="1947"/>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65" t="s">
        <v>2873</v>
      </c>
      <c r="B40" s="1948" t="str">
        <f>Uebersetzung!D49</f>
        <v>Débit d'air neuf thermiquement actif</v>
      </c>
      <c r="C40" s="1949"/>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65" t="s">
        <v>2874</v>
      </c>
      <c r="B41" s="1953" t="str">
        <f>Uebersetzung!D50</f>
        <v>Besoins d'électricité pour la ventilation et la protection antigel</v>
      </c>
      <c r="C41" s="1954"/>
      <c r="D41" s="203" t="s">
        <v>703</v>
      </c>
      <c r="E41" s="194" t="s">
        <v>672</v>
      </c>
      <c r="F41" s="904"/>
      <c r="G41" s="864"/>
      <c r="H41" s="420"/>
      <c r="I41" s="420"/>
      <c r="J41" s="183"/>
      <c r="K41" s="419">
        <f>IF(Standardlüftung1&lt;3,F41,0)+IF(Standardlüftung2&lt;3,G41,0)+IF(Standardlüftung3&lt;3,H41,0)+IF(Standardlüftung4&lt;3,I41,0)</f>
        <v>0</v>
      </c>
      <c r="M41" s="459"/>
      <c r="N41" s="1912"/>
    </row>
    <row r="42" spans="1:24" ht="24" customHeight="1">
      <c r="A42" s="1565" t="s">
        <v>2875</v>
      </c>
      <c r="B42" s="1953" t="str">
        <f>Uebersetzung!D51</f>
        <v>Besoins d'électricité pour la climatisation et l'humidification</v>
      </c>
      <c r="C42" s="1954"/>
      <c r="D42" s="203" t="s">
        <v>704</v>
      </c>
      <c r="E42" s="201" t="s">
        <v>672</v>
      </c>
      <c r="F42" s="422"/>
      <c r="G42" s="423"/>
      <c r="H42" s="423"/>
      <c r="I42" s="423"/>
      <c r="J42" s="417"/>
      <c r="K42" s="1010">
        <f>F42+IF(Zonen&gt;1,G42,0)+IF(Zonen&gt;2,H42,0)+IF(Zonen&gt;3,I42,0)</f>
        <v>0</v>
      </c>
      <c r="M42" s="459"/>
      <c r="N42" s="121"/>
    </row>
    <row r="43" spans="1:24" ht="24" customHeight="1">
      <c r="A43" s="1565" t="s">
        <v>2876</v>
      </c>
      <c r="B43" s="1955" t="str">
        <f>Uebersetzung!D56</f>
        <v>Besoins d'électricité pour le transport du froid et pour les auxiliaires</v>
      </c>
      <c r="C43" s="1956"/>
      <c r="D43" s="203" t="s">
        <v>155</v>
      </c>
      <c r="E43" s="201" t="s">
        <v>672</v>
      </c>
      <c r="F43" s="422"/>
      <c r="G43" s="1372"/>
      <c r="H43" s="1372"/>
      <c r="I43" s="1372"/>
      <c r="J43" s="417"/>
      <c r="K43" s="1010">
        <f>F43+IF(Zonen&gt;1,G43,0)+IF(Zonen&gt;2,H43,0)+IF(Zonen&gt;3,I43,0)</f>
        <v>0</v>
      </c>
      <c r="M43" s="459"/>
      <c r="N43" s="121"/>
    </row>
    <row r="44" spans="1:24" ht="20.100000000000001" customHeight="1">
      <c r="A44" s="1565" t="s">
        <v>2878</v>
      </c>
      <c r="B44" s="805" t="str">
        <f>Uebersetzung!D57</f>
        <v>Qh avec débit d'air thermiquement actif</v>
      </c>
      <c r="C44" s="806"/>
      <c r="D44" s="414"/>
      <c r="E44" s="418"/>
      <c r="F44" s="418"/>
      <c r="G44" s="418"/>
      <c r="H44" s="418"/>
      <c r="I44" s="418"/>
      <c r="J44" s="418"/>
      <c r="K44" s="415"/>
      <c r="M44" s="459"/>
      <c r="N44" s="121"/>
    </row>
    <row r="45" spans="1:24" ht="20.100000000000001" customHeight="1">
      <c r="A45" s="1565" t="s">
        <v>2877</v>
      </c>
      <c r="B45" s="1946" t="str">
        <f>Uebersetzung!D58</f>
        <v>Débit d'air neuf thermiquement actif</v>
      </c>
      <c r="C45" s="1952"/>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65" t="s">
        <v>1056</v>
      </c>
      <c r="B46" s="1955" t="str">
        <f>Uebersetzung!D60</f>
        <v>Besoins pour le chauffage effectif avec l'installation de ventilation</v>
      </c>
      <c r="C46" s="1956"/>
      <c r="D46" s="381" t="s">
        <v>838</v>
      </c>
      <c r="E46" s="1871" t="s">
        <v>524</v>
      </c>
      <c r="F46" s="1269"/>
      <c r="G46" s="1269"/>
      <c r="H46" s="1269"/>
      <c r="I46" s="1269"/>
      <c r="J46" s="1270">
        <f>IF(OR(AND(Zonen&gt;0,_qh1=0,Kategorie1&lt;13),AND(Zonen&gt;1,_qh2=0,Kategorie2&lt;13),AND(Zonen&gt;2,_qh3=0,Kategorie3&lt;13),AND(Zonen&gt;3,_qh4=0,Kategorie4&lt;13)),0,1)</f>
        <v>1</v>
      </c>
      <c r="K46" s="1271">
        <f>IF(EBF=0,0,(F46*_EBF1+G46*_EBF2+H46*_EBF3+I46*_EBF4)/EBF)</f>
        <v>0</v>
      </c>
      <c r="M46" s="459"/>
      <c r="N46" s="121"/>
    </row>
    <row r="47" spans="1:24" ht="12" customHeight="1">
      <c r="A47" s="1567"/>
      <c r="B47" s="1036">
        <f ca="1">NOW()</f>
        <v>44187.699461342592</v>
      </c>
      <c r="D47" s="1691">
        <f>IF(AND(EBF&gt;0,Einheiten=1,K46&lt;30,K46&gt;0),1,)</f>
        <v>0</v>
      </c>
      <c r="E47" s="1691">
        <f>IF(AND(EBF&gt;0,Einheiten=1,K46&lt;30,K46&gt;0),Uebersetzung!D527,)</f>
        <v>0</v>
      </c>
      <c r="K47" s="787" t="str">
        <f>K62</f>
        <v xml:space="preserve"> /  /  /  /  /  / </v>
      </c>
      <c r="M47" s="459"/>
      <c r="N47" s="121"/>
    </row>
    <row r="48" spans="1:24" ht="15.95" customHeight="1">
      <c r="A48" s="1567"/>
      <c r="B48" s="877" t="str">
        <f>Uebersetzung!D146</f>
        <v>Signature</v>
      </c>
      <c r="C48" s="878" t="str">
        <f>Uebersetzung!D147</f>
        <v>Justificatif établi par:</v>
      </c>
      <c r="D48" s="879"/>
      <c r="E48" s="879"/>
      <c r="F48" s="879"/>
      <c r="G48" s="878" t="str">
        <f>Uebersetzung!D148</f>
        <v>Contrôle du justificatif/Contrôle privé:</v>
      </c>
      <c r="H48" s="96"/>
      <c r="I48" s="880"/>
      <c r="J48" s="879"/>
      <c r="K48" s="879"/>
      <c r="M48" s="459"/>
      <c r="N48" s="96"/>
      <c r="O48" s="96"/>
      <c r="P48" s="96"/>
      <c r="Q48" s="608"/>
      <c r="R48" s="608"/>
      <c r="S48" s="608"/>
      <c r="T48" s="712"/>
      <c r="U48" s="608"/>
      <c r="V48" s="608"/>
      <c r="W48" s="608"/>
      <c r="X48" s="608"/>
    </row>
    <row r="49" spans="1:24" ht="15.95" customHeight="1">
      <c r="A49" s="1567"/>
      <c r="B49" s="879"/>
      <c r="C49" s="881"/>
      <c r="D49" s="879"/>
      <c r="E49" s="879"/>
      <c r="F49" s="879"/>
      <c r="G49" s="272" t="str">
        <f>Uebersetzung!D149</f>
        <v>Certifié complet et correct</v>
      </c>
      <c r="H49" s="96"/>
      <c r="I49" s="880"/>
      <c r="J49" s="879"/>
      <c r="K49" s="879"/>
      <c r="M49" s="459"/>
      <c r="O49" s="607"/>
    </row>
    <row r="50" spans="1:24" ht="6" customHeight="1">
      <c r="A50" s="1567"/>
      <c r="B50" s="879"/>
      <c r="C50" s="881"/>
      <c r="D50" s="879"/>
      <c r="E50" s="879"/>
      <c r="F50" s="879"/>
      <c r="G50" s="881"/>
      <c r="H50" s="96"/>
      <c r="I50" s="880"/>
      <c r="J50" s="879"/>
      <c r="K50" s="879"/>
      <c r="M50" s="459"/>
      <c r="O50" s="608"/>
    </row>
    <row r="51" spans="1:24" ht="20.100000000000001" customHeight="1">
      <c r="A51" s="1567"/>
      <c r="B51" s="882" t="str">
        <f>Uebersetzung!D150</f>
        <v>Nom et adresse</v>
      </c>
      <c r="C51" s="1969"/>
      <c r="D51" s="1968"/>
      <c r="E51" s="1968"/>
      <c r="F51" s="2024"/>
      <c r="G51" s="1967"/>
      <c r="H51" s="1968"/>
      <c r="I51" s="1968"/>
      <c r="J51" s="1968"/>
      <c r="K51" s="1968"/>
      <c r="M51" s="459"/>
      <c r="O51" s="608"/>
    </row>
    <row r="52" spans="1:24" ht="20.100000000000001" customHeight="1">
      <c r="A52" s="1567"/>
      <c r="B52" s="882" t="str">
        <f>Uebersetzung!D151</f>
        <v>ou tampon de l'entreprise</v>
      </c>
      <c r="C52" s="1969"/>
      <c r="D52" s="1968"/>
      <c r="E52" s="1968"/>
      <c r="F52" s="2024"/>
      <c r="G52" s="1969"/>
      <c r="H52" s="1968"/>
      <c r="I52" s="1968"/>
      <c r="J52" s="1968"/>
      <c r="K52" s="1968"/>
      <c r="M52" s="459"/>
      <c r="O52" s="612"/>
    </row>
    <row r="53" spans="1:24" ht="20.100000000000001" customHeight="1">
      <c r="A53" s="1567"/>
      <c r="B53" s="879"/>
      <c r="C53" s="1970"/>
      <c r="D53" s="1971"/>
      <c r="E53" s="1971"/>
      <c r="F53" s="1972"/>
      <c r="G53" s="1970"/>
      <c r="H53" s="1971"/>
      <c r="I53" s="1971"/>
      <c r="J53" s="1971"/>
      <c r="K53" s="1971"/>
      <c r="M53" s="459"/>
      <c r="O53" s="612"/>
    </row>
    <row r="54" spans="1:24" ht="6" customHeight="1">
      <c r="A54" s="1567"/>
      <c r="B54" s="880"/>
      <c r="C54" s="880"/>
      <c r="D54" s="880"/>
      <c r="E54" s="880"/>
      <c r="F54" s="880"/>
      <c r="G54" s="880"/>
      <c r="I54" s="880"/>
      <c r="J54" s="879"/>
      <c r="K54" s="879"/>
      <c r="M54" s="459"/>
      <c r="O54" s="608"/>
    </row>
    <row r="55" spans="1:24" ht="20.100000000000001" customHeight="1">
      <c r="A55" s="1567"/>
      <c r="B55" s="3" t="str">
        <f>Uebersetzung!D152</f>
        <v>Responsable, tél.:</v>
      </c>
      <c r="C55" s="1970"/>
      <c r="D55" s="1971"/>
      <c r="E55" s="1971"/>
      <c r="F55" s="1972"/>
      <c r="G55" s="1973"/>
      <c r="H55" s="1971"/>
      <c r="I55" s="1971"/>
      <c r="J55" s="1971"/>
      <c r="K55" s="1971"/>
      <c r="M55" s="459"/>
      <c r="O55" s="608"/>
    </row>
    <row r="56" spans="1:24" ht="2.1" customHeight="1">
      <c r="A56" s="1568"/>
      <c r="B56" s="884"/>
      <c r="C56" s="885"/>
      <c r="D56" s="885"/>
      <c r="E56" s="885"/>
      <c r="F56" s="885"/>
      <c r="G56" s="885"/>
      <c r="H56" s="885"/>
      <c r="I56" s="885"/>
      <c r="J56" s="885"/>
      <c r="K56" s="885"/>
      <c r="M56" s="459"/>
      <c r="O56" s="608"/>
    </row>
    <row r="57" spans="1:24" ht="20.100000000000001" customHeight="1">
      <c r="A57" s="1567"/>
      <c r="B57" s="1961" t="str">
        <f>Uebersetzung!D153</f>
        <v>Lieu, date, signature:</v>
      </c>
      <c r="C57" s="1974"/>
      <c r="D57" s="1975"/>
      <c r="E57" s="1975"/>
      <c r="F57" s="1976"/>
      <c r="G57" s="1980"/>
      <c r="H57" s="1975"/>
      <c r="I57" s="1975"/>
      <c r="J57" s="1975"/>
      <c r="K57" s="1975"/>
      <c r="M57" s="459"/>
      <c r="O57" s="612"/>
    </row>
    <row r="58" spans="1:24" ht="20.100000000000001" customHeight="1">
      <c r="A58" s="1567"/>
      <c r="B58" s="1961"/>
      <c r="C58" s="1977"/>
      <c r="D58" s="1978"/>
      <c r="E58" s="1978"/>
      <c r="F58" s="1979"/>
      <c r="G58" s="1977"/>
      <c r="H58" s="1978"/>
      <c r="I58" s="1978"/>
      <c r="J58" s="1978"/>
      <c r="K58" s="1978"/>
      <c r="M58" s="459"/>
      <c r="O58" s="612"/>
    </row>
    <row r="59" spans="1:24" ht="6" customHeight="1">
      <c r="A59" s="1567"/>
      <c r="B59" s="879"/>
      <c r="C59" s="879"/>
      <c r="D59" s="879"/>
      <c r="E59" s="879"/>
      <c r="F59" s="886"/>
      <c r="G59" s="886"/>
      <c r="H59" s="886"/>
      <c r="I59" s="879"/>
      <c r="J59" s="879"/>
      <c r="K59" s="879"/>
      <c r="M59" s="459"/>
      <c r="O59" s="608"/>
    </row>
    <row r="60" spans="1:24" ht="20.100000000000001" customHeight="1">
      <c r="A60" s="1567"/>
      <c r="B60" s="882" t="str">
        <f>Uebersetzung!D154</f>
        <v>Contrôle d'exécution</v>
      </c>
      <c r="C60" s="686" t="str">
        <f>Uebersetzung!D155</f>
        <v>même personne</v>
      </c>
      <c r="D60" s="844"/>
      <c r="E60" s="879"/>
      <c r="F60" s="811" t="str">
        <f>Uebersetzung!D156</f>
        <v>ou:</v>
      </c>
      <c r="G60" s="1966"/>
      <c r="H60" s="1966"/>
      <c r="I60" s="1966"/>
      <c r="J60" s="1966"/>
      <c r="K60" s="1966"/>
      <c r="M60" s="459"/>
      <c r="O60" s="608"/>
    </row>
    <row r="61" spans="1:24" ht="3.95" customHeight="1">
      <c r="A61" s="1567"/>
      <c r="B61" s="151"/>
      <c r="C61" s="151"/>
      <c r="D61" s="151"/>
      <c r="E61" s="151"/>
      <c r="F61" s="151"/>
      <c r="G61" s="151"/>
      <c r="H61" s="151"/>
      <c r="I61" s="151"/>
      <c r="J61" s="151"/>
      <c r="K61" s="151"/>
      <c r="M61" s="459"/>
      <c r="O61" s="608"/>
    </row>
    <row r="62" spans="1:24" ht="9.9499999999999993" customHeight="1">
      <c r="A62" s="1567"/>
      <c r="B62" s="810">
        <f ca="1">NOW()</f>
        <v>44187.699461342592</v>
      </c>
      <c r="K62" s="787" t="str">
        <f>Entrées!C8&amp;" / "&amp;Entrées!C7&amp;" / "&amp;Entrées!H7&amp;" / "&amp;Entrées!J7&amp;" / "&amp;Entrées!J8&amp;" / "&amp;Entrées!G55&amp;" / "&amp;Entrées!G57</f>
        <v xml:space="preserve"> /  /  /  /  /  / </v>
      </c>
      <c r="M62" s="879"/>
      <c r="N62" s="879"/>
      <c r="O62" s="608"/>
      <c r="P62" s="608"/>
      <c r="Q62" s="608"/>
      <c r="R62" s="608"/>
      <c r="S62" s="608"/>
      <c r="T62" s="608"/>
      <c r="U62" s="608"/>
      <c r="V62" s="608"/>
      <c r="W62" s="608"/>
      <c r="X62" s="608"/>
    </row>
    <row r="63" spans="1:24" ht="17.25" customHeight="1">
      <c r="A63" s="1565"/>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65" t="s">
        <v>397</v>
      </c>
      <c r="B66" s="1946" t="str">
        <f>IF(auswahl1&gt;0,INDEX(Standardwerte!$AF$5:$AF$13,2),"")</f>
        <v/>
      </c>
      <c r="C66" s="1947"/>
      <c r="D66" s="392" t="str">
        <f>IF(minergiea,"Bestgeräte",IF(auswahl1&gt;0,INDEX(Standardwerte!$BA$5:$BA$13,2),""))</f>
        <v/>
      </c>
      <c r="E66" s="393"/>
      <c r="F66" s="394"/>
      <c r="G66" s="145" t="s">
        <v>310</v>
      </c>
      <c r="H66" s="145" t="s">
        <v>311</v>
      </c>
      <c r="I66" s="887"/>
      <c r="J66" s="1964"/>
      <c r="K66" s="1965"/>
      <c r="M66" s="155"/>
      <c r="N66" s="122"/>
    </row>
    <row r="67" spans="1:14" ht="17.25" hidden="1" customHeight="1">
      <c r="A67" s="1565" t="s">
        <v>398</v>
      </c>
      <c r="B67" s="1950" t="str">
        <f>IF(auswahl2&gt;0,INDEX(Standardwerte!$AF$5:$AF$13,3),"")</f>
        <v/>
      </c>
      <c r="C67" s="1951"/>
      <c r="D67" s="388" t="str">
        <f>IF(auswahl2&gt;0,INDEX(Standardwerte!$BA$5:$BA$13,3),"")</f>
        <v/>
      </c>
      <c r="E67" s="389"/>
      <c r="F67" s="390"/>
      <c r="G67" s="146" t="s">
        <v>310</v>
      </c>
      <c r="H67" s="146" t="s">
        <v>311</v>
      </c>
      <c r="I67" s="888"/>
      <c r="J67" s="1962"/>
      <c r="K67" s="1963"/>
      <c r="M67" s="155"/>
      <c r="N67" s="121"/>
    </row>
    <row r="68" spans="1:14" ht="17.25" hidden="1" customHeight="1">
      <c r="A68" s="1565" t="s">
        <v>399</v>
      </c>
      <c r="B68" s="1950" t="str">
        <f>IF(auswahl3&gt;0,INDEX(Standardwerte!$AF$5:$AF$13,4),"")</f>
        <v/>
      </c>
      <c r="C68" s="1951"/>
      <c r="D68" s="388" t="str">
        <f>IF(auswahl3&gt;0,INDEX(Standardwerte!$BA$5:$BA$13,4),"")</f>
        <v/>
      </c>
      <c r="E68" s="389"/>
      <c r="F68" s="390"/>
      <c r="G68" s="146" t="s">
        <v>310</v>
      </c>
      <c r="H68" s="146" t="s">
        <v>311</v>
      </c>
      <c r="I68" s="889"/>
      <c r="J68" s="1959"/>
      <c r="K68" s="1960"/>
      <c r="M68" s="155"/>
      <c r="N68" s="121"/>
    </row>
    <row r="69" spans="1:14" ht="17.25" hidden="1" customHeight="1">
      <c r="A69" s="1565" t="s">
        <v>400</v>
      </c>
      <c r="B69" s="1950" t="str">
        <f>IF(auswahl4&gt;0,INDEX(Standardwerte!$AF$5:$AF$13,5),"")</f>
        <v/>
      </c>
      <c r="C69" s="1951"/>
      <c r="D69" s="388" t="str">
        <f>IF(auswahl4&gt;0,INDEX(Standardwerte!$BA$5:$BA$13,5),"")</f>
        <v/>
      </c>
      <c r="E69" s="389"/>
      <c r="F69" s="390"/>
      <c r="G69" s="146" t="s">
        <v>310</v>
      </c>
      <c r="H69" s="146" t="s">
        <v>311</v>
      </c>
      <c r="I69" s="889"/>
      <c r="J69" s="1959"/>
      <c r="K69" s="1960"/>
      <c r="M69" s="155" t="b">
        <v>0</v>
      </c>
      <c r="N69" s="121"/>
    </row>
    <row r="70" spans="1:14" ht="17.25" hidden="1" customHeight="1">
      <c r="A70" s="1565" t="s">
        <v>401</v>
      </c>
      <c r="B70" s="1950" t="str">
        <f>IF(auswahl5&gt;0,INDEX(Standardwerte!$AF$5:$AF$13,6),"")</f>
        <v/>
      </c>
      <c r="C70" s="1951"/>
      <c r="D70" s="388" t="str">
        <f>IF(auswahl5&gt;0,INDEX(Standardwerte!$BA$5:$BA$13,6),"")</f>
        <v/>
      </c>
      <c r="E70" s="389"/>
      <c r="F70" s="390"/>
      <c r="G70" s="146" t="s">
        <v>310</v>
      </c>
      <c r="H70" s="146" t="s">
        <v>311</v>
      </c>
      <c r="I70" s="889"/>
      <c r="J70" s="1959"/>
      <c r="K70" s="1960"/>
      <c r="M70" s="155" t="b">
        <v>0</v>
      </c>
      <c r="N70" s="121"/>
    </row>
    <row r="71" spans="1:14" ht="17.25" hidden="1" customHeight="1">
      <c r="A71" s="1565" t="s">
        <v>402</v>
      </c>
      <c r="B71" s="1950" t="str">
        <f>IF(auswahl6&gt;0,INDEX(Standardwerte!$AF$5:$AF$13,7),"")</f>
        <v/>
      </c>
      <c r="C71" s="1951"/>
      <c r="D71" s="388" t="str">
        <f>IF(auswahl6&gt;0,INDEX(Standardwerte!$BA$5:$BA$13,7),"")</f>
        <v/>
      </c>
      <c r="E71" s="389"/>
      <c r="F71" s="390"/>
      <c r="G71" s="146" t="s">
        <v>310</v>
      </c>
      <c r="H71" s="146" t="s">
        <v>311</v>
      </c>
      <c r="I71" s="889"/>
      <c r="J71" s="1959"/>
      <c r="K71" s="1960"/>
      <c r="M71" s="155" t="b">
        <v>1</v>
      </c>
      <c r="N71" s="121"/>
    </row>
    <row r="72" spans="1:14" ht="17.25" hidden="1" customHeight="1">
      <c r="A72" s="1565" t="s">
        <v>430</v>
      </c>
      <c r="B72" s="1950" t="str">
        <f>IF(auswahl7&gt;0,INDEX(Standardwerte!$AF$5:$AF$13,8),"")</f>
        <v/>
      </c>
      <c r="C72" s="1951"/>
      <c r="D72" s="388" t="str">
        <f>IF(auswahl7&gt;0,INDEX(Standardwerte!$BA$5:$BA$13,8),"")</f>
        <v/>
      </c>
      <c r="E72" s="389"/>
      <c r="F72" s="390"/>
      <c r="G72" s="146" t="s">
        <v>310</v>
      </c>
      <c r="H72" s="146" t="s">
        <v>311</v>
      </c>
      <c r="I72" s="889"/>
      <c r="J72" s="1959"/>
      <c r="K72" s="1960"/>
      <c r="M72" s="155"/>
      <c r="N72" s="121"/>
    </row>
    <row r="73" spans="1:14" ht="17.25" hidden="1" customHeight="1">
      <c r="A73" s="1565" t="s">
        <v>116</v>
      </c>
      <c r="B73" s="2020" t="str">
        <f>IF(auswahl8&gt;0,INDEX(Standardwerte!$AF$5:$AF$13,9),"")</f>
        <v/>
      </c>
      <c r="C73" s="2021"/>
      <c r="D73" s="391" t="str">
        <f>IF(auswahl8&gt;0,INDEX(Standardwerte!$BA$5:$BA$13,9),"")</f>
        <v/>
      </c>
      <c r="E73" s="386"/>
      <c r="F73" s="387"/>
      <c r="G73" s="147" t="s">
        <v>310</v>
      </c>
      <c r="H73" s="147" t="s">
        <v>311</v>
      </c>
      <c r="I73" s="890">
        <f>IF(OR(minergiep,minergiea),IF(Neubau=2,"0.6 1/h",IF(Neubau=3,"1.5 1/h","0.6 (bzw. 1.5)")),)</f>
        <v>0</v>
      </c>
      <c r="J73" s="1957"/>
      <c r="K73" s="1958"/>
      <c r="M73" s="155" t="b">
        <v>0</v>
      </c>
    </row>
    <row r="74" spans="1:14" ht="17.25" hidden="1" customHeight="1">
      <c r="A74" s="1565"/>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7"/>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7"/>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7"/>
      <c r="B77" s="2025" t="s">
        <v>369</v>
      </c>
      <c r="C77" s="2026"/>
      <c r="D77" s="2026"/>
      <c r="E77" s="2026"/>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7"/>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7"/>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7"/>
      <c r="B80" s="2022" t="str">
        <f>"- Eingabe (Berechnung beilegen)"</f>
        <v>- Eingabe (Berechnung beilegen)</v>
      </c>
      <c r="C80" s="2023"/>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7"/>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7"/>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7"/>
      <c r="B83" s="22" t="s">
        <v>495</v>
      </c>
      <c r="C83" s="807"/>
      <c r="D83" s="203" t="s">
        <v>159</v>
      </c>
      <c r="E83" s="194" t="s">
        <v>524</v>
      </c>
      <c r="F83" s="863">
        <f>IF(AND(MUKEN,Justificatif!G43=0),0,IF(OR(F80&gt;0,_Qel1&gt;0),IF(F80&gt;0,F80,_Qel1),))</f>
        <v>0</v>
      </c>
      <c r="G83" s="863">
        <f>IF(AND(MUKEN,Justificatif!H43=0),0,IF(OR(G80&gt;0,_Qel2&gt;0),IF(G80&gt;0,G80,_Qel2),))</f>
        <v>0</v>
      </c>
      <c r="H83" s="863">
        <f>IF(AND(MUKEN,Justificatif!I43=0),0,IF(OR(H80&gt;0,_Qel3&gt;0),IF(H80&gt;0,H80,_Qel3),))</f>
        <v>0</v>
      </c>
      <c r="I83" s="421">
        <f>IF(AND(MUKEN,Justificatif!J43=0),0,IF(OR(I80&gt;0,_Qel4&gt;0),IF(I80&gt;0,I80,_Qel4),))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7"/>
      <c r="B84" s="454" t="str">
        <f>IF(minergiep,"","Strombedarf Klima")</f>
        <v>Strombedarf Klima</v>
      </c>
      <c r="C84" s="779"/>
      <c r="D84" s="381"/>
      <c r="E84" s="455" t="str">
        <f>IF(minergiep,,"kWh/m2")</f>
        <v>kWh/m2</v>
      </c>
      <c r="F84" s="456">
        <f>IF(AND(MUKEN,Justificatif!G43=0),0,IF(E_Qk11&gt;0,E_Qk11,0))</f>
        <v>0</v>
      </c>
      <c r="G84" s="456">
        <f>IF(AND(MUKEN,Justificatif!H43=0),0,IF(E_Qk22&gt;0,E_Qk22,0))</f>
        <v>0</v>
      </c>
      <c r="H84" s="456">
        <f>IF(AND(MUKEN,Justificatif!I43=0),0,IF(E_Qk33&gt;0,E_Qk33,0))</f>
        <v>0</v>
      </c>
      <c r="I84" s="456">
        <f>IF(AND(MUKEN,Justificatif!J43=0),0,IF(E_Qk44&gt;0,E_Qk44,0))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7"/>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7"/>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7"/>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7"/>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7"/>
      <c r="B89" s="2020" t="s">
        <v>190</v>
      </c>
      <c r="C89" s="2021"/>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7"/>
      <c r="B90" s="21" t="str">
        <f>Uebersetzung!D37</f>
        <v>Besoins pour chauffage avec renouvellement d'air normal</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Justificatif!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Justificatif!I57&gt;Primaeranforderung,Uebersetzung!D74,IF(EBF=0,0,Justificatif!I57*3.6)),),IF(EBF=0,0,Justificatif!I57*3.6)))))</f>
        <v>0</v>
      </c>
      <c r="L90" s="893"/>
      <c r="M90" s="893"/>
      <c r="N90" s="498"/>
    </row>
    <row r="91" spans="1:14" s="27" customFormat="1" ht="12.75" hidden="1">
      <c r="A91" s="1567"/>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7"/>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7"/>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7"/>
      <c r="B94" s="1604" t="s">
        <v>2996</v>
      </c>
      <c r="C94" s="1601"/>
      <c r="D94" s="1601"/>
      <c r="E94" s="1601"/>
      <c r="F94" s="1602" t="b">
        <f>IF(AND(MUKEN,OR(Standardlüftung1=1,Standardlüftung1=2)),TRUE,FALSE)</f>
        <v>0</v>
      </c>
      <c r="G94" s="1602" t="b">
        <f>IF(AND(Zonen&gt;1,MUKEN,OR(Standardlüftung2=1,Standardlüftung2=2)),TRUE,FALSE)</f>
        <v>0</v>
      </c>
      <c r="H94" s="1602" t="b">
        <f>IF(AND(Zonen&gt;2,MUKEN,OR(Standardlüftung3=1,Standardlüftung3=2)),TRUE,FALSE)</f>
        <v>0</v>
      </c>
      <c r="I94" s="1602" t="b">
        <f>IF(AND(Zonen&gt;3,MUKEN,OR(Standardlüftung4=1,Standardlüftung4=2)),TRUE,FALSE)</f>
        <v>0</v>
      </c>
      <c r="J94" s="1602" t="b">
        <f>IF(AND(Zonen&gt;1,MUKEN,OR(Standardlüftung2=1,Standardlüftung2=2)),TRUE,FALSE)</f>
        <v>0</v>
      </c>
      <c r="K94" s="1603"/>
      <c r="L94" s="893"/>
      <c r="M94" s="893"/>
      <c r="N94" s="498"/>
    </row>
    <row r="95" spans="1:14" s="27" customFormat="1" ht="12.75" hidden="1">
      <c r="A95" s="1567"/>
      <c r="B95" s="498"/>
      <c r="C95" s="498"/>
      <c r="D95" s="498"/>
      <c r="E95" s="498"/>
      <c r="F95" s="903"/>
      <c r="G95" s="903"/>
      <c r="H95" s="903"/>
      <c r="I95" s="903"/>
      <c r="J95" s="498"/>
      <c r="K95" s="498"/>
      <c r="L95" s="893"/>
      <c r="M95" s="893"/>
      <c r="N95" s="498"/>
    </row>
    <row r="96" spans="1:14" s="27" customFormat="1" ht="12.75">
      <c r="A96" s="1569"/>
      <c r="F96" s="33"/>
      <c r="G96" s="33"/>
      <c r="H96" s="33"/>
      <c r="I96" s="33"/>
      <c r="L96" s="301"/>
      <c r="M96" s="301"/>
    </row>
    <row r="97" spans="1:13" s="27" customFormat="1" ht="12.75">
      <c r="A97" s="1569"/>
      <c r="F97" s="33"/>
      <c r="G97" s="33"/>
      <c r="H97" s="33"/>
      <c r="I97" s="33"/>
      <c r="L97" s="301"/>
      <c r="M97" s="301"/>
    </row>
    <row r="98" spans="1:13" s="27" customFormat="1" ht="12.75">
      <c r="A98" s="1569"/>
      <c r="F98" s="33"/>
      <c r="G98" s="33"/>
      <c r="H98" s="33"/>
      <c r="I98" s="33"/>
      <c r="L98" s="301"/>
      <c r="M98" s="301"/>
    </row>
    <row r="99" spans="1:13" s="27" customFormat="1" ht="12.75">
      <c r="A99" s="1569"/>
      <c r="F99" s="33"/>
      <c r="G99" s="33"/>
      <c r="H99" s="33"/>
      <c r="I99" s="33"/>
      <c r="L99" s="301"/>
      <c r="M99" s="301"/>
    </row>
    <row r="100" spans="1:13" s="27" customFormat="1" ht="12.75">
      <c r="A100" s="1569"/>
      <c r="F100" s="33"/>
      <c r="G100" s="33"/>
      <c r="H100" s="33"/>
      <c r="I100" s="33"/>
      <c r="L100" s="301"/>
      <c r="M100" s="301"/>
    </row>
    <row r="101" spans="1:13" s="596" customFormat="1" ht="12.75">
      <c r="A101" s="1570"/>
      <c r="F101" s="602"/>
      <c r="G101" s="602"/>
      <c r="H101" s="602"/>
      <c r="I101" s="602"/>
      <c r="L101" s="603"/>
      <c r="M101" s="603"/>
    </row>
    <row r="102" spans="1:13" s="596" customFormat="1" ht="12.75">
      <c r="A102" s="1570"/>
      <c r="F102" s="602"/>
      <c r="G102" s="602"/>
      <c r="H102" s="602"/>
      <c r="I102" s="602"/>
      <c r="L102" s="603"/>
      <c r="M102" s="603"/>
    </row>
    <row r="103" spans="1:13" s="596" customFormat="1" ht="12.75">
      <c r="A103" s="1570"/>
      <c r="F103" s="602"/>
      <c r="G103" s="602"/>
      <c r="H103" s="602"/>
      <c r="I103" s="602"/>
      <c r="L103" s="603"/>
      <c r="M103" s="603"/>
    </row>
    <row r="104" spans="1:13" s="596" customFormat="1" ht="12.75">
      <c r="A104" s="1570"/>
      <c r="F104" s="602"/>
      <c r="G104" s="602"/>
      <c r="H104" s="602"/>
      <c r="I104" s="602"/>
      <c r="L104" s="603"/>
      <c r="M104" s="603"/>
    </row>
    <row r="105" spans="1:13" s="596" customFormat="1" ht="12.75">
      <c r="A105" s="1570"/>
      <c r="F105" s="602"/>
      <c r="G105" s="602"/>
      <c r="H105" s="602"/>
      <c r="I105" s="602"/>
      <c r="L105" s="603"/>
      <c r="M105" s="603"/>
    </row>
    <row r="106" spans="1:13" s="596" customFormat="1" ht="12.75">
      <c r="A106" s="1570"/>
      <c r="F106" s="602"/>
      <c r="G106" s="602"/>
      <c r="H106" s="602"/>
      <c r="I106" s="602"/>
      <c r="L106" s="603"/>
      <c r="M106" s="603"/>
    </row>
    <row r="107" spans="1:13" s="596" customFormat="1" ht="12.75">
      <c r="A107" s="1570"/>
      <c r="F107" s="602"/>
      <c r="G107" s="602"/>
      <c r="H107" s="602"/>
      <c r="I107" s="602"/>
      <c r="L107" s="603"/>
      <c r="M107" s="603"/>
    </row>
    <row r="108" spans="1:13" s="596" customFormat="1" ht="12.75">
      <c r="A108" s="1570"/>
      <c r="F108" s="602"/>
      <c r="G108" s="602"/>
      <c r="H108" s="602"/>
      <c r="I108" s="602"/>
      <c r="L108" s="603"/>
      <c r="M108" s="603"/>
    </row>
    <row r="109" spans="1:13" s="596" customFormat="1" ht="12.75">
      <c r="A109" s="1570"/>
      <c r="F109" s="602"/>
      <c r="G109" s="602"/>
      <c r="H109" s="602"/>
      <c r="I109" s="602"/>
      <c r="L109" s="603"/>
      <c r="M109" s="603"/>
    </row>
    <row r="110" spans="1:13" s="596" customFormat="1" ht="12.75">
      <c r="A110" s="1570"/>
      <c r="F110" s="602"/>
      <c r="G110" s="602"/>
      <c r="H110" s="602"/>
      <c r="I110" s="602"/>
      <c r="L110" s="603"/>
      <c r="M110" s="603"/>
    </row>
    <row r="111" spans="1:13" s="596" customFormat="1" ht="12.75">
      <c r="A111" s="1570"/>
      <c r="F111" s="602"/>
      <c r="G111" s="602"/>
      <c r="H111" s="602"/>
      <c r="I111" s="602"/>
      <c r="L111" s="603"/>
      <c r="M111" s="603"/>
    </row>
    <row r="112" spans="1:13" s="596" customFormat="1" ht="12.75">
      <c r="A112" s="1570"/>
      <c r="F112" s="602"/>
      <c r="G112" s="602"/>
      <c r="H112" s="602"/>
      <c r="I112" s="602"/>
      <c r="L112" s="603"/>
      <c r="M112" s="603"/>
    </row>
    <row r="113" spans="1:13" s="596" customFormat="1" ht="12.75">
      <c r="A113" s="1570"/>
      <c r="F113" s="602"/>
      <c r="G113" s="602"/>
      <c r="H113" s="602"/>
      <c r="I113" s="602"/>
      <c r="L113" s="603"/>
      <c r="M113" s="603"/>
    </row>
    <row r="114" spans="1:13" s="596" customFormat="1" ht="12.75">
      <c r="A114" s="1570"/>
      <c r="F114" s="602"/>
      <c r="G114" s="602"/>
      <c r="H114" s="602"/>
      <c r="I114" s="602"/>
      <c r="L114" s="603"/>
      <c r="M114" s="603"/>
    </row>
    <row r="115" spans="1:13" s="596" customFormat="1" ht="12.75">
      <c r="A115" s="1570"/>
      <c r="F115" s="602"/>
      <c r="G115" s="602"/>
      <c r="H115" s="602"/>
      <c r="I115" s="602"/>
      <c r="L115" s="603"/>
      <c r="M115" s="603"/>
    </row>
    <row r="116" spans="1:13" s="596" customFormat="1" ht="12.75">
      <c r="A116" s="1570"/>
      <c r="F116" s="602"/>
      <c r="G116" s="602"/>
      <c r="H116" s="602"/>
      <c r="I116" s="602"/>
      <c r="L116" s="603"/>
      <c r="M116" s="603"/>
    </row>
    <row r="117" spans="1:13" s="596" customFormat="1" ht="12.75">
      <c r="A117" s="1570"/>
      <c r="F117" s="602"/>
      <c r="G117" s="602"/>
      <c r="H117" s="602"/>
      <c r="I117" s="602"/>
      <c r="L117" s="603"/>
      <c r="M117" s="603"/>
    </row>
    <row r="118" spans="1:13" s="596" customFormat="1" ht="12.75">
      <c r="A118" s="1570"/>
      <c r="F118" s="602"/>
      <c r="G118" s="602"/>
      <c r="H118" s="602"/>
      <c r="I118" s="602"/>
      <c r="L118" s="603"/>
      <c r="M118" s="603"/>
    </row>
    <row r="119" spans="1:13" s="596" customFormat="1" ht="12.75">
      <c r="A119" s="1570"/>
      <c r="F119" s="602"/>
      <c r="G119" s="602"/>
      <c r="H119" s="602"/>
      <c r="I119" s="602"/>
      <c r="L119" s="603"/>
      <c r="M119" s="603"/>
    </row>
    <row r="120" spans="1:13" s="596" customFormat="1" ht="12.75">
      <c r="A120" s="1570"/>
      <c r="F120" s="602"/>
      <c r="G120" s="602"/>
      <c r="H120" s="602"/>
      <c r="I120" s="602"/>
      <c r="L120" s="603"/>
      <c r="M120" s="603"/>
    </row>
    <row r="121" spans="1:13" s="596" customFormat="1" ht="12.75">
      <c r="A121" s="1570"/>
      <c r="F121" s="602"/>
      <c r="G121" s="602"/>
      <c r="H121" s="602"/>
      <c r="I121" s="602"/>
      <c r="L121" s="603"/>
      <c r="M121" s="603"/>
    </row>
    <row r="122" spans="1:13" s="596" customFormat="1" ht="12.75">
      <c r="A122" s="1570"/>
      <c r="F122" s="602"/>
      <c r="G122" s="602"/>
      <c r="H122" s="602"/>
      <c r="I122" s="602"/>
      <c r="L122" s="603"/>
      <c r="M122" s="603"/>
    </row>
    <row r="123" spans="1:13" s="596" customFormat="1" ht="12.75">
      <c r="A123" s="1570"/>
      <c r="F123" s="602"/>
      <c r="G123" s="602"/>
      <c r="H123" s="602"/>
      <c r="I123" s="602"/>
      <c r="L123" s="603"/>
      <c r="M123" s="603"/>
    </row>
    <row r="124" spans="1:13" s="596" customFormat="1" ht="12.75">
      <c r="A124" s="1570"/>
      <c r="F124" s="602"/>
      <c r="G124" s="602"/>
      <c r="H124" s="602"/>
      <c r="I124" s="602"/>
      <c r="L124" s="603"/>
      <c r="M124" s="603"/>
    </row>
    <row r="125" spans="1:13" s="596" customFormat="1" ht="12.75">
      <c r="A125" s="1570"/>
      <c r="F125" s="602"/>
      <c r="G125" s="602"/>
      <c r="H125" s="602"/>
      <c r="I125" s="602"/>
      <c r="L125" s="603"/>
      <c r="M125" s="603"/>
    </row>
    <row r="126" spans="1:13" s="596" customFormat="1" ht="12.75">
      <c r="A126" s="1570"/>
      <c r="F126" s="602"/>
      <c r="G126" s="602"/>
      <c r="H126" s="602"/>
      <c r="I126" s="602"/>
      <c r="L126" s="603"/>
      <c r="M126" s="603"/>
    </row>
    <row r="127" spans="1:13" s="596" customFormat="1" ht="12.75">
      <c r="A127" s="1570"/>
      <c r="F127" s="602"/>
      <c r="G127" s="602"/>
      <c r="H127" s="602"/>
      <c r="I127" s="602"/>
      <c r="L127" s="603"/>
      <c r="M127" s="603"/>
    </row>
    <row r="128" spans="1:13" s="596" customFormat="1" ht="12.75">
      <c r="A128" s="1570"/>
      <c r="F128" s="602"/>
      <c r="G128" s="602"/>
      <c r="H128" s="602"/>
      <c r="I128" s="602"/>
      <c r="L128" s="603"/>
      <c r="M128" s="603"/>
    </row>
    <row r="129" spans="1:13" s="596" customFormat="1" ht="12.75">
      <c r="A129" s="1570"/>
      <c r="F129" s="602"/>
      <c r="G129" s="602"/>
      <c r="H129" s="602"/>
      <c r="I129" s="602"/>
      <c r="L129" s="603"/>
      <c r="M129" s="603"/>
    </row>
    <row r="130" spans="1:13" s="596" customFormat="1" ht="12.75">
      <c r="A130" s="1570"/>
      <c r="F130" s="602"/>
      <c r="G130" s="602"/>
      <c r="H130" s="602"/>
      <c r="I130" s="602"/>
      <c r="L130" s="603"/>
      <c r="M130" s="603"/>
    </row>
    <row r="131" spans="1:13" s="596" customFormat="1" ht="12.75">
      <c r="A131" s="1570"/>
      <c r="F131" s="602"/>
      <c r="G131" s="602"/>
      <c r="H131" s="602"/>
      <c r="I131" s="602"/>
      <c r="L131" s="603"/>
      <c r="M131" s="603"/>
    </row>
    <row r="132" spans="1:13" s="596" customFormat="1" ht="12.75">
      <c r="A132" s="1570"/>
      <c r="F132" s="602"/>
      <c r="G132" s="602"/>
      <c r="H132" s="602"/>
      <c r="I132" s="602"/>
      <c r="L132" s="603"/>
      <c r="M132" s="603"/>
    </row>
    <row r="133" spans="1:13" s="596" customFormat="1" ht="12.75">
      <c r="A133" s="1570"/>
      <c r="F133" s="602"/>
      <c r="G133" s="602"/>
      <c r="H133" s="602"/>
      <c r="I133" s="602"/>
      <c r="L133" s="603"/>
      <c r="M133" s="603"/>
    </row>
    <row r="134" spans="1:13" s="596" customFormat="1" ht="12.75">
      <c r="A134" s="1570"/>
      <c r="F134" s="602"/>
      <c r="G134" s="602"/>
      <c r="H134" s="602"/>
      <c r="I134" s="602"/>
      <c r="L134" s="603"/>
      <c r="M134" s="603"/>
    </row>
    <row r="135" spans="1:13" s="596" customFormat="1" ht="12.75">
      <c r="A135" s="1570"/>
      <c r="F135" s="602"/>
      <c r="G135" s="602"/>
      <c r="H135" s="602"/>
      <c r="I135" s="602"/>
      <c r="L135" s="603"/>
      <c r="M135" s="603"/>
    </row>
    <row r="136" spans="1:13" s="596" customFormat="1" ht="12.75">
      <c r="A136" s="1570"/>
      <c r="F136" s="602"/>
      <c r="G136" s="602"/>
      <c r="H136" s="602"/>
      <c r="I136" s="602"/>
      <c r="L136" s="603"/>
      <c r="M136" s="603"/>
    </row>
    <row r="137" spans="1:13" s="596" customFormat="1" ht="12.75">
      <c r="A137" s="1570"/>
      <c r="F137" s="602"/>
      <c r="G137" s="602"/>
      <c r="H137" s="602"/>
      <c r="I137" s="602"/>
      <c r="L137" s="603"/>
      <c r="M137" s="603"/>
    </row>
    <row r="138" spans="1:13" s="596" customFormat="1" ht="12.75">
      <c r="A138" s="1570"/>
      <c r="F138" s="602"/>
      <c r="G138" s="602"/>
      <c r="H138" s="602"/>
      <c r="I138" s="602"/>
      <c r="L138" s="603"/>
      <c r="M138" s="603"/>
    </row>
    <row r="139" spans="1:13" s="596" customFormat="1" ht="12.75">
      <c r="A139" s="1570"/>
      <c r="F139" s="602"/>
      <c r="G139" s="602"/>
      <c r="H139" s="602"/>
      <c r="I139" s="602"/>
      <c r="L139" s="603"/>
      <c r="M139" s="603"/>
    </row>
    <row r="140" spans="1:13" s="596" customFormat="1" ht="12.75">
      <c r="A140" s="1570"/>
      <c r="F140" s="602"/>
      <c r="G140" s="602"/>
      <c r="H140" s="602"/>
      <c r="I140" s="602"/>
      <c r="L140" s="603"/>
      <c r="M140" s="603"/>
    </row>
    <row r="141" spans="1:13" s="596" customFormat="1" ht="12.75">
      <c r="A141" s="1570"/>
      <c r="F141" s="602"/>
      <c r="G141" s="602"/>
      <c r="H141" s="602"/>
      <c r="I141" s="602"/>
      <c r="L141" s="603"/>
      <c r="M141" s="603"/>
    </row>
    <row r="142" spans="1:13" s="596" customFormat="1" ht="12.75">
      <c r="A142" s="1570"/>
      <c r="F142" s="602"/>
      <c r="G142" s="602"/>
      <c r="H142" s="602"/>
      <c r="I142" s="602"/>
      <c r="L142" s="603"/>
      <c r="M142" s="603"/>
    </row>
    <row r="143" spans="1:13" s="596" customFormat="1" ht="12.75">
      <c r="A143" s="1570"/>
      <c r="F143" s="602"/>
      <c r="G143" s="602"/>
      <c r="H143" s="602"/>
      <c r="I143" s="602"/>
      <c r="L143" s="603"/>
      <c r="M143" s="603"/>
    </row>
    <row r="144" spans="1:13" s="596" customFormat="1" ht="12.75">
      <c r="A144" s="1570"/>
      <c r="F144" s="602"/>
      <c r="G144" s="602"/>
      <c r="H144" s="602"/>
      <c r="I144" s="602"/>
      <c r="L144" s="603"/>
      <c r="M144" s="603"/>
    </row>
    <row r="145" spans="1:13" s="596" customFormat="1" ht="12.75">
      <c r="A145" s="1570"/>
      <c r="F145" s="602"/>
      <c r="G145" s="602"/>
      <c r="H145" s="602"/>
      <c r="I145" s="602"/>
      <c r="L145" s="603"/>
      <c r="M145" s="603"/>
    </row>
    <row r="146" spans="1:13" s="596" customFormat="1" ht="12.75">
      <c r="A146" s="1570"/>
      <c r="F146" s="602"/>
      <c r="G146" s="602"/>
      <c r="H146" s="602"/>
      <c r="I146" s="602"/>
      <c r="L146" s="603"/>
      <c r="M146" s="603"/>
    </row>
    <row r="147" spans="1:13" s="596" customFormat="1" ht="12.75">
      <c r="A147" s="1570"/>
      <c r="F147" s="602"/>
      <c r="G147" s="602"/>
      <c r="H147" s="602"/>
      <c r="I147" s="602"/>
      <c r="L147" s="603"/>
      <c r="M147" s="603"/>
    </row>
    <row r="148" spans="1:13" s="596" customFormat="1" ht="12.75">
      <c r="A148" s="1570"/>
      <c r="F148" s="602"/>
      <c r="G148" s="602"/>
      <c r="H148" s="602"/>
      <c r="I148" s="602"/>
      <c r="L148" s="603"/>
      <c r="M148" s="603"/>
    </row>
    <row r="149" spans="1:13" s="596" customFormat="1" ht="12.75">
      <c r="A149" s="1570"/>
      <c r="F149" s="602"/>
      <c r="G149" s="602"/>
      <c r="H149" s="602"/>
      <c r="I149" s="602"/>
      <c r="L149" s="603"/>
      <c r="M149" s="603"/>
    </row>
    <row r="150" spans="1:13" s="596" customFormat="1" ht="12.75">
      <c r="A150" s="1570"/>
      <c r="F150" s="602"/>
      <c r="G150" s="602"/>
      <c r="H150" s="602"/>
      <c r="I150" s="602"/>
      <c r="L150" s="603"/>
      <c r="M150" s="603"/>
    </row>
    <row r="151" spans="1:13" s="596" customFormat="1" ht="12.75">
      <c r="A151" s="1570"/>
      <c r="F151" s="602"/>
      <c r="G151" s="602"/>
      <c r="H151" s="602"/>
      <c r="I151" s="602"/>
      <c r="L151" s="603"/>
      <c r="M151" s="603"/>
    </row>
    <row r="152" spans="1:13" s="596" customFormat="1" ht="12.75">
      <c r="A152" s="1570"/>
      <c r="F152" s="602"/>
      <c r="G152" s="602"/>
      <c r="H152" s="602"/>
      <c r="I152" s="602"/>
      <c r="L152" s="603"/>
      <c r="M152" s="603"/>
    </row>
    <row r="153" spans="1:13" s="596" customFormat="1" ht="12.75">
      <c r="A153" s="1570"/>
      <c r="F153" s="602"/>
      <c r="G153" s="602"/>
      <c r="H153" s="602"/>
      <c r="I153" s="602"/>
      <c r="L153" s="603"/>
      <c r="M153" s="603"/>
    </row>
    <row r="154" spans="1:13" s="596" customFormat="1" ht="12.75">
      <c r="A154" s="1570"/>
      <c r="F154" s="602"/>
      <c r="G154" s="602"/>
      <c r="H154" s="602"/>
      <c r="I154" s="602"/>
      <c r="L154" s="603"/>
      <c r="M154" s="603"/>
    </row>
    <row r="155" spans="1:13" s="596" customFormat="1" ht="12.75">
      <c r="A155" s="1570"/>
      <c r="F155" s="602"/>
      <c r="G155" s="602"/>
      <c r="H155" s="602"/>
      <c r="I155" s="602"/>
      <c r="L155" s="603"/>
      <c r="M155" s="603"/>
    </row>
    <row r="156" spans="1:13" customFormat="1" ht="12.75">
      <c r="A156" s="1571"/>
      <c r="F156" s="1"/>
      <c r="G156" s="1"/>
      <c r="H156" s="1"/>
      <c r="I156" s="1"/>
      <c r="L156" s="302"/>
      <c r="M156" s="302"/>
    </row>
    <row r="157" spans="1:13" customFormat="1" ht="12.75">
      <c r="A157" s="1571"/>
      <c r="F157" s="1"/>
      <c r="G157" s="1"/>
      <c r="H157" s="1"/>
      <c r="I157" s="1"/>
      <c r="L157" s="302"/>
      <c r="M157" s="302"/>
    </row>
    <row r="158" spans="1:13" customFormat="1" ht="12.75">
      <c r="A158" s="1571"/>
      <c r="F158" s="1"/>
      <c r="G158" s="1"/>
      <c r="H158" s="1"/>
      <c r="I158" s="1"/>
      <c r="L158" s="302"/>
      <c r="M158" s="302"/>
    </row>
    <row r="159" spans="1:13" customFormat="1" ht="12.75">
      <c r="A159" s="1571"/>
      <c r="F159" s="1"/>
      <c r="G159" s="1"/>
      <c r="H159" s="1"/>
      <c r="I159" s="1"/>
      <c r="L159" s="302"/>
      <c r="M159" s="302"/>
    </row>
    <row r="160" spans="1:13" customFormat="1" ht="12.75">
      <c r="A160" s="1571"/>
      <c r="F160" s="1"/>
      <c r="G160" s="1"/>
      <c r="H160" s="1"/>
      <c r="I160" s="1"/>
      <c r="L160" s="302"/>
      <c r="M160" s="302"/>
    </row>
    <row r="161" spans="1:13" customFormat="1" ht="12.75">
      <c r="A161" s="1571"/>
      <c r="F161" s="1"/>
      <c r="G161" s="1"/>
      <c r="H161" s="1"/>
      <c r="I161" s="1"/>
      <c r="L161" s="302"/>
      <c r="M161" s="302"/>
    </row>
    <row r="162" spans="1:13" customFormat="1" ht="12.75">
      <c r="A162" s="1571"/>
      <c r="F162" s="1"/>
      <c r="G162" s="1"/>
      <c r="H162" s="1"/>
      <c r="I162" s="1"/>
      <c r="L162" s="302"/>
      <c r="M162" s="302"/>
    </row>
    <row r="163" spans="1:13" customFormat="1" ht="12.75">
      <c r="A163" s="1571"/>
      <c r="F163" s="1"/>
      <c r="G163" s="1"/>
      <c r="H163" s="1"/>
      <c r="I163" s="1"/>
      <c r="L163" s="302"/>
      <c r="M163" s="302"/>
    </row>
    <row r="164" spans="1:13" customFormat="1" ht="12.75">
      <c r="A164" s="1571"/>
      <c r="F164" s="1"/>
      <c r="G164" s="1"/>
      <c r="H164" s="1"/>
      <c r="I164" s="1"/>
      <c r="L164" s="302"/>
      <c r="M164" s="302"/>
    </row>
    <row r="165" spans="1:13" customFormat="1" ht="12.75">
      <c r="A165" s="1571"/>
      <c r="F165" s="1"/>
      <c r="G165" s="1"/>
      <c r="H165" s="1"/>
      <c r="I165" s="1"/>
      <c r="L165" s="302"/>
      <c r="M165" s="302"/>
    </row>
    <row r="166" spans="1:13" customFormat="1" ht="12.75">
      <c r="A166" s="1571"/>
      <c r="F166" s="1"/>
      <c r="G166" s="1"/>
      <c r="H166" s="1"/>
      <c r="I166" s="1"/>
      <c r="L166" s="302"/>
      <c r="M166" s="302"/>
    </row>
    <row r="167" spans="1:13" customFormat="1" ht="12.75">
      <c r="A167" s="1571"/>
      <c r="F167" s="1"/>
      <c r="G167" s="1"/>
      <c r="H167" s="1"/>
      <c r="I167" s="1"/>
      <c r="L167" s="302"/>
      <c r="M167" s="302"/>
    </row>
    <row r="168" spans="1:13" customFormat="1" ht="12.75">
      <c r="A168" s="1571"/>
      <c r="F168" s="1"/>
      <c r="G168" s="1"/>
      <c r="H168" s="1"/>
      <c r="I168" s="1"/>
      <c r="L168" s="302"/>
      <c r="M168" s="302"/>
    </row>
    <row r="169" spans="1:13" customFormat="1" ht="12.75">
      <c r="A169" s="1571"/>
      <c r="F169" s="1"/>
      <c r="G169" s="1"/>
      <c r="H169" s="1"/>
      <c r="I169" s="1"/>
      <c r="L169" s="302"/>
      <c r="M169" s="302"/>
    </row>
    <row r="170" spans="1:13" customFormat="1" ht="12.75">
      <c r="A170" s="1571"/>
      <c r="F170" s="1"/>
      <c r="G170" s="1"/>
      <c r="H170" s="1"/>
      <c r="I170" s="1"/>
      <c r="L170" s="302"/>
      <c r="M170" s="302"/>
    </row>
    <row r="171" spans="1:13" customFormat="1" ht="12.75">
      <c r="A171" s="1571"/>
      <c r="F171" s="1"/>
      <c r="G171" s="1"/>
      <c r="H171" s="1"/>
      <c r="I171" s="1"/>
      <c r="L171" s="302"/>
      <c r="M171" s="302"/>
    </row>
    <row r="172" spans="1:13" customFormat="1" ht="12.75">
      <c r="A172" s="1571"/>
      <c r="F172" s="1"/>
      <c r="G172" s="1"/>
      <c r="H172" s="1"/>
      <c r="I172" s="1"/>
      <c r="L172" s="302"/>
      <c r="M172" s="302"/>
    </row>
    <row r="173" spans="1:13" customFormat="1" ht="12.75">
      <c r="A173" s="1571"/>
      <c r="F173" s="1"/>
      <c r="G173" s="1"/>
      <c r="H173" s="1"/>
      <c r="I173" s="1"/>
      <c r="L173" s="302"/>
      <c r="M173" s="302"/>
    </row>
    <row r="174" spans="1:13" customFormat="1" ht="12.75">
      <c r="A174" s="1571"/>
      <c r="F174" s="1"/>
      <c r="G174" s="1"/>
      <c r="H174" s="1"/>
      <c r="I174" s="1"/>
      <c r="L174" s="302"/>
      <c r="M174" s="302"/>
    </row>
    <row r="175" spans="1:13" customFormat="1" ht="12.75">
      <c r="A175" s="1571"/>
      <c r="F175" s="1"/>
      <c r="G175" s="1"/>
      <c r="H175" s="1"/>
      <c r="I175" s="1"/>
      <c r="L175" s="302"/>
      <c r="M175" s="302"/>
    </row>
    <row r="176" spans="1:13" customFormat="1" ht="12.75">
      <c r="A176" s="1571"/>
      <c r="F176" s="1"/>
      <c r="G176" s="1"/>
      <c r="H176" s="1"/>
      <c r="I176" s="1"/>
      <c r="L176" s="302"/>
      <c r="M176" s="302"/>
    </row>
    <row r="177" spans="1:13" customFormat="1" ht="12.75">
      <c r="A177" s="1571"/>
      <c r="F177" s="1"/>
      <c r="G177" s="1"/>
      <c r="H177" s="1"/>
      <c r="I177" s="1"/>
      <c r="L177" s="302"/>
      <c r="M177" s="302"/>
    </row>
    <row r="178" spans="1:13" customFormat="1" ht="12.75">
      <c r="A178" s="1571"/>
      <c r="F178" s="1"/>
      <c r="G178" s="1"/>
      <c r="H178" s="1"/>
      <c r="I178" s="1"/>
      <c r="L178" s="302"/>
      <c r="M178" s="302"/>
    </row>
    <row r="179" spans="1:13" customFormat="1" ht="12.75">
      <c r="A179" s="1571"/>
      <c r="F179" s="1"/>
      <c r="G179" s="1"/>
      <c r="H179" s="1"/>
      <c r="I179" s="1"/>
      <c r="L179" s="302"/>
      <c r="M179" s="302"/>
    </row>
    <row r="180" spans="1:13" customFormat="1" ht="12.75">
      <c r="A180" s="1571"/>
      <c r="F180" s="1"/>
      <c r="G180" s="1"/>
      <c r="H180" s="1"/>
      <c r="I180" s="1"/>
      <c r="L180" s="302"/>
      <c r="M180" s="302"/>
    </row>
    <row r="181" spans="1:13" customFormat="1" ht="12.75">
      <c r="A181" s="1571"/>
      <c r="F181" s="1"/>
      <c r="G181" s="1"/>
      <c r="H181" s="1"/>
      <c r="I181" s="1"/>
      <c r="L181" s="302"/>
      <c r="M181" s="302"/>
    </row>
    <row r="182" spans="1:13" customFormat="1" ht="12.75">
      <c r="A182" s="1571"/>
      <c r="F182" s="1"/>
      <c r="G182" s="1"/>
      <c r="H182" s="1"/>
      <c r="I182" s="1"/>
      <c r="L182" s="302"/>
      <c r="M182" s="302"/>
    </row>
    <row r="183" spans="1:13" customFormat="1" ht="12.75">
      <c r="A183" s="1571"/>
      <c r="F183" s="1"/>
      <c r="G183" s="1"/>
      <c r="H183" s="1"/>
      <c r="I183" s="1"/>
      <c r="L183" s="302"/>
      <c r="M183" s="302"/>
    </row>
    <row r="184" spans="1:13" customFormat="1" ht="12.75">
      <c r="A184" s="1571"/>
      <c r="F184" s="1"/>
      <c r="G184" s="1"/>
      <c r="H184" s="1"/>
      <c r="I184" s="1"/>
      <c r="L184" s="302"/>
      <c r="M184" s="302"/>
    </row>
    <row r="185" spans="1:13" customFormat="1" ht="12.75">
      <c r="A185" s="1571"/>
      <c r="F185" s="1"/>
      <c r="G185" s="1"/>
      <c r="H185" s="1"/>
      <c r="I185" s="1"/>
      <c r="L185" s="302"/>
      <c r="M185" s="302"/>
    </row>
    <row r="186" spans="1:13" customFormat="1" ht="12.75">
      <c r="A186" s="1571"/>
      <c r="F186" s="1"/>
      <c r="G186" s="1"/>
      <c r="H186" s="1"/>
      <c r="I186" s="1"/>
      <c r="L186" s="302"/>
      <c r="M186" s="302"/>
    </row>
    <row r="187" spans="1:13" customFormat="1" ht="12.75">
      <c r="A187" s="1571"/>
      <c r="F187" s="1"/>
      <c r="G187" s="1"/>
      <c r="H187" s="1"/>
      <c r="I187" s="1"/>
      <c r="L187" s="302"/>
      <c r="M187" s="302"/>
    </row>
    <row r="188" spans="1:13" customFormat="1" ht="12.75">
      <c r="A188" s="1571"/>
      <c r="F188" s="1"/>
      <c r="G188" s="1"/>
      <c r="H188" s="1"/>
      <c r="I188" s="1"/>
      <c r="L188" s="302"/>
      <c r="M188" s="302"/>
    </row>
    <row r="189" spans="1:13" customFormat="1" ht="12.75">
      <c r="A189" s="1571"/>
      <c r="F189" s="1"/>
      <c r="G189" s="1"/>
      <c r="H189" s="1"/>
      <c r="I189" s="1"/>
      <c r="L189" s="302"/>
      <c r="M189" s="302"/>
    </row>
    <row r="190" spans="1:13" customFormat="1" ht="12.75">
      <c r="A190" s="1571"/>
      <c r="F190" s="1"/>
      <c r="G190" s="1"/>
      <c r="H190" s="1"/>
      <c r="I190" s="1"/>
      <c r="L190" s="302"/>
      <c r="M190" s="302"/>
    </row>
    <row r="191" spans="1:13" customFormat="1" ht="12.75">
      <c r="A191" s="1571"/>
      <c r="F191" s="1"/>
      <c r="G191" s="1"/>
      <c r="H191" s="1"/>
      <c r="I191" s="1"/>
      <c r="L191" s="302"/>
      <c r="M191" s="302"/>
    </row>
    <row r="192" spans="1:13" customFormat="1" ht="12.75">
      <c r="A192" s="1571"/>
      <c r="F192" s="1"/>
      <c r="G192" s="1"/>
      <c r="H192" s="1"/>
      <c r="I192" s="1"/>
      <c r="L192" s="302"/>
      <c r="M192" s="302"/>
    </row>
    <row r="193" spans="1:13" customFormat="1" ht="12.75">
      <c r="A193" s="1571"/>
      <c r="F193" s="1"/>
      <c r="G193" s="1"/>
      <c r="H193" s="1"/>
      <c r="I193" s="1"/>
      <c r="L193" s="302"/>
      <c r="M193" s="302"/>
    </row>
    <row r="194" spans="1:13" customFormat="1" ht="12.75">
      <c r="A194" s="1571"/>
      <c r="F194" s="1"/>
      <c r="G194" s="1"/>
      <c r="H194" s="1"/>
      <c r="I194" s="1"/>
      <c r="L194" s="302"/>
      <c r="M194" s="302"/>
    </row>
    <row r="195" spans="1:13" customFormat="1" ht="12.75">
      <c r="A195" s="1571"/>
      <c r="F195" s="1"/>
      <c r="G195" s="1"/>
      <c r="H195" s="1"/>
      <c r="I195" s="1"/>
      <c r="L195" s="302"/>
      <c r="M195" s="302"/>
    </row>
    <row r="196" spans="1:13" customFormat="1" ht="12.75">
      <c r="A196" s="1571"/>
      <c r="F196" s="1"/>
      <c r="G196" s="1"/>
      <c r="H196" s="1"/>
      <c r="I196" s="1"/>
      <c r="L196" s="302"/>
      <c r="M196" s="302"/>
    </row>
    <row r="197" spans="1:13" customFormat="1" ht="12.75">
      <c r="A197" s="1571"/>
      <c r="F197" s="1"/>
      <c r="G197" s="1"/>
      <c r="H197" s="1"/>
      <c r="I197" s="1"/>
      <c r="L197" s="302"/>
      <c r="M197" s="302"/>
    </row>
    <row r="198" spans="1:13" customFormat="1" ht="12.75">
      <c r="A198" s="1571"/>
      <c r="F198" s="1"/>
      <c r="G198" s="1"/>
      <c r="H198" s="1"/>
      <c r="I198" s="1"/>
      <c r="L198" s="302"/>
      <c r="M198" s="302"/>
    </row>
    <row r="199" spans="1:13" customFormat="1" ht="12.75">
      <c r="A199" s="1571"/>
      <c r="F199" s="1"/>
      <c r="G199" s="1"/>
      <c r="H199" s="1"/>
      <c r="I199" s="1"/>
      <c r="L199" s="302"/>
      <c r="M199" s="302"/>
    </row>
    <row r="200" spans="1:13" customFormat="1" ht="12.75">
      <c r="A200" s="1571"/>
      <c r="F200" s="1"/>
      <c r="G200" s="1"/>
      <c r="H200" s="1"/>
      <c r="I200" s="1"/>
      <c r="L200" s="302"/>
      <c r="M200" s="302"/>
    </row>
    <row r="201" spans="1:13" customFormat="1" ht="12.75">
      <c r="A201" s="1571"/>
      <c r="F201" s="1"/>
      <c r="G201" s="1"/>
      <c r="H201" s="1"/>
      <c r="I201" s="1"/>
      <c r="L201" s="302"/>
      <c r="M201" s="302"/>
    </row>
    <row r="202" spans="1:13" customFormat="1" ht="12.75">
      <c r="A202" s="1571"/>
      <c r="F202" s="1"/>
      <c r="G202" s="1"/>
      <c r="H202" s="1"/>
      <c r="I202" s="1"/>
      <c r="L202" s="302"/>
      <c r="M202" s="302"/>
    </row>
    <row r="203" spans="1:13" customFormat="1" ht="12.75">
      <c r="A203" s="1571"/>
      <c r="F203" s="1"/>
      <c r="G203" s="1"/>
      <c r="H203" s="1"/>
      <c r="I203" s="1"/>
      <c r="L203" s="302"/>
      <c r="M203" s="302"/>
    </row>
    <row r="204" spans="1:13" customFormat="1" ht="12.75">
      <c r="A204" s="1571"/>
      <c r="F204" s="1"/>
      <c r="G204" s="1"/>
      <c r="H204" s="1"/>
      <c r="I204" s="1"/>
      <c r="L204" s="302"/>
      <c r="M204" s="302"/>
    </row>
    <row r="205" spans="1:13" customFormat="1" ht="12.75">
      <c r="A205" s="1571"/>
      <c r="F205" s="1"/>
      <c r="G205" s="1"/>
      <c r="H205" s="1"/>
      <c r="I205" s="1"/>
      <c r="L205" s="302"/>
      <c r="M205" s="302"/>
    </row>
    <row r="206" spans="1:13" customFormat="1" ht="12.75">
      <c r="A206" s="1571"/>
      <c r="F206" s="1"/>
      <c r="G206" s="1"/>
      <c r="H206" s="1"/>
      <c r="I206" s="1"/>
      <c r="L206" s="302"/>
      <c r="M206" s="302"/>
    </row>
    <row r="207" spans="1:13" customFormat="1" ht="12.75">
      <c r="A207" s="1571"/>
      <c r="F207" s="1"/>
      <c r="G207" s="1"/>
      <c r="H207" s="1"/>
      <c r="I207" s="1"/>
      <c r="L207" s="302"/>
      <c r="M207" s="302"/>
    </row>
    <row r="208" spans="1:13" customFormat="1" ht="12.75">
      <c r="A208" s="1571"/>
      <c r="F208" s="1"/>
      <c r="G208" s="1"/>
      <c r="H208" s="1"/>
      <c r="I208" s="1"/>
      <c r="L208" s="302"/>
      <c r="M208" s="302"/>
    </row>
    <row r="209" spans="1:13" customFormat="1" ht="12.75">
      <c r="A209" s="1571"/>
      <c r="F209" s="1"/>
      <c r="G209" s="1"/>
      <c r="H209" s="1"/>
      <c r="I209" s="1"/>
      <c r="L209" s="302"/>
      <c r="M209" s="302"/>
    </row>
    <row r="210" spans="1:13" customFormat="1" ht="12.75">
      <c r="A210" s="1571"/>
      <c r="F210" s="1"/>
      <c r="G210" s="1"/>
      <c r="H210" s="1"/>
      <c r="I210" s="1"/>
      <c r="L210" s="302"/>
      <c r="M210" s="302"/>
    </row>
    <row r="211" spans="1:13" customFormat="1" ht="12.75">
      <c r="A211" s="1571"/>
      <c r="F211" s="1"/>
      <c r="G211" s="1"/>
      <c r="H211" s="1"/>
      <c r="I211" s="1"/>
      <c r="L211" s="302"/>
      <c r="M211" s="302"/>
    </row>
    <row r="212" spans="1:13" customFormat="1" ht="12.75">
      <c r="A212" s="1571"/>
      <c r="F212" s="1"/>
      <c r="G212" s="1"/>
      <c r="H212" s="1"/>
      <c r="I212" s="1"/>
      <c r="L212" s="302"/>
      <c r="M212" s="302"/>
    </row>
    <row r="213" spans="1:13" customFormat="1" ht="12.75">
      <c r="A213" s="1571"/>
      <c r="F213" s="1"/>
      <c r="G213" s="1"/>
      <c r="H213" s="1"/>
      <c r="I213" s="1"/>
      <c r="L213" s="302"/>
      <c r="M213" s="302"/>
    </row>
    <row r="214" spans="1:13" customFormat="1" ht="12.75">
      <c r="A214" s="1571"/>
      <c r="F214" s="1"/>
      <c r="G214" s="1"/>
      <c r="H214" s="1"/>
      <c r="I214" s="1"/>
      <c r="L214" s="302"/>
      <c r="M214" s="302"/>
    </row>
    <row r="215" spans="1:13" customFormat="1" ht="12.75">
      <c r="A215" s="1571"/>
      <c r="F215" s="1"/>
      <c r="G215" s="1"/>
      <c r="H215" s="1"/>
      <c r="I215" s="1"/>
      <c r="L215" s="302"/>
      <c r="M215" s="302"/>
    </row>
    <row r="216" spans="1:13" customFormat="1" ht="12.75">
      <c r="A216" s="1571"/>
      <c r="F216" s="1"/>
      <c r="G216" s="1"/>
      <c r="H216" s="1"/>
      <c r="I216" s="1"/>
      <c r="L216" s="302"/>
      <c r="M216" s="302"/>
    </row>
    <row r="217" spans="1:13" customFormat="1" ht="12.75">
      <c r="A217" s="1571"/>
      <c r="F217" s="1"/>
      <c r="G217" s="1"/>
      <c r="H217" s="1"/>
      <c r="I217" s="1"/>
      <c r="L217" s="302"/>
      <c r="M217" s="302"/>
    </row>
    <row r="218" spans="1:13" customFormat="1" ht="12.75">
      <c r="A218" s="1571"/>
      <c r="F218" s="1"/>
      <c r="G218" s="1"/>
      <c r="H218" s="1"/>
      <c r="I218" s="1"/>
      <c r="L218" s="302"/>
      <c r="M218" s="302"/>
    </row>
    <row r="219" spans="1:13" customFormat="1" ht="12.75">
      <c r="A219" s="1571"/>
      <c r="F219" s="1"/>
      <c r="G219" s="1"/>
      <c r="H219" s="1"/>
      <c r="I219" s="1"/>
      <c r="L219" s="302"/>
      <c r="M219" s="302"/>
    </row>
    <row r="220" spans="1:13" customFormat="1" ht="12.75">
      <c r="A220" s="1571"/>
      <c r="F220" s="1"/>
      <c r="G220" s="1"/>
      <c r="H220" s="1"/>
      <c r="I220" s="1"/>
      <c r="L220" s="302"/>
      <c r="M220" s="302"/>
    </row>
    <row r="221" spans="1:13" customFormat="1" ht="12.75">
      <c r="A221" s="1571"/>
      <c r="F221" s="1"/>
      <c r="G221" s="1"/>
      <c r="H221" s="1"/>
      <c r="I221" s="1"/>
      <c r="L221" s="302"/>
      <c r="M221" s="302"/>
    </row>
    <row r="222" spans="1:13" customFormat="1" ht="12.75">
      <c r="A222" s="1571"/>
      <c r="F222" s="1"/>
      <c r="G222" s="1"/>
      <c r="H222" s="1"/>
      <c r="I222" s="1"/>
      <c r="L222" s="302"/>
      <c r="M222" s="302"/>
    </row>
    <row r="223" spans="1:13" customFormat="1" ht="12.75">
      <c r="A223" s="1571"/>
      <c r="F223" s="1"/>
      <c r="G223" s="1"/>
      <c r="H223" s="1"/>
      <c r="I223" s="1"/>
      <c r="L223" s="302"/>
      <c r="M223" s="302"/>
    </row>
    <row r="224" spans="1:13" customFormat="1" ht="12.75">
      <c r="A224" s="1571"/>
      <c r="F224" s="1"/>
      <c r="G224" s="1"/>
      <c r="H224" s="1"/>
      <c r="I224" s="1"/>
      <c r="L224" s="302"/>
      <c r="M224" s="302"/>
    </row>
    <row r="225" spans="1:13" customFormat="1" ht="12.75">
      <c r="A225" s="1571"/>
      <c r="F225" s="1"/>
      <c r="G225" s="1"/>
      <c r="H225" s="1"/>
      <c r="I225" s="1"/>
      <c r="L225" s="302"/>
      <c r="M225" s="302"/>
    </row>
    <row r="226" spans="1:13" customFormat="1" ht="12.75">
      <c r="A226" s="1571"/>
      <c r="F226" s="1"/>
      <c r="G226" s="1"/>
      <c r="H226" s="1"/>
      <c r="I226" s="1"/>
      <c r="L226" s="302"/>
      <c r="M226" s="302"/>
    </row>
    <row r="227" spans="1:13" customFormat="1" ht="12.75">
      <c r="A227" s="1571"/>
      <c r="F227" s="1"/>
      <c r="G227" s="1"/>
      <c r="H227" s="1"/>
      <c r="I227" s="1"/>
      <c r="L227" s="302"/>
      <c r="M227" s="302"/>
    </row>
    <row r="228" spans="1:13" customFormat="1" ht="12.75">
      <c r="A228" s="1571"/>
      <c r="F228" s="1"/>
      <c r="G228" s="1"/>
      <c r="H228" s="1"/>
      <c r="I228" s="1"/>
      <c r="L228" s="302"/>
      <c r="M228" s="302"/>
    </row>
    <row r="229" spans="1:13" customFormat="1" ht="12.75">
      <c r="A229" s="1571"/>
      <c r="F229" s="1"/>
      <c r="G229" s="1"/>
      <c r="H229" s="1"/>
      <c r="I229" s="1"/>
      <c r="L229" s="302"/>
      <c r="M229" s="302"/>
    </row>
    <row r="230" spans="1:13" customFormat="1" ht="12.75">
      <c r="A230" s="1571"/>
      <c r="F230" s="1"/>
      <c r="G230" s="1"/>
      <c r="H230" s="1"/>
      <c r="I230" s="1"/>
      <c r="L230" s="302"/>
      <c r="M230" s="302"/>
    </row>
    <row r="231" spans="1:13" customFormat="1" ht="12.75">
      <c r="A231" s="1571"/>
      <c r="F231" s="1"/>
      <c r="G231" s="1"/>
      <c r="H231" s="1"/>
      <c r="I231" s="1"/>
      <c r="L231" s="302"/>
      <c r="M231" s="302"/>
    </row>
    <row r="232" spans="1:13" customFormat="1" ht="12.75">
      <c r="A232" s="1571"/>
      <c r="F232" s="1"/>
      <c r="G232" s="1"/>
      <c r="H232" s="1"/>
      <c r="I232" s="1"/>
      <c r="L232" s="302"/>
      <c r="M232" s="302"/>
    </row>
    <row r="233" spans="1:13" customFormat="1" ht="12.75">
      <c r="A233" s="1571"/>
      <c r="F233" s="1"/>
      <c r="G233" s="1"/>
      <c r="H233" s="1"/>
      <c r="I233" s="1"/>
      <c r="L233" s="302"/>
      <c r="M233" s="302"/>
    </row>
    <row r="234" spans="1:13" customFormat="1" ht="12.75">
      <c r="A234" s="1571"/>
      <c r="F234" s="1"/>
      <c r="G234" s="1"/>
      <c r="H234" s="1"/>
      <c r="I234" s="1"/>
      <c r="L234" s="302"/>
      <c r="M234" s="302"/>
    </row>
    <row r="235" spans="1:13" customFormat="1" ht="12.75">
      <c r="A235" s="1571"/>
      <c r="F235" s="1"/>
      <c r="G235" s="1"/>
      <c r="H235" s="1"/>
      <c r="I235" s="1"/>
      <c r="L235" s="302"/>
      <c r="M235" s="302"/>
    </row>
    <row r="236" spans="1:13" customFormat="1" ht="12.75">
      <c r="A236" s="1571"/>
      <c r="F236" s="1"/>
      <c r="G236" s="1"/>
      <c r="H236" s="1"/>
      <c r="I236" s="1"/>
      <c r="L236" s="302"/>
      <c r="M236" s="302"/>
    </row>
    <row r="237" spans="1:13" customFormat="1" ht="12.75">
      <c r="A237" s="1571"/>
      <c r="F237" s="1"/>
      <c r="G237" s="1"/>
      <c r="H237" s="1"/>
      <c r="I237" s="1"/>
      <c r="L237" s="302"/>
      <c r="M237" s="302"/>
    </row>
    <row r="238" spans="1:13" customFormat="1" ht="12.75">
      <c r="A238" s="1571"/>
      <c r="F238" s="1"/>
      <c r="G238" s="1"/>
      <c r="H238" s="1"/>
      <c r="I238" s="1"/>
      <c r="L238" s="302"/>
      <c r="M238" s="302"/>
    </row>
    <row r="239" spans="1:13" customFormat="1" ht="12.75">
      <c r="A239" s="1571"/>
      <c r="F239" s="1"/>
      <c r="G239" s="1"/>
      <c r="H239" s="1"/>
      <c r="I239" s="1"/>
      <c r="L239" s="302"/>
      <c r="M239" s="302"/>
    </row>
    <row r="240" spans="1:13" customFormat="1" ht="12.75">
      <c r="A240" s="1571"/>
      <c r="F240" s="1"/>
      <c r="G240" s="1"/>
      <c r="H240" s="1"/>
      <c r="I240" s="1"/>
      <c r="L240" s="302"/>
      <c r="M240" s="302"/>
    </row>
    <row r="241" spans="1:13" customFormat="1" ht="12.75">
      <c r="A241" s="1571"/>
      <c r="F241" s="1"/>
      <c r="G241" s="1"/>
      <c r="H241" s="1"/>
      <c r="I241" s="1"/>
      <c r="L241" s="302"/>
      <c r="M241" s="302"/>
    </row>
    <row r="242" spans="1:13" customFormat="1" ht="12.75">
      <c r="A242" s="1571"/>
      <c r="F242" s="1"/>
      <c r="G242" s="1"/>
      <c r="H242" s="1"/>
      <c r="I242" s="1"/>
      <c r="L242" s="302"/>
      <c r="M242" s="302"/>
    </row>
    <row r="243" spans="1:13" customFormat="1" ht="12.75">
      <c r="A243" s="1571"/>
      <c r="F243" s="1"/>
      <c r="G243" s="1"/>
      <c r="H243" s="1"/>
      <c r="I243" s="1"/>
      <c r="L243" s="302"/>
      <c r="M243" s="302"/>
    </row>
    <row r="244" spans="1:13" customFormat="1" ht="12.75">
      <c r="A244" s="1571"/>
      <c r="F244" s="1"/>
      <c r="G244" s="1"/>
      <c r="H244" s="1"/>
      <c r="I244" s="1"/>
      <c r="L244" s="302"/>
      <c r="M244" s="302"/>
    </row>
    <row r="245" spans="1:13" customFormat="1" ht="12.75">
      <c r="A245" s="1571"/>
      <c r="F245" s="1"/>
      <c r="G245" s="1"/>
      <c r="H245" s="1"/>
      <c r="I245" s="1"/>
      <c r="L245" s="302"/>
      <c r="M245" s="302"/>
    </row>
    <row r="246" spans="1:13" customFormat="1" ht="12.75">
      <c r="A246" s="1571"/>
      <c r="F246" s="1"/>
      <c r="G246" s="1"/>
      <c r="H246" s="1"/>
      <c r="I246" s="1"/>
      <c r="L246" s="302"/>
      <c r="M246" s="302"/>
    </row>
    <row r="247" spans="1:13" customFormat="1" ht="12.75">
      <c r="A247" s="1571"/>
      <c r="F247" s="1"/>
      <c r="G247" s="1"/>
      <c r="H247" s="1"/>
      <c r="I247" s="1"/>
      <c r="L247" s="302"/>
      <c r="M247" s="302"/>
    </row>
    <row r="248" spans="1:13" customFormat="1" ht="12.75">
      <c r="A248" s="1571"/>
      <c r="F248" s="1"/>
      <c r="G248" s="1"/>
      <c r="H248" s="1"/>
      <c r="I248" s="1"/>
      <c r="L248" s="302"/>
      <c r="M248" s="302"/>
    </row>
    <row r="249" spans="1:13" customFormat="1" ht="12.75">
      <c r="A249" s="1571"/>
      <c r="F249" s="1"/>
      <c r="G249" s="1"/>
      <c r="H249" s="1"/>
      <c r="I249" s="1"/>
      <c r="L249" s="302"/>
      <c r="M249" s="302"/>
    </row>
    <row r="250" spans="1:13" customFormat="1" ht="12.75">
      <c r="A250" s="1571"/>
      <c r="F250" s="1"/>
      <c r="G250" s="1"/>
      <c r="H250" s="1"/>
      <c r="I250" s="1"/>
      <c r="L250" s="302"/>
      <c r="M250" s="302"/>
    </row>
    <row r="251" spans="1:13" customFormat="1" ht="12.75">
      <c r="A251" s="1571"/>
      <c r="F251" s="1"/>
      <c r="G251" s="1"/>
      <c r="H251" s="1"/>
      <c r="I251" s="1"/>
      <c r="L251" s="302"/>
      <c r="M251" s="302"/>
    </row>
    <row r="252" spans="1:13" customFormat="1" ht="12.75">
      <c r="A252" s="1571"/>
      <c r="F252" s="1"/>
      <c r="G252" s="1"/>
      <c r="H252" s="1"/>
      <c r="I252" s="1"/>
      <c r="L252" s="302"/>
      <c r="M252" s="302"/>
    </row>
    <row r="253" spans="1:13" customFormat="1" ht="12.75">
      <c r="A253" s="1571"/>
      <c r="F253" s="1"/>
      <c r="G253" s="1"/>
      <c r="H253" s="1"/>
      <c r="I253" s="1"/>
      <c r="L253" s="302"/>
      <c r="M253" s="302"/>
    </row>
    <row r="254" spans="1:13" customFormat="1" ht="12.75">
      <c r="A254" s="1571"/>
      <c r="F254" s="1"/>
      <c r="G254" s="1"/>
      <c r="H254" s="1"/>
      <c r="I254" s="1"/>
      <c r="L254" s="302"/>
      <c r="M254" s="302"/>
    </row>
    <row r="255" spans="1:13" customFormat="1" ht="12.75">
      <c r="A255" s="1571"/>
      <c r="F255" s="1"/>
      <c r="G255" s="1"/>
      <c r="H255" s="1"/>
      <c r="I255" s="1"/>
      <c r="L255" s="302"/>
      <c r="M255" s="302"/>
    </row>
    <row r="256" spans="1:13" customFormat="1" ht="12.75">
      <c r="A256" s="1571"/>
      <c r="F256" s="1"/>
      <c r="G256" s="1"/>
      <c r="H256" s="1"/>
      <c r="I256" s="1"/>
      <c r="L256" s="302"/>
      <c r="M256" s="302"/>
    </row>
    <row r="257" spans="1:13" customFormat="1" ht="12.75">
      <c r="A257" s="1571"/>
      <c r="F257" s="1"/>
      <c r="G257" s="1"/>
      <c r="H257" s="1"/>
      <c r="I257" s="1"/>
      <c r="L257" s="302"/>
      <c r="M257" s="302"/>
    </row>
    <row r="258" spans="1:13" customFormat="1" ht="12.75">
      <c r="A258" s="1571"/>
      <c r="F258" s="1"/>
      <c r="G258" s="1"/>
      <c r="H258" s="1"/>
      <c r="I258" s="1"/>
      <c r="L258" s="302"/>
      <c r="M258" s="302"/>
    </row>
    <row r="259" spans="1:13" customFormat="1" ht="12.75">
      <c r="A259" s="1571"/>
      <c r="F259" s="1"/>
      <c r="G259" s="1"/>
      <c r="H259" s="1"/>
      <c r="I259" s="1"/>
      <c r="L259" s="302"/>
      <c r="M259" s="302"/>
    </row>
    <row r="260" spans="1:13" customFormat="1" ht="12.75">
      <c r="A260" s="1571"/>
      <c r="F260" s="1"/>
      <c r="G260" s="1"/>
      <c r="H260" s="1"/>
      <c r="I260" s="1"/>
      <c r="L260" s="302"/>
      <c r="M260" s="302"/>
    </row>
    <row r="261" spans="1:13" customFormat="1" ht="12.75">
      <c r="A261" s="1571"/>
      <c r="F261" s="1"/>
      <c r="G261" s="1"/>
      <c r="H261" s="1"/>
      <c r="I261" s="1"/>
      <c r="L261" s="302"/>
      <c r="M261" s="302"/>
    </row>
    <row r="262" spans="1:13" customFormat="1" ht="12.75">
      <c r="A262" s="1571"/>
      <c r="F262" s="1"/>
      <c r="G262" s="1"/>
      <c r="H262" s="1"/>
      <c r="I262" s="1"/>
      <c r="L262" s="302"/>
      <c r="M262" s="302"/>
    </row>
    <row r="263" spans="1:13" customFormat="1" ht="12.75">
      <c r="A263" s="1571"/>
      <c r="F263" s="1"/>
      <c r="G263" s="1"/>
      <c r="H263" s="1"/>
      <c r="I263" s="1"/>
      <c r="L263" s="302"/>
      <c r="M263" s="302"/>
    </row>
    <row r="264" spans="1:13" customFormat="1" ht="12.75">
      <c r="A264" s="1571"/>
      <c r="F264" s="1"/>
      <c r="G264" s="1"/>
      <c r="H264" s="1"/>
      <c r="I264" s="1"/>
      <c r="L264" s="302"/>
      <c r="M264" s="302"/>
    </row>
    <row r="265" spans="1:13" customFormat="1" ht="12.75">
      <c r="A265" s="1571"/>
      <c r="F265" s="1"/>
      <c r="G265" s="1"/>
      <c r="H265" s="1"/>
      <c r="I265" s="1"/>
      <c r="L265" s="302"/>
      <c r="M265" s="302"/>
    </row>
    <row r="266" spans="1:13" customFormat="1" ht="12.75">
      <c r="A266" s="1571"/>
      <c r="F266" s="1"/>
      <c r="G266" s="1"/>
      <c r="H266" s="1"/>
      <c r="I266" s="1"/>
      <c r="L266" s="302"/>
      <c r="M266" s="302"/>
    </row>
    <row r="267" spans="1:13" customFormat="1" ht="12.75">
      <c r="A267" s="1571"/>
      <c r="F267" s="1"/>
      <c r="G267" s="1"/>
      <c r="H267" s="1"/>
      <c r="I267" s="1"/>
      <c r="L267" s="302"/>
      <c r="M267" s="302"/>
    </row>
    <row r="268" spans="1:13" customFormat="1" ht="12.75">
      <c r="A268" s="1571"/>
      <c r="F268" s="1"/>
      <c r="G268" s="1"/>
      <c r="H268" s="1"/>
      <c r="I268" s="1"/>
      <c r="L268" s="302"/>
      <c r="M268" s="302"/>
    </row>
    <row r="269" spans="1:13" customFormat="1" ht="12.75">
      <c r="A269" s="1571"/>
      <c r="F269" s="1"/>
      <c r="G269" s="1"/>
      <c r="H269" s="1"/>
      <c r="I269" s="1"/>
      <c r="L269" s="302"/>
      <c r="M269" s="302"/>
    </row>
    <row r="270" spans="1:13" customFormat="1" ht="12.75">
      <c r="A270" s="1571"/>
      <c r="F270" s="1"/>
      <c r="G270" s="1"/>
      <c r="H270" s="1"/>
      <c r="I270" s="1"/>
      <c r="L270" s="302"/>
      <c r="M270" s="302"/>
    </row>
    <row r="271" spans="1:13" customFormat="1" ht="12.75">
      <c r="A271" s="1571"/>
      <c r="F271" s="1"/>
      <c r="G271" s="1"/>
      <c r="H271" s="1"/>
      <c r="I271" s="1"/>
      <c r="L271" s="302"/>
      <c r="M271" s="302"/>
    </row>
    <row r="272" spans="1:13" customFormat="1" ht="12.75">
      <c r="A272" s="1571"/>
      <c r="F272" s="1"/>
      <c r="G272" s="1"/>
      <c r="H272" s="1"/>
      <c r="I272" s="1"/>
      <c r="L272" s="302"/>
      <c r="M272" s="302"/>
    </row>
    <row r="273" spans="1:13" customFormat="1" ht="12.75">
      <c r="A273" s="1571"/>
      <c r="F273" s="1"/>
      <c r="G273" s="1"/>
      <c r="H273" s="1"/>
      <c r="I273" s="1"/>
      <c r="L273" s="302"/>
      <c r="M273" s="302"/>
    </row>
    <row r="274" spans="1:13" customFormat="1" ht="12.75">
      <c r="A274" s="1571"/>
      <c r="F274" s="1"/>
      <c r="G274" s="1"/>
      <c r="H274" s="1"/>
      <c r="I274" s="1"/>
      <c r="L274" s="302"/>
      <c r="M274" s="302"/>
    </row>
    <row r="275" spans="1:13" customFormat="1" ht="12.75">
      <c r="A275" s="1571"/>
      <c r="F275" s="1"/>
      <c r="G275" s="1"/>
      <c r="H275" s="1"/>
      <c r="I275" s="1"/>
      <c r="L275" s="302"/>
      <c r="M275" s="302"/>
    </row>
    <row r="276" spans="1:13" customFormat="1" ht="12.75">
      <c r="A276" s="1571"/>
      <c r="F276" s="1"/>
      <c r="G276" s="1"/>
      <c r="H276" s="1"/>
      <c r="I276" s="1"/>
      <c r="L276" s="302"/>
      <c r="M276" s="302"/>
    </row>
    <row r="277" spans="1:13" customFormat="1" ht="12.75">
      <c r="A277" s="1571"/>
      <c r="F277" s="1"/>
      <c r="G277" s="1"/>
      <c r="H277" s="1"/>
      <c r="I277" s="1"/>
      <c r="L277" s="302"/>
      <c r="M277" s="302"/>
    </row>
    <row r="278" spans="1:13" customFormat="1" ht="12.75">
      <c r="A278" s="1571"/>
      <c r="F278" s="1"/>
      <c r="G278" s="1"/>
      <c r="H278" s="1"/>
      <c r="I278" s="1"/>
      <c r="L278" s="302"/>
      <c r="M278" s="302"/>
    </row>
    <row r="279" spans="1:13" customFormat="1" ht="12.75">
      <c r="A279" s="1571"/>
      <c r="F279" s="1"/>
      <c r="G279" s="1"/>
      <c r="H279" s="1"/>
      <c r="I279" s="1"/>
      <c r="L279" s="302"/>
      <c r="M279" s="302"/>
    </row>
    <row r="280" spans="1:13" customFormat="1" ht="12.75">
      <c r="A280" s="1571"/>
      <c r="F280" s="1"/>
      <c r="G280" s="1"/>
      <c r="H280" s="1"/>
      <c r="I280" s="1"/>
      <c r="L280" s="302"/>
      <c r="M280" s="302"/>
    </row>
    <row r="281" spans="1:13" customFormat="1" ht="12.75">
      <c r="A281" s="1571"/>
      <c r="F281" s="1"/>
      <c r="G281" s="1"/>
      <c r="H281" s="1"/>
      <c r="I281" s="1"/>
      <c r="L281" s="302"/>
      <c r="M281" s="302"/>
    </row>
    <row r="282" spans="1:13" customFormat="1" ht="12.75">
      <c r="A282" s="1571"/>
      <c r="F282" s="1"/>
      <c r="G282" s="1"/>
      <c r="H282" s="1"/>
      <c r="I282" s="1"/>
      <c r="L282" s="302"/>
      <c r="M282" s="302"/>
    </row>
    <row r="283" spans="1:13" customFormat="1" ht="12.75">
      <c r="A283" s="1571"/>
      <c r="F283" s="1"/>
      <c r="G283" s="1"/>
      <c r="H283" s="1"/>
      <c r="I283" s="1"/>
      <c r="L283" s="302"/>
      <c r="M283" s="302"/>
    </row>
    <row r="284" spans="1:13" customFormat="1" ht="12.75">
      <c r="A284" s="1571"/>
      <c r="F284" s="1"/>
      <c r="G284" s="1"/>
      <c r="H284" s="1"/>
      <c r="I284" s="1"/>
      <c r="L284" s="302"/>
      <c r="M284" s="302"/>
    </row>
    <row r="285" spans="1:13" customFormat="1" ht="12.75">
      <c r="A285" s="1571"/>
      <c r="F285" s="1"/>
      <c r="G285" s="1"/>
      <c r="H285" s="1"/>
      <c r="I285" s="1"/>
      <c r="L285" s="302"/>
      <c r="M285" s="302"/>
    </row>
    <row r="286" spans="1:13" customFormat="1" ht="12.75">
      <c r="A286" s="1571"/>
      <c r="F286" s="1"/>
      <c r="G286" s="1"/>
      <c r="H286" s="1"/>
      <c r="I286" s="1"/>
      <c r="L286" s="302"/>
      <c r="M286" s="302"/>
    </row>
    <row r="287" spans="1:13" customFormat="1" ht="12.75">
      <c r="A287" s="1571"/>
      <c r="F287" s="1"/>
      <c r="G287" s="1"/>
      <c r="H287" s="1"/>
      <c r="I287" s="1"/>
      <c r="L287" s="302"/>
      <c r="M287" s="302"/>
    </row>
    <row r="288" spans="1:13" customFormat="1" ht="12.75">
      <c r="A288" s="1571"/>
      <c r="F288" s="1"/>
      <c r="G288" s="1"/>
      <c r="H288" s="1"/>
      <c r="I288" s="1"/>
      <c r="L288" s="302"/>
      <c r="M288" s="302"/>
    </row>
    <row r="289" spans="1:13" customFormat="1" ht="12.75">
      <c r="A289" s="1571"/>
      <c r="F289" s="1"/>
      <c r="G289" s="1"/>
      <c r="H289" s="1"/>
      <c r="I289" s="1"/>
      <c r="L289" s="302"/>
      <c r="M289" s="302"/>
    </row>
    <row r="290" spans="1:13" customFormat="1" ht="12.75">
      <c r="A290" s="1571"/>
      <c r="F290" s="1"/>
      <c r="G290" s="1"/>
      <c r="H290" s="1"/>
      <c r="I290" s="1"/>
      <c r="L290" s="302"/>
      <c r="M290" s="302"/>
    </row>
    <row r="291" spans="1:13" customFormat="1" ht="12.75">
      <c r="A291" s="1571"/>
      <c r="F291" s="1"/>
      <c r="G291" s="1"/>
      <c r="H291" s="1"/>
      <c r="I291" s="1"/>
      <c r="L291" s="302"/>
      <c r="M291" s="302"/>
    </row>
    <row r="292" spans="1:13" customFormat="1" ht="12.75">
      <c r="A292" s="1571"/>
      <c r="F292" s="1"/>
      <c r="G292" s="1"/>
      <c r="H292" s="1"/>
      <c r="I292" s="1"/>
      <c r="L292" s="302"/>
      <c r="M292" s="302"/>
    </row>
    <row r="293" spans="1:13" customFormat="1" ht="12.75">
      <c r="A293" s="1571"/>
      <c r="F293" s="1"/>
      <c r="G293" s="1"/>
      <c r="H293" s="1"/>
      <c r="I293" s="1"/>
      <c r="L293" s="302"/>
      <c r="M293" s="302"/>
    </row>
    <row r="294" spans="1:13" customFormat="1" ht="12.75">
      <c r="A294" s="1571"/>
      <c r="F294" s="1"/>
      <c r="G294" s="1"/>
      <c r="H294" s="1"/>
      <c r="I294" s="1"/>
      <c r="L294" s="302"/>
      <c r="M294" s="302"/>
    </row>
    <row r="295" spans="1:13" customFormat="1" ht="12.75">
      <c r="A295" s="1571"/>
      <c r="F295" s="1"/>
      <c r="G295" s="1"/>
      <c r="H295" s="1"/>
      <c r="I295" s="1"/>
      <c r="L295" s="302"/>
      <c r="M295" s="302"/>
    </row>
    <row r="296" spans="1:13" customFormat="1" ht="12.75">
      <c r="A296" s="1571"/>
      <c r="F296" s="1"/>
      <c r="G296" s="1"/>
      <c r="H296" s="1"/>
      <c r="I296" s="1"/>
      <c r="L296" s="302"/>
      <c r="M296" s="302"/>
    </row>
    <row r="297" spans="1:13" customFormat="1" ht="12.75">
      <c r="A297" s="1571"/>
      <c r="F297" s="1"/>
      <c r="G297" s="1"/>
      <c r="H297" s="1"/>
      <c r="I297" s="1"/>
      <c r="L297" s="302"/>
      <c r="M297" s="302"/>
    </row>
    <row r="298" spans="1:13" customFormat="1" ht="12.75">
      <c r="A298" s="1571"/>
      <c r="F298" s="1"/>
      <c r="G298" s="1"/>
      <c r="H298" s="1"/>
      <c r="I298" s="1"/>
      <c r="L298" s="302"/>
      <c r="M298" s="302"/>
    </row>
    <row r="299" spans="1:13" customFormat="1" ht="12.75">
      <c r="A299" s="1571"/>
      <c r="F299" s="1"/>
      <c r="G299" s="1"/>
      <c r="H299" s="1"/>
      <c r="I299" s="1"/>
      <c r="L299" s="302"/>
      <c r="M299" s="302"/>
    </row>
    <row r="300" spans="1:13" customFormat="1" ht="12.75">
      <c r="A300" s="1571"/>
      <c r="F300" s="1"/>
      <c r="G300" s="1"/>
      <c r="H300" s="1"/>
      <c r="I300" s="1"/>
      <c r="L300" s="302"/>
      <c r="M300" s="302"/>
    </row>
    <row r="301" spans="1:13" customFormat="1" ht="12.75">
      <c r="A301" s="1571"/>
      <c r="F301" s="1"/>
      <c r="G301" s="1"/>
      <c r="H301" s="1"/>
      <c r="I301" s="1"/>
      <c r="L301" s="302"/>
      <c r="M301" s="302"/>
    </row>
    <row r="302" spans="1:13" customFormat="1" ht="12.75">
      <c r="A302" s="1571"/>
      <c r="F302" s="1"/>
      <c r="G302" s="1"/>
      <c r="H302" s="1"/>
      <c r="I302" s="1"/>
      <c r="L302" s="302"/>
      <c r="M302" s="302"/>
    </row>
    <row r="303" spans="1:13" customFormat="1" ht="12.75">
      <c r="A303" s="1571"/>
      <c r="F303" s="1"/>
      <c r="G303" s="1"/>
      <c r="H303" s="1"/>
      <c r="I303" s="1"/>
      <c r="L303" s="302"/>
      <c r="M303" s="302"/>
    </row>
    <row r="304" spans="1:13" customFormat="1" ht="12.75">
      <c r="A304" s="1571"/>
      <c r="F304" s="1"/>
      <c r="G304" s="1"/>
      <c r="H304" s="1"/>
      <c r="I304" s="1"/>
      <c r="L304" s="302"/>
      <c r="M304" s="302"/>
    </row>
    <row r="305" spans="1:13" customFormat="1" ht="12.75">
      <c r="A305" s="1571"/>
      <c r="F305" s="1"/>
      <c r="G305" s="1"/>
      <c r="H305" s="1"/>
      <c r="I305" s="1"/>
      <c r="L305" s="302"/>
      <c r="M305" s="302"/>
    </row>
    <row r="306" spans="1:13" customFormat="1" ht="12.75">
      <c r="A306" s="1571"/>
      <c r="F306" s="1"/>
      <c r="G306" s="1"/>
      <c r="H306" s="1"/>
      <c r="I306" s="1"/>
      <c r="L306" s="302"/>
      <c r="M306" s="302"/>
    </row>
    <row r="307" spans="1:13" customFormat="1" ht="12.75">
      <c r="A307" s="1571"/>
      <c r="F307" s="1"/>
      <c r="G307" s="1"/>
      <c r="H307" s="1"/>
      <c r="I307" s="1"/>
      <c r="L307" s="302"/>
      <c r="M307" s="302"/>
    </row>
    <row r="308" spans="1:13" customFormat="1" ht="12.75">
      <c r="A308" s="1571"/>
      <c r="F308" s="1"/>
      <c r="G308" s="1"/>
      <c r="H308" s="1"/>
      <c r="I308" s="1"/>
      <c r="L308" s="302"/>
      <c r="M308" s="302"/>
    </row>
    <row r="309" spans="1:13" customFormat="1" ht="12.75">
      <c r="A309" s="1571"/>
      <c r="F309" s="1"/>
      <c r="G309" s="1"/>
      <c r="H309" s="1"/>
      <c r="I309" s="1"/>
      <c r="L309" s="302"/>
      <c r="M309" s="302"/>
    </row>
    <row r="310" spans="1:13" customFormat="1" ht="12.75">
      <c r="A310" s="1571"/>
      <c r="F310" s="1"/>
      <c r="G310" s="1"/>
      <c r="H310" s="1"/>
      <c r="I310" s="1"/>
      <c r="L310" s="302"/>
      <c r="M310" s="302"/>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row r="835" spans="1:13" customFormat="1" ht="12.75">
      <c r="A835" s="1571"/>
      <c r="F835" s="1"/>
      <c r="G835" s="1"/>
      <c r="H835" s="1"/>
      <c r="I835" s="1"/>
      <c r="L835" s="302"/>
      <c r="M835" s="302"/>
    </row>
    <row r="836" spans="1:13" customFormat="1" ht="12.75">
      <c r="A836" s="1571"/>
      <c r="F836" s="1"/>
      <c r="G836" s="1"/>
      <c r="H836" s="1"/>
      <c r="I836" s="1"/>
      <c r="L836" s="302"/>
      <c r="M836" s="302"/>
    </row>
    <row r="837" spans="1:13" customFormat="1" ht="12.75">
      <c r="A837" s="1571"/>
      <c r="F837" s="1"/>
      <c r="G837" s="1"/>
      <c r="H837" s="1"/>
      <c r="I837" s="1"/>
      <c r="L837" s="302"/>
      <c r="M837" s="302"/>
    </row>
    <row r="838" spans="1:13" customFormat="1" ht="12.75">
      <c r="A838" s="1571"/>
      <c r="F838" s="1"/>
      <c r="G838" s="1"/>
      <c r="H838" s="1"/>
      <c r="I838" s="1"/>
      <c r="L838" s="302"/>
      <c r="M838" s="302"/>
    </row>
    <row r="839" spans="1:13" customFormat="1" ht="12.75">
      <c r="A839" s="1571"/>
      <c r="F839" s="1"/>
      <c r="G839" s="1"/>
      <c r="H839" s="1"/>
      <c r="I839" s="1"/>
      <c r="L839" s="302"/>
      <c r="M839" s="302"/>
    </row>
    <row r="840" spans="1:13" customFormat="1" ht="12.75">
      <c r="A840" s="1571"/>
      <c r="F840" s="1"/>
      <c r="G840" s="1"/>
      <c r="H840" s="1"/>
      <c r="I840" s="1"/>
      <c r="L840" s="302"/>
      <c r="M840" s="302"/>
    </row>
    <row r="841" spans="1:13" customFormat="1" ht="12.75">
      <c r="A841" s="1571"/>
      <c r="F841" s="1"/>
      <c r="G841" s="1"/>
      <c r="H841" s="1"/>
      <c r="I841" s="1"/>
      <c r="L841" s="302"/>
      <c r="M841" s="302"/>
    </row>
    <row r="842" spans="1:13" customFormat="1" ht="12.75">
      <c r="A842" s="1571"/>
      <c r="F842" s="1"/>
      <c r="G842" s="1"/>
      <c r="H842" s="1"/>
      <c r="I842" s="1"/>
      <c r="L842" s="302"/>
      <c r="M842" s="302"/>
    </row>
    <row r="843" spans="1:13" customFormat="1" ht="12.75">
      <c r="A843" s="1571"/>
      <c r="F843" s="1"/>
      <c r="G843" s="1"/>
      <c r="H843" s="1"/>
      <c r="I843" s="1"/>
      <c r="L843" s="302"/>
      <c r="M843" s="302"/>
    </row>
    <row r="844" spans="1:13" customFormat="1" ht="12.75">
      <c r="A844" s="1571"/>
      <c r="F844" s="1"/>
      <c r="G844" s="1"/>
      <c r="H844" s="1"/>
      <c r="I844" s="1"/>
      <c r="L844" s="302"/>
      <c r="M844" s="302"/>
    </row>
    <row r="845" spans="1:13" customFormat="1" ht="12.75">
      <c r="A845" s="1571"/>
      <c r="F845" s="1"/>
      <c r="G845" s="1"/>
      <c r="H845" s="1"/>
      <c r="I845" s="1"/>
      <c r="L845" s="302"/>
      <c r="M845" s="302"/>
    </row>
    <row r="846" spans="1:13" customFormat="1" ht="12.75">
      <c r="A846" s="1571"/>
      <c r="F846" s="1"/>
      <c r="G846" s="1"/>
      <c r="H846" s="1"/>
      <c r="I846" s="1"/>
      <c r="L846" s="302"/>
      <c r="M846" s="302"/>
    </row>
    <row r="847" spans="1:13" customFormat="1" ht="12.75">
      <c r="A847" s="1571"/>
      <c r="F847" s="1"/>
      <c r="G847" s="1"/>
      <c r="H847" s="1"/>
      <c r="I847" s="1"/>
      <c r="L847" s="302"/>
      <c r="M847" s="302"/>
    </row>
    <row r="848" spans="1:13" customFormat="1" ht="12.75">
      <c r="A848" s="1571"/>
      <c r="F848" s="1"/>
      <c r="G848" s="1"/>
      <c r="H848" s="1"/>
      <c r="I848" s="1"/>
      <c r="L848" s="302"/>
      <c r="M848" s="302"/>
    </row>
    <row r="849" spans="1:13" customFormat="1" ht="12.75">
      <c r="A849" s="1571"/>
      <c r="F849" s="1"/>
      <c r="G849" s="1"/>
      <c r="H849" s="1"/>
      <c r="I849" s="1"/>
      <c r="L849" s="302"/>
      <c r="M849" s="302"/>
    </row>
    <row r="850" spans="1:13" customFormat="1" ht="12.75">
      <c r="A850" s="1571"/>
      <c r="F850" s="1"/>
      <c r="G850" s="1"/>
      <c r="H850" s="1"/>
      <c r="I850" s="1"/>
      <c r="L850" s="302"/>
      <c r="M850" s="302"/>
    </row>
    <row r="851" spans="1:13" customFormat="1" ht="12.75">
      <c r="A851" s="1571"/>
      <c r="F851" s="1"/>
      <c r="G851" s="1"/>
      <c r="H851" s="1"/>
      <c r="I851" s="1"/>
      <c r="L851" s="302"/>
      <c r="M851" s="302"/>
    </row>
    <row r="852" spans="1:13" customFormat="1" ht="12.75">
      <c r="A852" s="1571"/>
      <c r="F852" s="1"/>
      <c r="G852" s="1"/>
      <c r="H852" s="1"/>
      <c r="I852" s="1"/>
      <c r="L852" s="302"/>
      <c r="M852" s="302"/>
    </row>
    <row r="853" spans="1:13" customFormat="1" ht="12.75">
      <c r="A853" s="1571"/>
      <c r="F853" s="1"/>
      <c r="G853" s="1"/>
      <c r="H853" s="1"/>
      <c r="I853" s="1"/>
      <c r="L853" s="302"/>
      <c r="M853" s="302"/>
    </row>
    <row r="854" spans="1:13" customFormat="1" ht="12.75">
      <c r="A854" s="1571"/>
      <c r="F854" s="1"/>
      <c r="G854" s="1"/>
      <c r="H854" s="1"/>
      <c r="I854" s="1"/>
      <c r="L854" s="302"/>
      <c r="M854" s="302"/>
    </row>
    <row r="855" spans="1:13" customFormat="1" ht="12.75">
      <c r="A855" s="1571"/>
      <c r="F855" s="1"/>
      <c r="G855" s="1"/>
      <c r="H855" s="1"/>
      <c r="I855" s="1"/>
      <c r="L855" s="302"/>
      <c r="M855" s="302"/>
    </row>
    <row r="856" spans="1:13" customFormat="1" ht="12.75">
      <c r="A856" s="1571"/>
      <c r="F856" s="1"/>
      <c r="G856" s="1"/>
      <c r="H856" s="1"/>
      <c r="I856" s="1"/>
      <c r="L856" s="302"/>
      <c r="M856" s="302"/>
    </row>
  </sheetData>
  <sheetProtection algorithmName="SHA-512" hashValue="e/D5ie471oh/pP47a8f5feHSerE/LPHKHMs82ryruMbH6e5EYtEZAPqdFzPTkVxEZ8lS1PIyRLgVHqpUXrG3Qg==" saltValue="b2zXCJ2pMQauXyAjBD1PQQ==" spinCount="100000"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topLeftCell="B195" zoomScaleNormal="100" workbookViewId="0">
      <selection activeCell="C216" sqref="C216"/>
    </sheetView>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3140</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1719</v>
      </c>
      <c r="D14" s="953" t="s">
        <v>1720</v>
      </c>
      <c r="E14" s="950" t="s">
        <v>347</v>
      </c>
      <c r="F14" s="950">
        <v>1.01</v>
      </c>
    </row>
    <row r="15" spans="2:6" s="2" customFormat="1" ht="26.1" customHeight="1">
      <c r="B15" s="949">
        <v>42664</v>
      </c>
      <c r="C15" s="954" t="s">
        <v>1784</v>
      </c>
      <c r="E15" s="950" t="s">
        <v>347</v>
      </c>
      <c r="F15" s="950">
        <v>1.01</v>
      </c>
    </row>
    <row r="16" spans="2:6" s="2" customFormat="1" ht="26.1" customHeight="1">
      <c r="B16" s="949">
        <v>42684</v>
      </c>
      <c r="C16" s="954" t="s">
        <v>1885</v>
      </c>
      <c r="D16" s="953" t="s">
        <v>1886</v>
      </c>
      <c r="E16" s="1235" t="s">
        <v>347</v>
      </c>
      <c r="F16" s="950">
        <v>1.02</v>
      </c>
    </row>
    <row r="17" spans="2:6" s="2" customFormat="1" ht="26.1" customHeight="1">
      <c r="B17" s="949">
        <v>42684</v>
      </c>
      <c r="C17" s="954" t="s">
        <v>1954</v>
      </c>
      <c r="D17" s="953" t="s">
        <v>1955</v>
      </c>
      <c r="E17" s="950" t="s">
        <v>347</v>
      </c>
      <c r="F17" s="950">
        <v>1.03</v>
      </c>
    </row>
    <row r="18" spans="2:6" s="2" customFormat="1" ht="26.1" customHeight="1">
      <c r="B18" s="949">
        <v>42720</v>
      </c>
      <c r="C18" s="954" t="s">
        <v>2485</v>
      </c>
      <c r="D18" s="954" t="s">
        <v>2486</v>
      </c>
      <c r="E18" s="950" t="s">
        <v>347</v>
      </c>
      <c r="F18" s="950">
        <v>1.1000000000000001</v>
      </c>
    </row>
    <row r="19" spans="2:6" s="2" customFormat="1" ht="26.1" customHeight="1">
      <c r="B19" s="949">
        <v>42720</v>
      </c>
      <c r="C19" s="954" t="s">
        <v>2487</v>
      </c>
      <c r="D19" s="954" t="s">
        <v>2488</v>
      </c>
      <c r="E19" s="950" t="s">
        <v>347</v>
      </c>
      <c r="F19" s="950">
        <v>1.1000000000000001</v>
      </c>
    </row>
    <row r="20" spans="2:6" s="2" customFormat="1" ht="26.1" customHeight="1">
      <c r="B20" s="949">
        <v>42723</v>
      </c>
      <c r="C20" s="954" t="s">
        <v>2503</v>
      </c>
      <c r="D20" s="954" t="s">
        <v>2504</v>
      </c>
      <c r="E20" s="950" t="s">
        <v>347</v>
      </c>
      <c r="F20" s="950">
        <v>1.1100000000000001</v>
      </c>
    </row>
    <row r="21" spans="2:6" s="2" customFormat="1" ht="26.1" customHeight="1">
      <c r="B21" s="949">
        <v>42723</v>
      </c>
      <c r="C21" s="954" t="s">
        <v>2501</v>
      </c>
      <c r="D21" s="954" t="s">
        <v>2502</v>
      </c>
      <c r="E21" s="950" t="s">
        <v>347</v>
      </c>
      <c r="F21" s="950">
        <v>1.1100000000000001</v>
      </c>
    </row>
    <row r="22" spans="2:6" s="2" customFormat="1" ht="26.1" customHeight="1">
      <c r="B22" s="949">
        <v>42725</v>
      </c>
      <c r="C22" s="954" t="s">
        <v>2517</v>
      </c>
      <c r="D22" s="954" t="s">
        <v>2518</v>
      </c>
      <c r="E22" s="950" t="s">
        <v>347</v>
      </c>
      <c r="F22" s="950">
        <v>1.1299999999999999</v>
      </c>
    </row>
    <row r="23" spans="2:6" s="2" customFormat="1" ht="26.1" customHeight="1">
      <c r="B23" s="949">
        <v>42725</v>
      </c>
      <c r="C23" s="954" t="s">
        <v>2519</v>
      </c>
      <c r="D23" s="954" t="s">
        <v>2520</v>
      </c>
      <c r="E23" s="950" t="s">
        <v>347</v>
      </c>
      <c r="F23" s="950">
        <v>1.1299999999999999</v>
      </c>
    </row>
    <row r="24" spans="2:6" s="2" customFormat="1" ht="26.1" customHeight="1">
      <c r="B24" s="949">
        <v>42742</v>
      </c>
      <c r="C24" s="954" t="s">
        <v>2549</v>
      </c>
      <c r="D24" s="954" t="s">
        <v>2550</v>
      </c>
      <c r="E24" s="950" t="s">
        <v>347</v>
      </c>
      <c r="F24" s="950">
        <v>1.1399999999999999</v>
      </c>
    </row>
    <row r="25" spans="2:6" s="2" customFormat="1" ht="26.1" customHeight="1">
      <c r="B25" s="949">
        <v>42742</v>
      </c>
      <c r="C25" s="954" t="s">
        <v>2557</v>
      </c>
      <c r="D25" s="954" t="s">
        <v>2558</v>
      </c>
      <c r="E25" s="950" t="s">
        <v>347</v>
      </c>
      <c r="F25" s="950">
        <v>1.1399999999999999</v>
      </c>
    </row>
    <row r="26" spans="2:6" s="2" customFormat="1" ht="26.1" customHeight="1">
      <c r="B26" s="949">
        <v>42742</v>
      </c>
      <c r="C26" s="954" t="s">
        <v>2562</v>
      </c>
      <c r="D26" s="954"/>
      <c r="E26" s="950" t="s">
        <v>347</v>
      </c>
      <c r="F26" s="950">
        <v>1.1399999999999999</v>
      </c>
    </row>
    <row r="27" spans="2:6" s="2" customFormat="1" ht="26.1" customHeight="1">
      <c r="B27" s="949">
        <v>42742</v>
      </c>
      <c r="C27" s="954" t="s">
        <v>2559</v>
      </c>
      <c r="D27" s="954" t="s">
        <v>2560</v>
      </c>
      <c r="E27" s="950" t="s">
        <v>347</v>
      </c>
      <c r="F27" s="950">
        <v>1.1399999999999999</v>
      </c>
    </row>
    <row r="28" spans="2:6" s="2" customFormat="1" ht="26.1" customHeight="1">
      <c r="B28" s="949">
        <v>42742</v>
      </c>
      <c r="C28" s="954" t="s">
        <v>2561</v>
      </c>
      <c r="D28" s="954"/>
      <c r="E28" s="950" t="s">
        <v>347</v>
      </c>
      <c r="F28" s="950">
        <v>1.1399999999999999</v>
      </c>
    </row>
    <row r="29" spans="2:6" s="2" customFormat="1" ht="26.1" customHeight="1">
      <c r="B29" s="949">
        <v>42742</v>
      </c>
      <c r="C29" s="954" t="s">
        <v>2563</v>
      </c>
      <c r="D29" s="954" t="s">
        <v>2564</v>
      </c>
      <c r="E29" s="950" t="s">
        <v>347</v>
      </c>
      <c r="F29" s="950">
        <v>1.1399999999999999</v>
      </c>
    </row>
    <row r="30" spans="2:6" s="2" customFormat="1" ht="26.1" customHeight="1">
      <c r="B30" s="949">
        <v>42742</v>
      </c>
      <c r="C30" s="954" t="s">
        <v>2565</v>
      </c>
      <c r="D30" s="954" t="s">
        <v>2564</v>
      </c>
      <c r="E30" s="950" t="s">
        <v>347</v>
      </c>
      <c r="F30" s="950">
        <v>1.1399999999999999</v>
      </c>
    </row>
    <row r="31" spans="2:6" s="2" customFormat="1" ht="26.1" customHeight="1">
      <c r="B31" s="949">
        <v>42742</v>
      </c>
      <c r="C31" s="954" t="s">
        <v>2566</v>
      </c>
      <c r="D31" s="954" t="s">
        <v>2567</v>
      </c>
      <c r="E31" s="950" t="s">
        <v>347</v>
      </c>
      <c r="F31" s="950">
        <v>1.1399999999999999</v>
      </c>
    </row>
    <row r="32" spans="2:6" s="2" customFormat="1" ht="26.1" customHeight="1">
      <c r="B32" s="949">
        <v>42742</v>
      </c>
      <c r="C32" s="954" t="s">
        <v>2577</v>
      </c>
      <c r="D32" s="954" t="s">
        <v>2576</v>
      </c>
      <c r="E32" s="950" t="s">
        <v>347</v>
      </c>
      <c r="F32" s="950">
        <v>1.1399999999999999</v>
      </c>
    </row>
    <row r="33" spans="2:6" s="2" customFormat="1" ht="26.1" customHeight="1">
      <c r="B33" s="949">
        <v>42742</v>
      </c>
      <c r="C33" s="954" t="s">
        <v>2579</v>
      </c>
      <c r="D33" s="954" t="s">
        <v>2580</v>
      </c>
      <c r="E33" s="950" t="s">
        <v>347</v>
      </c>
      <c r="F33" s="950">
        <v>1.1399999999999999</v>
      </c>
    </row>
    <row r="34" spans="2:6" s="2" customFormat="1" ht="26.1" customHeight="1">
      <c r="B34" s="949">
        <v>42742</v>
      </c>
      <c r="C34" s="954" t="s">
        <v>2581</v>
      </c>
      <c r="D34" s="954" t="s">
        <v>2582</v>
      </c>
      <c r="E34" s="950" t="s">
        <v>347</v>
      </c>
      <c r="F34" s="950">
        <v>1.1499999999999999</v>
      </c>
    </row>
    <row r="35" spans="2:6" s="2" customFormat="1" ht="26.1" customHeight="1">
      <c r="B35" s="949">
        <v>42742</v>
      </c>
      <c r="C35" s="954" t="s">
        <v>2583</v>
      </c>
      <c r="D35" s="954" t="s">
        <v>2584</v>
      </c>
      <c r="E35" s="950" t="s">
        <v>347</v>
      </c>
      <c r="F35" s="950">
        <v>1.1599999999999999</v>
      </c>
    </row>
    <row r="36" spans="2:6" s="2" customFormat="1" ht="26.1" customHeight="1">
      <c r="B36" s="949">
        <v>42762</v>
      </c>
      <c r="C36" s="954" t="s">
        <v>2586</v>
      </c>
      <c r="D36" s="954" t="s">
        <v>2585</v>
      </c>
      <c r="E36" s="950" t="s">
        <v>347</v>
      </c>
      <c r="F36" s="950">
        <v>1.17</v>
      </c>
    </row>
    <row r="37" spans="2:6" s="2" customFormat="1" ht="26.1" customHeight="1">
      <c r="B37" s="949">
        <v>42766</v>
      </c>
      <c r="C37" s="954" t="s">
        <v>2587</v>
      </c>
      <c r="D37" s="954" t="s">
        <v>2588</v>
      </c>
      <c r="E37" s="950" t="s">
        <v>347</v>
      </c>
      <c r="F37" s="950">
        <v>1.18</v>
      </c>
    </row>
    <row r="38" spans="2:6" s="2" customFormat="1" ht="26.1" customHeight="1">
      <c r="B38" s="949">
        <v>42768</v>
      </c>
      <c r="C38" s="954" t="s">
        <v>2589</v>
      </c>
      <c r="D38" s="954" t="s">
        <v>2590</v>
      </c>
      <c r="E38" s="950" t="s">
        <v>347</v>
      </c>
      <c r="F38" s="950">
        <v>1.19</v>
      </c>
    </row>
    <row r="39" spans="2:6" s="2" customFormat="1" ht="26.1" customHeight="1">
      <c r="B39" s="949">
        <v>42768</v>
      </c>
      <c r="C39" s="954" t="s">
        <v>2594</v>
      </c>
      <c r="D39" s="954" t="s">
        <v>2595</v>
      </c>
      <c r="E39" s="950" t="s">
        <v>347</v>
      </c>
      <c r="F39" s="950">
        <v>1.19</v>
      </c>
    </row>
    <row r="40" spans="2:6" s="2" customFormat="1" ht="26.1" customHeight="1">
      <c r="B40" s="949">
        <v>42768</v>
      </c>
      <c r="C40" s="954" t="s">
        <v>2609</v>
      </c>
      <c r="D40" s="954" t="s">
        <v>2610</v>
      </c>
      <c r="E40" s="950" t="s">
        <v>347</v>
      </c>
      <c r="F40" s="950">
        <v>1.19</v>
      </c>
    </row>
    <row r="41" spans="2:6" s="2" customFormat="1" ht="26.1" customHeight="1">
      <c r="B41" s="949">
        <v>42768</v>
      </c>
      <c r="C41" s="954" t="s">
        <v>2611</v>
      </c>
      <c r="D41" s="954" t="s">
        <v>2610</v>
      </c>
      <c r="E41" s="950" t="s">
        <v>347</v>
      </c>
      <c r="F41" s="950">
        <v>1.19</v>
      </c>
    </row>
    <row r="42" spans="2:6" s="2" customFormat="1" ht="26.1" customHeight="1">
      <c r="B42" s="949">
        <v>42768</v>
      </c>
      <c r="C42" s="954" t="s">
        <v>2612</v>
      </c>
      <c r="D42" s="954" t="s">
        <v>2613</v>
      </c>
      <c r="E42" s="950" t="s">
        <v>347</v>
      </c>
      <c r="F42" s="950">
        <v>1.19</v>
      </c>
    </row>
    <row r="43" spans="2:6" s="2" customFormat="1" ht="26.1" customHeight="1">
      <c r="B43" s="949">
        <v>42768</v>
      </c>
      <c r="C43" s="954" t="s">
        <v>2614</v>
      </c>
      <c r="D43" s="954" t="s">
        <v>2615</v>
      </c>
      <c r="E43" s="950" t="s">
        <v>347</v>
      </c>
      <c r="F43" s="950">
        <v>1.19</v>
      </c>
    </row>
    <row r="44" spans="2:6" s="2" customFormat="1" ht="26.1" customHeight="1">
      <c r="B44" s="949">
        <v>42770</v>
      </c>
      <c r="C44" s="954" t="s">
        <v>2620</v>
      </c>
      <c r="D44" s="954" t="s">
        <v>2621</v>
      </c>
      <c r="E44" s="950" t="s">
        <v>347</v>
      </c>
      <c r="F44" s="950">
        <v>1.2</v>
      </c>
    </row>
    <row r="45" spans="2:6" s="2" customFormat="1" ht="26.1" customHeight="1">
      <c r="B45" s="949">
        <v>42819</v>
      </c>
      <c r="C45" s="954" t="s">
        <v>2677</v>
      </c>
      <c r="D45" s="954" t="s">
        <v>2678</v>
      </c>
      <c r="E45" s="950" t="s">
        <v>347</v>
      </c>
      <c r="F45" s="950">
        <v>1.21</v>
      </c>
    </row>
    <row r="46" spans="2:6" s="2" customFormat="1" ht="26.1" customHeight="1">
      <c r="B46" s="949">
        <v>42819</v>
      </c>
      <c r="C46" s="954" t="s">
        <v>2679</v>
      </c>
      <c r="D46" s="954" t="s">
        <v>2680</v>
      </c>
      <c r="E46" s="950" t="s">
        <v>347</v>
      </c>
      <c r="F46" s="950">
        <v>1.21</v>
      </c>
    </row>
    <row r="47" spans="2:6" s="2" customFormat="1" ht="26.1" customHeight="1">
      <c r="B47" s="949">
        <v>42819</v>
      </c>
      <c r="C47" s="954" t="s">
        <v>2683</v>
      </c>
      <c r="D47" s="954" t="s">
        <v>2681</v>
      </c>
      <c r="E47" s="950" t="s">
        <v>347</v>
      </c>
      <c r="F47" s="950">
        <v>1.21</v>
      </c>
    </row>
    <row r="48" spans="2:6" s="2" customFormat="1" ht="26.1" customHeight="1">
      <c r="B48" s="949">
        <v>42819</v>
      </c>
      <c r="C48" s="954" t="s">
        <v>2682</v>
      </c>
      <c r="D48" s="954" t="s">
        <v>2685</v>
      </c>
      <c r="E48" s="950" t="s">
        <v>347</v>
      </c>
      <c r="F48" s="950">
        <v>1.21</v>
      </c>
    </row>
    <row r="49" spans="2:6" s="2" customFormat="1" ht="26.1" customHeight="1">
      <c r="B49" s="949">
        <v>42819</v>
      </c>
      <c r="C49" s="954" t="s">
        <v>2684</v>
      </c>
      <c r="D49" s="954" t="s">
        <v>2686</v>
      </c>
      <c r="E49" s="950" t="s">
        <v>347</v>
      </c>
      <c r="F49" s="950">
        <v>1.21</v>
      </c>
    </row>
    <row r="50" spans="2:6" s="2" customFormat="1" ht="26.1" customHeight="1">
      <c r="B50" s="949">
        <v>42819</v>
      </c>
      <c r="C50" s="954" t="s">
        <v>2687</v>
      </c>
      <c r="E50" s="950" t="s">
        <v>347</v>
      </c>
      <c r="F50" s="950">
        <v>1.21</v>
      </c>
    </row>
    <row r="51" spans="2:6" s="2" customFormat="1" ht="26.1" customHeight="1">
      <c r="B51" s="949">
        <v>42819</v>
      </c>
      <c r="C51" s="954" t="s">
        <v>2688</v>
      </c>
      <c r="D51" s="953" t="s">
        <v>2689</v>
      </c>
      <c r="E51" s="950" t="s">
        <v>347</v>
      </c>
      <c r="F51" s="950">
        <v>1.21</v>
      </c>
    </row>
    <row r="52" spans="2:6" s="2" customFormat="1" ht="26.1" customHeight="1">
      <c r="B52" s="949">
        <v>42819</v>
      </c>
      <c r="C52" s="954" t="s">
        <v>2690</v>
      </c>
      <c r="D52" s="953" t="s">
        <v>2691</v>
      </c>
      <c r="E52" s="950" t="s">
        <v>347</v>
      </c>
      <c r="F52" s="950">
        <v>1.21</v>
      </c>
    </row>
    <row r="53" spans="2:6" s="2" customFormat="1" ht="26.1" customHeight="1">
      <c r="B53" s="949">
        <v>42819</v>
      </c>
      <c r="C53" s="954" t="s">
        <v>2692</v>
      </c>
      <c r="D53" s="953" t="s">
        <v>2693</v>
      </c>
      <c r="E53" s="950" t="s">
        <v>347</v>
      </c>
      <c r="F53" s="950">
        <v>1.21</v>
      </c>
    </row>
    <row r="54" spans="2:6" s="2" customFormat="1" ht="26.1" customHeight="1">
      <c r="B54" s="949">
        <v>42819</v>
      </c>
      <c r="C54" s="954" t="s">
        <v>2694</v>
      </c>
      <c r="D54" s="953" t="s">
        <v>2695</v>
      </c>
      <c r="E54" s="950" t="s">
        <v>347</v>
      </c>
      <c r="F54" s="950">
        <v>1.21</v>
      </c>
    </row>
    <row r="55" spans="2:6" s="2" customFormat="1" ht="26.1" customHeight="1">
      <c r="B55" s="949">
        <v>42819</v>
      </c>
      <c r="C55" s="954" t="s">
        <v>2696</v>
      </c>
      <c r="D55" s="954" t="s">
        <v>2697</v>
      </c>
      <c r="E55" s="950" t="s">
        <v>347</v>
      </c>
      <c r="F55" s="950">
        <v>1.21</v>
      </c>
    </row>
    <row r="56" spans="2:6" s="2" customFormat="1" ht="26.1" customHeight="1">
      <c r="B56" s="949">
        <v>42819</v>
      </c>
      <c r="C56" s="954" t="s">
        <v>2698</v>
      </c>
      <c r="D56" s="954" t="s">
        <v>2699</v>
      </c>
      <c r="E56" s="950" t="s">
        <v>347</v>
      </c>
      <c r="F56" s="950">
        <v>1.21</v>
      </c>
    </row>
    <row r="57" spans="2:6" s="2" customFormat="1" ht="26.1" customHeight="1">
      <c r="B57" s="949">
        <v>42819</v>
      </c>
      <c r="C57" s="954" t="s">
        <v>2700</v>
      </c>
      <c r="D57" s="954" t="s">
        <v>2701</v>
      </c>
      <c r="E57" s="950" t="s">
        <v>347</v>
      </c>
      <c r="F57" s="950">
        <v>1.21</v>
      </c>
    </row>
    <row r="58" spans="2:6" s="2" customFormat="1" ht="26.1" customHeight="1">
      <c r="B58" s="949">
        <v>42830</v>
      </c>
      <c r="C58" s="954" t="s">
        <v>2764</v>
      </c>
      <c r="D58" s="954" t="s">
        <v>2761</v>
      </c>
      <c r="E58" s="950" t="s">
        <v>347</v>
      </c>
      <c r="F58" s="950">
        <v>1.23</v>
      </c>
    </row>
    <row r="59" spans="2:6" s="2" customFormat="1" ht="26.1" customHeight="1">
      <c r="B59" s="949">
        <v>42835</v>
      </c>
      <c r="C59" s="954" t="s">
        <v>2763</v>
      </c>
      <c r="D59" s="954" t="s">
        <v>2765</v>
      </c>
      <c r="E59" s="950" t="s">
        <v>347</v>
      </c>
      <c r="F59" s="950">
        <v>1.24</v>
      </c>
    </row>
    <row r="60" spans="2:6" s="2" customFormat="1" ht="26.1" customHeight="1">
      <c r="B60" s="949">
        <v>42835</v>
      </c>
      <c r="C60" s="954" t="s">
        <v>2766</v>
      </c>
      <c r="E60" s="950" t="s">
        <v>347</v>
      </c>
      <c r="F60" s="950">
        <v>1.24</v>
      </c>
    </row>
    <row r="61" spans="2:6" s="2" customFormat="1" ht="26.1" customHeight="1">
      <c r="B61" s="949">
        <v>42837</v>
      </c>
      <c r="C61" s="954" t="s">
        <v>2767</v>
      </c>
      <c r="D61" s="2" t="s">
        <v>2768</v>
      </c>
      <c r="E61" s="950" t="s">
        <v>347</v>
      </c>
      <c r="F61" s="950">
        <v>1.25</v>
      </c>
    </row>
    <row r="62" spans="2:6" s="2" customFormat="1" ht="26.1" customHeight="1">
      <c r="B62" s="949">
        <v>42861</v>
      </c>
      <c r="C62" s="954" t="s">
        <v>2950</v>
      </c>
      <c r="D62" s="953" t="s">
        <v>2949</v>
      </c>
      <c r="E62" s="950" t="s">
        <v>347</v>
      </c>
      <c r="F62" s="950">
        <v>1.26</v>
      </c>
    </row>
    <row r="63" spans="2:6" s="2" customFormat="1" ht="26.1" customHeight="1">
      <c r="B63" s="949">
        <v>42861</v>
      </c>
      <c r="C63" s="954" t="s">
        <v>2951</v>
      </c>
      <c r="D63" s="953" t="s">
        <v>2949</v>
      </c>
      <c r="E63" s="950" t="s">
        <v>347</v>
      </c>
      <c r="F63" s="950">
        <v>1.26</v>
      </c>
    </row>
    <row r="64" spans="2:6" s="2" customFormat="1" ht="26.1" customHeight="1">
      <c r="B64" s="949">
        <v>42861</v>
      </c>
      <c r="C64" s="954" t="s">
        <v>2952</v>
      </c>
      <c r="D64" s="954" t="s">
        <v>2953</v>
      </c>
      <c r="E64" s="950" t="s">
        <v>347</v>
      </c>
      <c r="F64" s="950">
        <v>1.26</v>
      </c>
    </row>
    <row r="65" spans="2:6" s="2" customFormat="1" ht="26.1" customHeight="1">
      <c r="B65" s="949">
        <v>42861</v>
      </c>
      <c r="C65" s="954" t="s">
        <v>2954</v>
      </c>
      <c r="D65" s="953"/>
      <c r="E65" s="950" t="s">
        <v>347</v>
      </c>
      <c r="F65" s="950">
        <v>1.26</v>
      </c>
    </row>
    <row r="66" spans="2:6" s="2" customFormat="1" ht="26.1" customHeight="1">
      <c r="B66" s="949">
        <v>42861</v>
      </c>
      <c r="C66" s="954" t="s">
        <v>2955</v>
      </c>
      <c r="D66" s="953" t="s">
        <v>2956</v>
      </c>
      <c r="E66" s="950" t="s">
        <v>347</v>
      </c>
      <c r="F66" s="950">
        <v>1.26</v>
      </c>
    </row>
    <row r="67" spans="2:6" s="2" customFormat="1" ht="26.1" customHeight="1">
      <c r="B67" s="949">
        <v>42861</v>
      </c>
      <c r="C67" s="954" t="s">
        <v>2957</v>
      </c>
      <c r="D67" s="953" t="s">
        <v>2958</v>
      </c>
      <c r="E67" s="950" t="s">
        <v>347</v>
      </c>
      <c r="F67" s="950">
        <v>1.26</v>
      </c>
    </row>
    <row r="68" spans="2:6" s="2" customFormat="1" ht="26.1" customHeight="1">
      <c r="B68" s="949">
        <v>42861</v>
      </c>
      <c r="C68" s="954" t="s">
        <v>2959</v>
      </c>
      <c r="D68" s="954" t="s">
        <v>2960</v>
      </c>
      <c r="E68" s="950" t="s">
        <v>347</v>
      </c>
      <c r="F68" s="950">
        <v>1.26</v>
      </c>
    </row>
    <row r="69" spans="2:6" s="2" customFormat="1" ht="26.1" customHeight="1">
      <c r="B69" s="949">
        <v>42861</v>
      </c>
      <c r="C69" s="954" t="s">
        <v>2978</v>
      </c>
      <c r="D69" s="954" t="s">
        <v>2979</v>
      </c>
      <c r="E69" s="950" t="s">
        <v>347</v>
      </c>
      <c r="F69" s="950">
        <v>1.26</v>
      </c>
    </row>
    <row r="70" spans="2:6" s="2" customFormat="1" ht="26.1" customHeight="1">
      <c r="B70" s="949">
        <v>42861</v>
      </c>
      <c r="C70" s="954" t="s">
        <v>2981</v>
      </c>
      <c r="D70" s="954" t="s">
        <v>2980</v>
      </c>
      <c r="E70" s="950" t="s">
        <v>347</v>
      </c>
      <c r="F70" s="950">
        <v>1.26</v>
      </c>
    </row>
    <row r="71" spans="2:6" s="2" customFormat="1" ht="26.1" customHeight="1">
      <c r="B71" s="949">
        <v>42881</v>
      </c>
      <c r="C71" s="954" t="s">
        <v>2982</v>
      </c>
      <c r="D71" s="954" t="s">
        <v>2983</v>
      </c>
      <c r="E71" s="950" t="s">
        <v>347</v>
      </c>
      <c r="F71" s="950">
        <v>1.27</v>
      </c>
    </row>
    <row r="72" spans="2:6" s="2" customFormat="1" ht="26.1" customHeight="1">
      <c r="B72" s="949">
        <v>42881</v>
      </c>
      <c r="C72" s="954" t="s">
        <v>2985</v>
      </c>
      <c r="D72" s="954" t="s">
        <v>2984</v>
      </c>
      <c r="E72" s="950" t="s">
        <v>347</v>
      </c>
      <c r="F72" s="950">
        <v>1.27</v>
      </c>
    </row>
    <row r="73" spans="2:6" s="2" customFormat="1" ht="26.1" customHeight="1">
      <c r="B73" s="949">
        <v>42881</v>
      </c>
      <c r="C73" s="954" t="s">
        <v>2986</v>
      </c>
      <c r="D73" s="954" t="s">
        <v>2987</v>
      </c>
      <c r="E73" s="950" t="s">
        <v>347</v>
      </c>
      <c r="F73" s="950">
        <v>1.27</v>
      </c>
    </row>
    <row r="74" spans="2:6" s="2" customFormat="1" ht="26.1" customHeight="1">
      <c r="B74" s="949">
        <v>42881</v>
      </c>
      <c r="C74" s="954" t="s">
        <v>2989</v>
      </c>
      <c r="D74" s="954" t="s">
        <v>2988</v>
      </c>
      <c r="E74" s="950" t="s">
        <v>347</v>
      </c>
      <c r="F74" s="950">
        <v>1.27</v>
      </c>
    </row>
    <row r="75" spans="2:6" s="2" customFormat="1" ht="26.1" customHeight="1">
      <c r="B75" s="949">
        <v>42881</v>
      </c>
      <c r="C75" s="954" t="s">
        <v>2990</v>
      </c>
      <c r="D75" s="954" t="s">
        <v>2991</v>
      </c>
      <c r="E75" s="950" t="s">
        <v>347</v>
      </c>
      <c r="F75" s="950">
        <v>1.27</v>
      </c>
    </row>
    <row r="76" spans="2:6" s="2" customFormat="1" ht="26.1" customHeight="1">
      <c r="B76" s="949">
        <v>42881</v>
      </c>
      <c r="C76" s="954" t="s">
        <v>2992</v>
      </c>
      <c r="D76" s="954" t="s">
        <v>2993</v>
      </c>
      <c r="E76" s="950" t="s">
        <v>347</v>
      </c>
      <c r="F76" s="950">
        <v>1.27</v>
      </c>
    </row>
    <row r="77" spans="2:6" s="2" customFormat="1" ht="26.1" customHeight="1">
      <c r="B77" s="949">
        <v>42881</v>
      </c>
      <c r="C77" s="954" t="s">
        <v>2994</v>
      </c>
      <c r="D77" s="954" t="s">
        <v>2995</v>
      </c>
      <c r="E77" s="950" t="s">
        <v>347</v>
      </c>
      <c r="F77" s="950">
        <v>1.27</v>
      </c>
    </row>
    <row r="78" spans="2:6" s="2" customFormat="1" ht="26.1" customHeight="1">
      <c r="B78" s="949">
        <v>42887</v>
      </c>
      <c r="C78" s="954" t="s">
        <v>2997</v>
      </c>
      <c r="D78" s="954" t="s">
        <v>2998</v>
      </c>
      <c r="E78" s="950" t="s">
        <v>347</v>
      </c>
      <c r="F78" s="950">
        <v>1.28</v>
      </c>
    </row>
    <row r="79" spans="2:6" s="2" customFormat="1" ht="26.1" customHeight="1">
      <c r="B79" s="949">
        <v>42934</v>
      </c>
      <c r="C79" s="954" t="s">
        <v>3070</v>
      </c>
      <c r="D79" s="954"/>
      <c r="E79" s="950" t="s">
        <v>347</v>
      </c>
      <c r="F79" s="950">
        <v>1.29</v>
      </c>
    </row>
    <row r="80" spans="2:6" s="2" customFormat="1" ht="26.1" customHeight="1">
      <c r="B80" s="955">
        <v>42954</v>
      </c>
      <c r="C80" s="954" t="s">
        <v>3094</v>
      </c>
      <c r="D80" s="954"/>
      <c r="E80" s="950" t="s">
        <v>347</v>
      </c>
      <c r="F80" s="950">
        <v>1.29</v>
      </c>
    </row>
    <row r="81" spans="2:6" s="2" customFormat="1" ht="26.1" customHeight="1">
      <c r="B81" s="955">
        <v>42955</v>
      </c>
      <c r="C81" s="954" t="s">
        <v>3097</v>
      </c>
      <c r="D81" s="954" t="s">
        <v>3098</v>
      </c>
      <c r="E81" s="950" t="s">
        <v>347</v>
      </c>
      <c r="F81" s="950">
        <v>1.29</v>
      </c>
    </row>
    <row r="82" spans="2:6" s="2" customFormat="1" ht="26.1" customHeight="1">
      <c r="B82" s="955">
        <v>42959</v>
      </c>
      <c r="C82" s="954" t="s">
        <v>3099</v>
      </c>
      <c r="D82" s="954" t="s">
        <v>3100</v>
      </c>
      <c r="E82" s="950" t="s">
        <v>347</v>
      </c>
      <c r="F82" s="950">
        <v>1.29</v>
      </c>
    </row>
    <row r="83" spans="2:6" s="2" customFormat="1" ht="26.1" customHeight="1">
      <c r="B83" s="955">
        <v>42959</v>
      </c>
      <c r="C83" s="954" t="s">
        <v>3101</v>
      </c>
      <c r="D83" s="954" t="s">
        <v>3102</v>
      </c>
      <c r="E83" s="950" t="s">
        <v>347</v>
      </c>
      <c r="F83" s="950">
        <v>1.29</v>
      </c>
    </row>
    <row r="84" spans="2:6" s="2" customFormat="1" ht="26.1" customHeight="1">
      <c r="B84" s="955">
        <v>42959</v>
      </c>
      <c r="C84" s="954" t="s">
        <v>3103</v>
      </c>
      <c r="D84" s="954" t="s">
        <v>3104</v>
      </c>
      <c r="E84" s="950" t="s">
        <v>347</v>
      </c>
      <c r="F84" s="950">
        <v>1.29</v>
      </c>
    </row>
    <row r="85" spans="2:6" s="2" customFormat="1" ht="26.1" customHeight="1">
      <c r="B85" s="955">
        <v>42962</v>
      </c>
      <c r="C85" s="954" t="s">
        <v>3110</v>
      </c>
      <c r="D85" s="954" t="s">
        <v>3111</v>
      </c>
      <c r="E85" s="950" t="s">
        <v>347</v>
      </c>
      <c r="F85" s="991" t="s">
        <v>3109</v>
      </c>
    </row>
    <row r="86" spans="2:6" s="2" customFormat="1" ht="26.1" customHeight="1">
      <c r="B86" s="955">
        <v>42962</v>
      </c>
      <c r="C86" s="954" t="s">
        <v>3112</v>
      </c>
      <c r="D86" s="954" t="s">
        <v>3113</v>
      </c>
      <c r="E86" s="950" t="s">
        <v>347</v>
      </c>
      <c r="F86" s="991" t="s">
        <v>3109</v>
      </c>
    </row>
    <row r="87" spans="2:6" s="2" customFormat="1" ht="26.1" customHeight="1">
      <c r="B87" s="955">
        <v>42965</v>
      </c>
      <c r="C87" s="954" t="s">
        <v>3114</v>
      </c>
      <c r="D87" s="954" t="s">
        <v>3115</v>
      </c>
      <c r="E87" s="950" t="s">
        <v>347</v>
      </c>
      <c r="F87" s="991" t="s">
        <v>3109</v>
      </c>
    </row>
    <row r="88" spans="2:6" s="2" customFormat="1" ht="26.1" customHeight="1">
      <c r="B88" s="955">
        <v>42965</v>
      </c>
      <c r="C88" s="954" t="s">
        <v>3120</v>
      </c>
      <c r="D88" s="954" t="s">
        <v>3121</v>
      </c>
      <c r="E88" s="950" t="s">
        <v>347</v>
      </c>
      <c r="F88" s="991" t="s">
        <v>3109</v>
      </c>
    </row>
    <row r="89" spans="2:6" s="2" customFormat="1" ht="26.1" customHeight="1">
      <c r="B89" s="955">
        <v>42966</v>
      </c>
      <c r="C89" s="954" t="s">
        <v>3123</v>
      </c>
      <c r="D89" s="954" t="s">
        <v>3124</v>
      </c>
      <c r="E89" s="950" t="s">
        <v>347</v>
      </c>
      <c r="F89" s="991" t="s">
        <v>3122</v>
      </c>
    </row>
    <row r="90" spans="2:6" s="2" customFormat="1" ht="26.1" customHeight="1">
      <c r="B90" s="955">
        <v>42966</v>
      </c>
      <c r="C90" s="954" t="s">
        <v>3126</v>
      </c>
      <c r="D90" s="954" t="s">
        <v>3125</v>
      </c>
      <c r="E90" s="950" t="s">
        <v>347</v>
      </c>
      <c r="F90" s="991" t="s">
        <v>3122</v>
      </c>
    </row>
    <row r="91" spans="2:6" s="2" customFormat="1" ht="26.1" customHeight="1">
      <c r="B91" s="955">
        <v>42966</v>
      </c>
      <c r="C91" s="954" t="s">
        <v>3127</v>
      </c>
      <c r="D91" s="954" t="s">
        <v>3128</v>
      </c>
      <c r="E91" s="950" t="s">
        <v>347</v>
      </c>
      <c r="F91" s="991" t="s">
        <v>3122</v>
      </c>
    </row>
    <row r="92" spans="2:6" s="2" customFormat="1" ht="26.1" customHeight="1">
      <c r="B92" s="1662">
        <v>42966</v>
      </c>
      <c r="C92" s="1661" t="s">
        <v>3132</v>
      </c>
      <c r="D92" s="1661" t="s">
        <v>3129</v>
      </c>
      <c r="E92" s="1660" t="s">
        <v>347</v>
      </c>
      <c r="F92" s="1663" t="s">
        <v>3122</v>
      </c>
    </row>
    <row r="93" spans="2:6" s="2" customFormat="1" ht="26.1" customHeight="1">
      <c r="B93" s="1662">
        <v>42966</v>
      </c>
      <c r="C93" s="1661" t="s">
        <v>3130</v>
      </c>
      <c r="D93" s="1661" t="s">
        <v>3129</v>
      </c>
      <c r="E93" s="1660" t="s">
        <v>347</v>
      </c>
      <c r="F93" s="1663" t="s">
        <v>3122</v>
      </c>
    </row>
    <row r="94" spans="2:6" s="2" customFormat="1" ht="26.1" customHeight="1">
      <c r="B94" s="1662">
        <v>42966</v>
      </c>
      <c r="C94" s="1661" t="s">
        <v>3131</v>
      </c>
      <c r="D94" s="1661" t="s">
        <v>3129</v>
      </c>
      <c r="E94" s="1660" t="s">
        <v>347</v>
      </c>
      <c r="F94" s="1663" t="s">
        <v>3122</v>
      </c>
    </row>
    <row r="95" spans="2:6" s="2" customFormat="1" ht="26.1" customHeight="1">
      <c r="B95" s="1662">
        <v>42972</v>
      </c>
      <c r="C95" s="1661" t="s">
        <v>3137</v>
      </c>
      <c r="D95" s="1661" t="s">
        <v>3136</v>
      </c>
      <c r="E95" s="1660" t="s">
        <v>347</v>
      </c>
      <c r="F95" s="1663" t="s">
        <v>3122</v>
      </c>
    </row>
    <row r="96" spans="2:6" s="2" customFormat="1" ht="26.1" customHeight="1">
      <c r="B96" s="1662">
        <v>42972</v>
      </c>
      <c r="C96" s="1661" t="s">
        <v>3138</v>
      </c>
      <c r="D96" s="1661" t="s">
        <v>3139</v>
      </c>
      <c r="E96" s="1660" t="s">
        <v>347</v>
      </c>
      <c r="F96" s="1663" t="s">
        <v>3122</v>
      </c>
    </row>
    <row r="97" spans="2:6" s="2" customFormat="1" ht="26.1" customHeight="1">
      <c r="B97" s="949">
        <v>42984</v>
      </c>
      <c r="C97" s="2" t="s">
        <v>3143</v>
      </c>
      <c r="D97" s="2" t="s">
        <v>3144</v>
      </c>
      <c r="E97" s="950" t="s">
        <v>347</v>
      </c>
      <c r="F97" s="950" t="s">
        <v>3122</v>
      </c>
    </row>
    <row r="98" spans="2:6" s="2" customFormat="1" ht="26.1" customHeight="1">
      <c r="B98" s="949">
        <v>43068</v>
      </c>
      <c r="C98" s="2" t="s">
        <v>3146</v>
      </c>
      <c r="D98" s="2" t="s">
        <v>3145</v>
      </c>
      <c r="E98" s="1660" t="s">
        <v>347</v>
      </c>
      <c r="F98" s="1660">
        <v>1.32</v>
      </c>
    </row>
    <row r="99" spans="2:6" s="2" customFormat="1" ht="26.1" customHeight="1">
      <c r="B99" s="949">
        <v>43070</v>
      </c>
      <c r="C99" s="1661" t="s">
        <v>3160</v>
      </c>
      <c r="D99" s="1661" t="s">
        <v>3159</v>
      </c>
      <c r="E99" s="1660" t="s">
        <v>347</v>
      </c>
      <c r="F99" s="1660">
        <v>1.32</v>
      </c>
    </row>
    <row r="100" spans="2:6" s="2" customFormat="1" ht="26.1" customHeight="1">
      <c r="B100" s="949">
        <v>43071</v>
      </c>
      <c r="C100" s="1661" t="s">
        <v>3162</v>
      </c>
      <c r="D100" s="1661" t="s">
        <v>3161</v>
      </c>
      <c r="E100" s="1660" t="s">
        <v>347</v>
      </c>
      <c r="F100" s="1660">
        <v>1.32</v>
      </c>
    </row>
    <row r="101" spans="2:6" s="2" customFormat="1" ht="26.1" customHeight="1">
      <c r="B101" s="949">
        <v>43071</v>
      </c>
      <c r="C101" s="1661" t="s">
        <v>3169</v>
      </c>
      <c r="D101" s="1661" t="s">
        <v>3168</v>
      </c>
      <c r="E101" s="1660" t="s">
        <v>347</v>
      </c>
      <c r="F101" s="1660">
        <v>1.32</v>
      </c>
    </row>
    <row r="102" spans="2:6" s="2" customFormat="1" ht="26.1" customHeight="1">
      <c r="B102" s="949">
        <v>43071</v>
      </c>
      <c r="C102" s="1661" t="s">
        <v>3170</v>
      </c>
      <c r="D102" s="1661" t="s">
        <v>3171</v>
      </c>
      <c r="E102" s="1660" t="s">
        <v>347</v>
      </c>
      <c r="F102" s="1660">
        <v>1.32</v>
      </c>
    </row>
    <row r="103" spans="2:6" s="2" customFormat="1" ht="26.1" customHeight="1">
      <c r="B103" s="949">
        <v>43071</v>
      </c>
      <c r="C103" s="1661" t="s">
        <v>3172</v>
      </c>
      <c r="D103" s="1661" t="s">
        <v>3173</v>
      </c>
      <c r="E103" s="1660" t="s">
        <v>347</v>
      </c>
      <c r="F103" s="1660">
        <v>1.32</v>
      </c>
    </row>
    <row r="104" spans="2:6" s="2" customFormat="1" ht="26.1" customHeight="1">
      <c r="B104" s="949">
        <v>43071</v>
      </c>
      <c r="C104" s="1661" t="s">
        <v>3174</v>
      </c>
      <c r="D104" s="1661" t="s">
        <v>3175</v>
      </c>
      <c r="E104" s="1660" t="s">
        <v>347</v>
      </c>
      <c r="F104" s="1660">
        <v>1.32</v>
      </c>
    </row>
    <row r="105" spans="2:6" s="2" customFormat="1" ht="26.1" customHeight="1">
      <c r="B105" s="949">
        <v>43071</v>
      </c>
      <c r="C105" s="1661" t="s">
        <v>3176</v>
      </c>
      <c r="D105" s="1661" t="s">
        <v>3177</v>
      </c>
      <c r="E105" s="1660" t="s">
        <v>347</v>
      </c>
      <c r="F105" s="1660">
        <v>1.32</v>
      </c>
    </row>
    <row r="106" spans="2:6" s="2" customFormat="1" ht="26.1" customHeight="1">
      <c r="B106" s="949">
        <v>43071</v>
      </c>
      <c r="C106" s="1661" t="s">
        <v>3185</v>
      </c>
      <c r="D106" s="1661" t="s">
        <v>3186</v>
      </c>
      <c r="E106" s="1660" t="s">
        <v>347</v>
      </c>
      <c r="F106" s="1660">
        <v>1.32</v>
      </c>
    </row>
    <row r="107" spans="2:6" s="2" customFormat="1" ht="26.1" customHeight="1">
      <c r="B107" s="949">
        <v>43071</v>
      </c>
      <c r="C107" s="1661" t="s">
        <v>3187</v>
      </c>
      <c r="D107" s="1661" t="s">
        <v>3188</v>
      </c>
      <c r="E107" s="1660" t="s">
        <v>347</v>
      </c>
      <c r="F107" s="1660">
        <v>1.32</v>
      </c>
    </row>
    <row r="108" spans="2:6" s="2" customFormat="1" ht="26.1" customHeight="1">
      <c r="B108" s="949">
        <v>43071</v>
      </c>
      <c r="C108" s="1661" t="s">
        <v>3189</v>
      </c>
      <c r="D108" s="1661" t="s">
        <v>3190</v>
      </c>
      <c r="E108" s="1660" t="s">
        <v>347</v>
      </c>
      <c r="F108" s="1660">
        <v>1.32</v>
      </c>
    </row>
    <row r="109" spans="2:6" s="2" customFormat="1" ht="26.1" customHeight="1">
      <c r="B109" s="949">
        <v>43071</v>
      </c>
      <c r="C109" s="1661" t="s">
        <v>3192</v>
      </c>
      <c r="D109" s="1661" t="s">
        <v>3193</v>
      </c>
      <c r="E109" s="1660" t="s">
        <v>347</v>
      </c>
      <c r="F109" s="1660">
        <v>1.32</v>
      </c>
    </row>
    <row r="110" spans="2:6" s="2" customFormat="1" ht="26.1" customHeight="1">
      <c r="B110" s="949">
        <v>43071</v>
      </c>
      <c r="C110" s="1661" t="s">
        <v>3194</v>
      </c>
      <c r="D110" s="1661" t="s">
        <v>3193</v>
      </c>
      <c r="E110" s="1660" t="s">
        <v>347</v>
      </c>
      <c r="F110" s="1660">
        <v>1.32</v>
      </c>
    </row>
    <row r="111" spans="2:6" s="2" customFormat="1" ht="26.1" customHeight="1">
      <c r="B111" s="949">
        <v>43072</v>
      </c>
      <c r="C111" s="1661" t="s">
        <v>3195</v>
      </c>
      <c r="D111" s="1661" t="s">
        <v>3196</v>
      </c>
      <c r="E111" s="1660" t="s">
        <v>347</v>
      </c>
      <c r="F111" s="1660">
        <v>1.33</v>
      </c>
    </row>
    <row r="112" spans="2:6" s="2" customFormat="1" ht="26.1" customHeight="1">
      <c r="B112" s="949">
        <v>43074</v>
      </c>
      <c r="C112" s="1661" t="s">
        <v>3199</v>
      </c>
      <c r="D112" s="1661" t="s">
        <v>3200</v>
      </c>
      <c r="E112" s="1660" t="s">
        <v>347</v>
      </c>
      <c r="F112" s="1660">
        <v>1.33</v>
      </c>
    </row>
    <row r="113" spans="2:6" s="2" customFormat="1" ht="26.1" customHeight="1">
      <c r="B113" s="949">
        <v>43075</v>
      </c>
      <c r="C113" s="1661" t="s">
        <v>3197</v>
      </c>
      <c r="D113" s="1661" t="s">
        <v>3198</v>
      </c>
      <c r="E113" s="1660" t="s">
        <v>347</v>
      </c>
      <c r="F113" s="1660">
        <v>1.33</v>
      </c>
    </row>
    <row r="114" spans="2:6" s="2" customFormat="1" ht="26.1" customHeight="1">
      <c r="B114" s="949">
        <v>43081</v>
      </c>
      <c r="C114" s="1661" t="s">
        <v>3202</v>
      </c>
      <c r="D114" s="1661" t="s">
        <v>3201</v>
      </c>
      <c r="E114" s="1660" t="s">
        <v>347</v>
      </c>
      <c r="F114" s="1660">
        <v>1.33</v>
      </c>
    </row>
    <row r="115" spans="2:6" s="2" customFormat="1" ht="26.1" customHeight="1">
      <c r="B115" s="949">
        <v>43082</v>
      </c>
      <c r="C115" s="1661" t="s">
        <v>3208</v>
      </c>
      <c r="D115" s="1661" t="s">
        <v>3209</v>
      </c>
      <c r="E115" s="1660" t="s">
        <v>347</v>
      </c>
      <c r="F115" s="1660">
        <v>1.34</v>
      </c>
    </row>
    <row r="116" spans="2:6" s="2" customFormat="1" ht="26.1" customHeight="1">
      <c r="B116" s="949">
        <v>43082</v>
      </c>
      <c r="C116" s="1661" t="s">
        <v>3210</v>
      </c>
      <c r="D116" s="1661" t="s">
        <v>3193</v>
      </c>
      <c r="E116" s="1660" t="s">
        <v>347</v>
      </c>
      <c r="F116" s="1660">
        <v>1.34</v>
      </c>
    </row>
    <row r="117" spans="2:6" s="2" customFormat="1" ht="26.1" customHeight="1">
      <c r="B117" s="949">
        <v>43085</v>
      </c>
      <c r="C117" s="1661" t="s">
        <v>3212</v>
      </c>
      <c r="D117" s="1661" t="s">
        <v>3213</v>
      </c>
      <c r="E117" s="1660" t="s">
        <v>347</v>
      </c>
      <c r="F117" s="1660">
        <v>1.35</v>
      </c>
    </row>
    <row r="118" spans="2:6" s="2" customFormat="1" ht="26.1" customHeight="1">
      <c r="B118" s="949">
        <v>43085</v>
      </c>
      <c r="C118" s="1661" t="s">
        <v>3214</v>
      </c>
      <c r="D118" s="1661" t="s">
        <v>3215</v>
      </c>
      <c r="E118" s="1660" t="s">
        <v>347</v>
      </c>
      <c r="F118" s="1660">
        <v>1.35</v>
      </c>
    </row>
    <row r="119" spans="2:6" s="2" customFormat="1" ht="26.1" customHeight="1">
      <c r="B119" s="949">
        <v>43086</v>
      </c>
      <c r="C119" s="1661" t="s">
        <v>3218</v>
      </c>
      <c r="D119" s="1661" t="s">
        <v>3219</v>
      </c>
      <c r="E119" s="1660" t="s">
        <v>347</v>
      </c>
      <c r="F119" s="1660">
        <v>2</v>
      </c>
    </row>
    <row r="120" spans="2:6" s="2" customFormat="1" ht="26.1" customHeight="1">
      <c r="B120" s="949">
        <v>43096</v>
      </c>
      <c r="C120" s="1661" t="s">
        <v>3220</v>
      </c>
      <c r="D120" s="1661" t="s">
        <v>3221</v>
      </c>
      <c r="E120" s="1660" t="s">
        <v>347</v>
      </c>
      <c r="F120" s="1660">
        <v>2</v>
      </c>
    </row>
    <row r="121" spans="2:6" s="2" customFormat="1" ht="26.1" customHeight="1">
      <c r="B121" s="949">
        <v>43096</v>
      </c>
      <c r="C121" s="1661" t="s">
        <v>3222</v>
      </c>
      <c r="D121" s="1661" t="s">
        <v>3223</v>
      </c>
      <c r="E121" s="1660" t="s">
        <v>347</v>
      </c>
      <c r="F121" s="1660">
        <v>2</v>
      </c>
    </row>
    <row r="122" spans="2:6" s="2" customFormat="1" ht="26.1" customHeight="1">
      <c r="B122" s="949">
        <v>43096</v>
      </c>
      <c r="C122" s="1661" t="s">
        <v>3226</v>
      </c>
      <c r="D122" s="1661" t="s">
        <v>3225</v>
      </c>
      <c r="E122" s="1660" t="s">
        <v>347</v>
      </c>
      <c r="F122" s="1660">
        <v>2</v>
      </c>
    </row>
    <row r="123" spans="2:6" s="2" customFormat="1" ht="26.1" customHeight="1">
      <c r="B123" s="949">
        <v>43108</v>
      </c>
      <c r="C123" s="1661" t="s">
        <v>3300</v>
      </c>
      <c r="D123" s="1661" t="s">
        <v>3301</v>
      </c>
      <c r="E123" s="1660" t="s">
        <v>347</v>
      </c>
      <c r="F123" s="1660">
        <v>2</v>
      </c>
    </row>
    <row r="124" spans="2:6" s="2" customFormat="1" ht="26.1" customHeight="1">
      <c r="B124" s="949">
        <v>43108</v>
      </c>
      <c r="C124" s="1661" t="s">
        <v>3302</v>
      </c>
      <c r="D124" s="1661" t="s">
        <v>3303</v>
      </c>
      <c r="E124" s="1660" t="s">
        <v>347</v>
      </c>
      <c r="F124" s="1660">
        <v>2</v>
      </c>
    </row>
    <row r="125" spans="2:6" s="2" customFormat="1" ht="26.1" customHeight="1">
      <c r="B125" s="949">
        <v>43108</v>
      </c>
      <c r="C125" s="1661" t="s">
        <v>3304</v>
      </c>
      <c r="D125" s="1661" t="s">
        <v>3303</v>
      </c>
      <c r="E125" s="1660" t="s">
        <v>347</v>
      </c>
      <c r="F125" s="1660">
        <v>2</v>
      </c>
    </row>
    <row r="126" spans="2:6" s="2" customFormat="1" ht="26.1" customHeight="1">
      <c r="B126" s="949">
        <v>43115</v>
      </c>
      <c r="C126" s="1661" t="s">
        <v>3305</v>
      </c>
      <c r="D126" s="1661" t="s">
        <v>3306</v>
      </c>
      <c r="E126" s="1660" t="s">
        <v>347</v>
      </c>
      <c r="F126" s="1660">
        <v>2.0099999999999998</v>
      </c>
    </row>
    <row r="127" spans="2:6" s="2" customFormat="1" ht="26.1" customHeight="1">
      <c r="B127" s="949">
        <v>43115</v>
      </c>
      <c r="C127" s="1661" t="s">
        <v>3308</v>
      </c>
      <c r="D127" s="1661" t="s">
        <v>3309</v>
      </c>
      <c r="E127" s="1660" t="s">
        <v>347</v>
      </c>
      <c r="F127" s="1660">
        <v>2.0099999999999998</v>
      </c>
    </row>
    <row r="128" spans="2:6" s="2" customFormat="1" ht="26.1" customHeight="1">
      <c r="B128" s="949">
        <v>43126</v>
      </c>
      <c r="C128" s="1661" t="s">
        <v>3310</v>
      </c>
      <c r="D128" s="1661" t="s">
        <v>3311</v>
      </c>
      <c r="E128" s="1660" t="s">
        <v>347</v>
      </c>
      <c r="F128" s="1660">
        <v>2.0099999999999998</v>
      </c>
    </row>
    <row r="129" spans="2:6" s="2" customFormat="1" ht="26.1" customHeight="1">
      <c r="B129" s="949">
        <v>43126</v>
      </c>
      <c r="C129" s="1661" t="s">
        <v>3312</v>
      </c>
      <c r="D129" s="1661" t="s">
        <v>3313</v>
      </c>
      <c r="E129" s="1660" t="s">
        <v>347</v>
      </c>
      <c r="F129" s="1660">
        <v>2.0099999999999998</v>
      </c>
    </row>
    <row r="130" spans="2:6" s="2" customFormat="1" ht="26.1" customHeight="1">
      <c r="B130" s="949">
        <v>43126</v>
      </c>
      <c r="C130" s="1661" t="s">
        <v>3314</v>
      </c>
      <c r="D130" s="1661" t="s">
        <v>3315</v>
      </c>
      <c r="E130" s="1660" t="s">
        <v>347</v>
      </c>
      <c r="F130" s="1660">
        <v>2.0099999999999998</v>
      </c>
    </row>
    <row r="131" spans="2:6" s="2" customFormat="1" ht="26.1" customHeight="1">
      <c r="B131" s="949">
        <v>43126</v>
      </c>
      <c r="C131" s="1661" t="s">
        <v>3317</v>
      </c>
      <c r="D131" s="1661" t="s">
        <v>3318</v>
      </c>
      <c r="E131" s="1660" t="s">
        <v>347</v>
      </c>
      <c r="F131" s="1660">
        <v>2.02</v>
      </c>
    </row>
    <row r="132" spans="2:6" s="2" customFormat="1" ht="26.1" customHeight="1">
      <c r="B132" s="949">
        <v>43130</v>
      </c>
      <c r="C132" s="1661" t="s">
        <v>3317</v>
      </c>
      <c r="D132" s="1661" t="s">
        <v>3319</v>
      </c>
      <c r="E132" s="1660" t="s">
        <v>347</v>
      </c>
      <c r="F132" s="1660">
        <v>2.02</v>
      </c>
    </row>
    <row r="133" spans="2:6" s="2" customFormat="1" ht="26.1" customHeight="1">
      <c r="B133" s="949">
        <v>43432</v>
      </c>
      <c r="C133" s="1661" t="s">
        <v>3468</v>
      </c>
      <c r="D133" s="1661" t="s">
        <v>3469</v>
      </c>
      <c r="E133" s="1660" t="s">
        <v>347</v>
      </c>
      <c r="F133" s="1660">
        <v>2.1</v>
      </c>
    </row>
    <row r="134" spans="2:6" s="2" customFormat="1" ht="26.1" customHeight="1">
      <c r="B134" s="949">
        <v>43432</v>
      </c>
      <c r="C134" s="1661" t="s">
        <v>3349</v>
      </c>
      <c r="D134" s="1661" t="s">
        <v>3350</v>
      </c>
      <c r="E134" s="1660" t="s">
        <v>3353</v>
      </c>
      <c r="F134" s="1660">
        <v>2.1</v>
      </c>
    </row>
    <row r="135" spans="2:6" s="2" customFormat="1" ht="26.1" customHeight="1">
      <c r="B135" s="949">
        <v>43432</v>
      </c>
      <c r="C135" s="1661" t="s">
        <v>3459</v>
      </c>
      <c r="D135" s="1661" t="s">
        <v>3460</v>
      </c>
      <c r="E135" s="1660" t="s">
        <v>3353</v>
      </c>
      <c r="F135" s="1660">
        <v>2.1</v>
      </c>
    </row>
    <row r="136" spans="2:6" s="2" customFormat="1" ht="26.1" customHeight="1">
      <c r="B136" s="949">
        <v>43432</v>
      </c>
      <c r="C136" s="1661" t="s">
        <v>3458</v>
      </c>
      <c r="D136" s="1661" t="s">
        <v>3453</v>
      </c>
      <c r="E136" s="1660" t="s">
        <v>3353</v>
      </c>
      <c r="F136" s="1660">
        <v>2.1</v>
      </c>
    </row>
    <row r="137" spans="2:6" s="2" customFormat="1" ht="26.1" customHeight="1">
      <c r="B137" s="949">
        <v>43441</v>
      </c>
      <c r="C137" s="1661" t="s">
        <v>3357</v>
      </c>
      <c r="D137" s="1661" t="s">
        <v>3358</v>
      </c>
      <c r="E137" s="1660" t="s">
        <v>347</v>
      </c>
      <c r="F137" s="1660">
        <v>2.1</v>
      </c>
    </row>
    <row r="138" spans="2:6" s="2" customFormat="1" ht="26.1" customHeight="1">
      <c r="B138" s="949">
        <v>43441</v>
      </c>
      <c r="C138" s="1661" t="s">
        <v>3359</v>
      </c>
      <c r="D138" s="1661" t="s">
        <v>3360</v>
      </c>
      <c r="E138" s="1660" t="s">
        <v>347</v>
      </c>
      <c r="F138" s="1660">
        <v>2.1</v>
      </c>
    </row>
    <row r="139" spans="2:6" s="2" customFormat="1" ht="26.1" customHeight="1">
      <c r="B139" s="949">
        <v>43441</v>
      </c>
      <c r="C139" s="1661" t="s">
        <v>3362</v>
      </c>
      <c r="D139" s="1661" t="s">
        <v>3363</v>
      </c>
      <c r="E139" s="1660" t="s">
        <v>347</v>
      </c>
      <c r="F139" s="1660">
        <v>2.1</v>
      </c>
    </row>
    <row r="140" spans="2:6" s="2" customFormat="1" ht="26.1" customHeight="1">
      <c r="B140" s="949">
        <v>43441</v>
      </c>
      <c r="C140" s="1661" t="s">
        <v>3365</v>
      </c>
      <c r="D140" s="1661" t="s">
        <v>3364</v>
      </c>
      <c r="E140" s="1660" t="s">
        <v>347</v>
      </c>
      <c r="F140" s="1660">
        <v>2.1</v>
      </c>
    </row>
    <row r="141" spans="2:6" s="2" customFormat="1" ht="26.1" customHeight="1">
      <c r="B141" s="949">
        <v>43441</v>
      </c>
      <c r="C141" s="1661" t="s">
        <v>3366</v>
      </c>
      <c r="D141" s="1661" t="s">
        <v>3364</v>
      </c>
      <c r="E141" s="1660" t="s">
        <v>347</v>
      </c>
      <c r="F141" s="1660">
        <v>2.1</v>
      </c>
    </row>
    <row r="142" spans="2:6" s="2" customFormat="1" ht="26.1" customHeight="1">
      <c r="B142" s="949">
        <v>43441</v>
      </c>
      <c r="C142" s="1661" t="s">
        <v>3367</v>
      </c>
      <c r="D142" s="1661" t="s">
        <v>3368</v>
      </c>
      <c r="E142" s="1660" t="s">
        <v>347</v>
      </c>
      <c r="F142" s="1660">
        <v>2.1</v>
      </c>
    </row>
    <row r="143" spans="2:6" s="2" customFormat="1" ht="26.1" customHeight="1">
      <c r="B143" s="949">
        <v>43441</v>
      </c>
      <c r="C143" s="1661" t="s">
        <v>3370</v>
      </c>
      <c r="D143" s="1661" t="s">
        <v>3371</v>
      </c>
      <c r="E143" s="1660" t="s">
        <v>347</v>
      </c>
      <c r="F143" s="1660">
        <v>2.1</v>
      </c>
    </row>
    <row r="144" spans="2:6" s="2" customFormat="1" ht="26.1" customHeight="1">
      <c r="B144" s="949">
        <v>43441</v>
      </c>
      <c r="C144" s="1661" t="s">
        <v>3372</v>
      </c>
      <c r="D144" s="1661" t="s">
        <v>3371</v>
      </c>
      <c r="E144" s="1660" t="s">
        <v>347</v>
      </c>
      <c r="F144" s="1660">
        <v>2.1</v>
      </c>
    </row>
    <row r="145" spans="2:6" s="2" customFormat="1" ht="26.1" customHeight="1">
      <c r="B145" s="949">
        <v>43441</v>
      </c>
      <c r="C145" s="1661" t="s">
        <v>3373</v>
      </c>
      <c r="D145" s="1661" t="s">
        <v>3374</v>
      </c>
      <c r="E145" s="1660" t="s">
        <v>347</v>
      </c>
      <c r="F145" s="1660">
        <v>2.1</v>
      </c>
    </row>
    <row r="146" spans="2:6" s="2" customFormat="1" ht="26.1" customHeight="1">
      <c r="B146" s="949">
        <v>43442</v>
      </c>
      <c r="C146" s="1661" t="s">
        <v>3461</v>
      </c>
      <c r="D146" s="1661" t="s">
        <v>3462</v>
      </c>
      <c r="E146" s="1660" t="s">
        <v>347</v>
      </c>
      <c r="F146" s="1660">
        <v>2.1</v>
      </c>
    </row>
    <row r="147" spans="2:6" s="2" customFormat="1" ht="26.1" customHeight="1">
      <c r="B147" s="949">
        <v>43442</v>
      </c>
      <c r="C147" s="1661" t="s">
        <v>3463</v>
      </c>
      <c r="D147" s="1661" t="s">
        <v>3462</v>
      </c>
      <c r="E147" s="1660" t="s">
        <v>347</v>
      </c>
      <c r="F147" s="1660">
        <v>2.1</v>
      </c>
    </row>
    <row r="148" spans="2:6" s="2" customFormat="1" ht="26.1" customHeight="1">
      <c r="B148" s="949">
        <v>43442</v>
      </c>
      <c r="C148" s="1661" t="s">
        <v>3464</v>
      </c>
      <c r="D148" s="1661" t="s">
        <v>3465</v>
      </c>
      <c r="E148" s="1660" t="s">
        <v>347</v>
      </c>
      <c r="F148" s="1660">
        <v>2.1</v>
      </c>
    </row>
    <row r="149" spans="2:6" s="2" customFormat="1" ht="26.1" customHeight="1">
      <c r="B149" s="949">
        <v>43442</v>
      </c>
      <c r="C149" s="1661" t="s">
        <v>3466</v>
      </c>
      <c r="D149" s="1661" t="s">
        <v>3467</v>
      </c>
      <c r="E149" s="1660" t="s">
        <v>347</v>
      </c>
      <c r="F149" s="1660">
        <v>2.1</v>
      </c>
    </row>
    <row r="150" spans="2:6" s="2" customFormat="1" ht="26.1" customHeight="1">
      <c r="B150" s="949">
        <v>43442</v>
      </c>
      <c r="C150" s="1661" t="s">
        <v>3490</v>
      </c>
      <c r="D150" s="1661" t="s">
        <v>3491</v>
      </c>
      <c r="E150" s="1660" t="s">
        <v>347</v>
      </c>
      <c r="F150" s="1660">
        <v>2.1</v>
      </c>
    </row>
    <row r="151" spans="2:6" s="2" customFormat="1" ht="26.1" customHeight="1">
      <c r="B151" s="949">
        <v>43442</v>
      </c>
      <c r="C151" s="1661" t="s">
        <v>3492</v>
      </c>
      <c r="D151" s="1661" t="s">
        <v>3493</v>
      </c>
      <c r="E151" s="1660" t="s">
        <v>347</v>
      </c>
      <c r="F151" s="1660">
        <v>2.1</v>
      </c>
    </row>
    <row r="152" spans="2:6" s="2" customFormat="1" ht="26.1" customHeight="1">
      <c r="B152" s="949">
        <v>43445</v>
      </c>
      <c r="C152" s="1661" t="s">
        <v>3498</v>
      </c>
      <c r="D152" s="1661" t="s">
        <v>3499</v>
      </c>
      <c r="E152" s="1660" t="s">
        <v>347</v>
      </c>
      <c r="F152" s="1660">
        <v>2.1</v>
      </c>
    </row>
    <row r="153" spans="2:6" s="2" customFormat="1" ht="26.1" customHeight="1">
      <c r="B153" s="949">
        <v>43445</v>
      </c>
      <c r="C153" s="1661" t="s">
        <v>3500</v>
      </c>
      <c r="D153" s="1661" t="s">
        <v>3501</v>
      </c>
      <c r="E153" s="1660" t="s">
        <v>347</v>
      </c>
      <c r="F153" s="1660">
        <v>2.1</v>
      </c>
    </row>
    <row r="154" spans="2:6" s="2" customFormat="1" ht="26.1" customHeight="1">
      <c r="B154" s="949">
        <v>43446</v>
      </c>
      <c r="C154" s="1661" t="s">
        <v>3511</v>
      </c>
      <c r="D154" s="1661" t="s">
        <v>3510</v>
      </c>
      <c r="E154" s="1660" t="s">
        <v>347</v>
      </c>
      <c r="F154" s="1660">
        <v>2.1</v>
      </c>
    </row>
    <row r="155" spans="2:6" s="2" customFormat="1" ht="26.1" customHeight="1">
      <c r="B155" s="949">
        <v>43446</v>
      </c>
      <c r="C155" s="1661" t="s">
        <v>3512</v>
      </c>
      <c r="D155" s="1661" t="s">
        <v>3513</v>
      </c>
      <c r="E155" s="1660" t="s">
        <v>347</v>
      </c>
      <c r="F155" s="1660">
        <v>2.1</v>
      </c>
    </row>
    <row r="156" spans="2:6" s="2" customFormat="1" ht="26.1" customHeight="1">
      <c r="B156" s="949">
        <v>43447</v>
      </c>
      <c r="C156" s="1661" t="s">
        <v>3518</v>
      </c>
      <c r="D156" s="1661" t="s">
        <v>3517</v>
      </c>
      <c r="E156" s="1660" t="s">
        <v>347</v>
      </c>
      <c r="F156" s="1660">
        <v>2.1</v>
      </c>
    </row>
    <row r="157" spans="2:6" s="2" customFormat="1" ht="26.1" customHeight="1">
      <c r="B157" s="949">
        <v>43455</v>
      </c>
      <c r="C157" s="1661" t="s">
        <v>2957</v>
      </c>
      <c r="D157" s="1661" t="s">
        <v>3594</v>
      </c>
      <c r="E157" s="1660" t="s">
        <v>347</v>
      </c>
      <c r="F157" s="1660">
        <v>2.1</v>
      </c>
    </row>
    <row r="158" spans="2:6" s="2" customFormat="1" ht="26.1" customHeight="1">
      <c r="B158" s="949">
        <v>43470</v>
      </c>
      <c r="C158" s="1661" t="s">
        <v>3595</v>
      </c>
      <c r="D158" s="1661" t="s">
        <v>3596</v>
      </c>
      <c r="E158" s="1660" t="s">
        <v>347</v>
      </c>
      <c r="F158" s="1660">
        <v>2.1</v>
      </c>
    </row>
    <row r="159" spans="2:6" s="2" customFormat="1" ht="26.1" customHeight="1">
      <c r="B159" s="949">
        <v>43476</v>
      </c>
      <c r="C159" s="1661" t="s">
        <v>3600</v>
      </c>
      <c r="D159" s="1661" t="s">
        <v>3599</v>
      </c>
      <c r="E159" s="1660" t="s">
        <v>347</v>
      </c>
      <c r="F159" s="1660">
        <v>2.1</v>
      </c>
    </row>
    <row r="160" spans="2:6" s="2" customFormat="1" ht="26.1" customHeight="1">
      <c r="B160" s="949">
        <v>43476</v>
      </c>
      <c r="C160" s="1661" t="s">
        <v>3601</v>
      </c>
      <c r="D160" s="1661" t="s">
        <v>3599</v>
      </c>
      <c r="E160" s="1660" t="s">
        <v>347</v>
      </c>
      <c r="F160" s="1660">
        <v>2.1</v>
      </c>
    </row>
    <row r="161" spans="2:6" s="2" customFormat="1" ht="26.1" customHeight="1">
      <c r="B161" s="949">
        <v>43502</v>
      </c>
      <c r="C161" s="1661" t="s">
        <v>3634</v>
      </c>
      <c r="D161" s="1661" t="s">
        <v>3639</v>
      </c>
      <c r="E161" s="1660" t="s">
        <v>347</v>
      </c>
      <c r="F161" s="1660">
        <v>2.2000000000000002</v>
      </c>
    </row>
    <row r="162" spans="2:6" s="2" customFormat="1" ht="26.1" customHeight="1">
      <c r="B162" s="949">
        <v>43502</v>
      </c>
      <c r="C162" s="1661" t="s">
        <v>3635</v>
      </c>
      <c r="D162" s="1661" t="s">
        <v>3639</v>
      </c>
      <c r="E162" s="1660" t="s">
        <v>347</v>
      </c>
      <c r="F162" s="1660">
        <v>2.2000000000000002</v>
      </c>
    </row>
    <row r="163" spans="2:6" s="2" customFormat="1" ht="26.1" customHeight="1">
      <c r="B163" s="949">
        <v>43502</v>
      </c>
      <c r="C163" s="1661" t="s">
        <v>3637</v>
      </c>
      <c r="D163" s="1661" t="s">
        <v>3638</v>
      </c>
      <c r="E163" s="1660" t="s">
        <v>347</v>
      </c>
      <c r="F163" s="1660">
        <v>2.2000000000000002</v>
      </c>
    </row>
    <row r="164" spans="2:6" s="2" customFormat="1" ht="26.1" customHeight="1">
      <c r="B164" s="949">
        <v>43537</v>
      </c>
      <c r="C164" s="1661" t="s">
        <v>3641</v>
      </c>
      <c r="D164" s="1661" t="s">
        <v>3640</v>
      </c>
      <c r="E164" s="1660" t="s">
        <v>347</v>
      </c>
      <c r="F164" s="1660">
        <v>2.2000000000000002</v>
      </c>
    </row>
    <row r="165" spans="2:6" s="2" customFormat="1" ht="26.1" customHeight="1">
      <c r="B165" s="949">
        <v>43552</v>
      </c>
      <c r="C165" s="1661" t="s">
        <v>3647</v>
      </c>
      <c r="D165" s="1661" t="s">
        <v>3646</v>
      </c>
      <c r="E165" s="1660" t="s">
        <v>347</v>
      </c>
      <c r="F165" s="1660">
        <v>2.2000000000000002</v>
      </c>
    </row>
    <row r="166" spans="2:6" s="2" customFormat="1" ht="26.1" customHeight="1">
      <c r="B166" s="949">
        <v>43589</v>
      </c>
      <c r="C166" s="1661" t="s">
        <v>3676</v>
      </c>
      <c r="D166" s="2" t="s">
        <v>3675</v>
      </c>
      <c r="E166" s="1660" t="s">
        <v>347</v>
      </c>
      <c r="F166" s="1660">
        <v>2.2999999999999998</v>
      </c>
    </row>
    <row r="167" spans="2:6" s="2" customFormat="1" ht="26.1" customHeight="1">
      <c r="B167" s="949">
        <v>43589</v>
      </c>
      <c r="C167" s="1661" t="s">
        <v>3674</v>
      </c>
      <c r="D167" s="953" t="s">
        <v>3673</v>
      </c>
      <c r="E167" s="1660" t="s">
        <v>347</v>
      </c>
      <c r="F167" s="1660">
        <v>2.2999999999999998</v>
      </c>
    </row>
    <row r="168" spans="2:6" s="2" customFormat="1" ht="26.1" customHeight="1">
      <c r="B168" s="949">
        <v>43589</v>
      </c>
      <c r="C168" s="1661" t="s">
        <v>3677</v>
      </c>
      <c r="D168" s="953" t="s">
        <v>3673</v>
      </c>
      <c r="E168" s="1660" t="s">
        <v>347</v>
      </c>
      <c r="F168" s="1660">
        <v>2.2999999999999998</v>
      </c>
    </row>
    <row r="169" spans="2:6" s="2" customFormat="1" ht="26.1" customHeight="1">
      <c r="B169" s="949">
        <v>43589</v>
      </c>
      <c r="C169" s="1661" t="s">
        <v>3678</v>
      </c>
      <c r="D169" s="953" t="s">
        <v>3673</v>
      </c>
      <c r="E169" s="1660" t="s">
        <v>347</v>
      </c>
      <c r="F169" s="1660">
        <v>2.2999999999999998</v>
      </c>
    </row>
    <row r="170" spans="2:6" s="2" customFormat="1" ht="26.1" customHeight="1">
      <c r="B170" s="949">
        <v>43589</v>
      </c>
      <c r="C170" s="1661" t="s">
        <v>3679</v>
      </c>
      <c r="D170" s="953" t="s">
        <v>3673</v>
      </c>
      <c r="E170" s="1660" t="s">
        <v>347</v>
      </c>
      <c r="F170" s="1660">
        <v>2.2999999999999998</v>
      </c>
    </row>
    <row r="171" spans="2:6" s="2" customFormat="1" ht="26.1" customHeight="1">
      <c r="B171" s="949">
        <v>43589</v>
      </c>
      <c r="C171" s="1661" t="s">
        <v>3680</v>
      </c>
      <c r="D171" s="953" t="s">
        <v>3673</v>
      </c>
      <c r="E171" s="1660" t="s">
        <v>347</v>
      </c>
      <c r="F171" s="1660">
        <v>2.2999999999999998</v>
      </c>
    </row>
    <row r="172" spans="2:6" s="2" customFormat="1" ht="26.1" customHeight="1">
      <c r="B172" s="949">
        <v>43589</v>
      </c>
      <c r="C172" s="1661" t="s">
        <v>3681</v>
      </c>
      <c r="D172" s="953" t="s">
        <v>3673</v>
      </c>
      <c r="E172" s="1660" t="s">
        <v>347</v>
      </c>
      <c r="F172" s="1660">
        <v>2.2999999999999998</v>
      </c>
    </row>
    <row r="173" spans="2:6" s="2" customFormat="1" ht="26.1" customHeight="1">
      <c r="B173" s="949">
        <v>43589</v>
      </c>
      <c r="C173" s="1661" t="s">
        <v>3682</v>
      </c>
      <c r="D173" s="953" t="s">
        <v>3673</v>
      </c>
      <c r="E173" s="1660" t="s">
        <v>347</v>
      </c>
      <c r="F173" s="1660">
        <v>2.2999999999999998</v>
      </c>
    </row>
    <row r="174" spans="2:6" s="2" customFormat="1" ht="26.1" customHeight="1">
      <c r="B174" s="949">
        <v>43598</v>
      </c>
      <c r="C174" s="1661" t="s">
        <v>3686</v>
      </c>
      <c r="D174" s="1661" t="s">
        <v>3687</v>
      </c>
      <c r="E174" s="1660" t="s">
        <v>347</v>
      </c>
      <c r="F174" s="1660">
        <v>2.2999999999999998</v>
      </c>
    </row>
    <row r="175" spans="2:6" s="2" customFormat="1" ht="26.1" customHeight="1">
      <c r="B175" s="949">
        <v>43833</v>
      </c>
      <c r="C175" s="1661" t="s">
        <v>3699</v>
      </c>
      <c r="D175" s="1661" t="s">
        <v>3700</v>
      </c>
      <c r="E175" s="950" t="s">
        <v>347</v>
      </c>
      <c r="F175" s="950">
        <v>2.4</v>
      </c>
    </row>
    <row r="176" spans="2:6" s="2" customFormat="1" ht="26.1" customHeight="1">
      <c r="B176" s="949">
        <v>43833</v>
      </c>
      <c r="C176" s="1661" t="s">
        <v>3702</v>
      </c>
      <c r="D176" s="1661" t="s">
        <v>3701</v>
      </c>
      <c r="E176" s="1660" t="s">
        <v>347</v>
      </c>
      <c r="F176" s="1660">
        <v>2.4</v>
      </c>
    </row>
    <row r="177" spans="2:6" s="2" customFormat="1" ht="26.1" customHeight="1">
      <c r="B177" s="949">
        <v>43833</v>
      </c>
      <c r="C177" s="1661" t="s">
        <v>3703</v>
      </c>
      <c r="D177" s="1661" t="s">
        <v>3704</v>
      </c>
      <c r="E177" s="1660" t="s">
        <v>347</v>
      </c>
      <c r="F177" s="1660">
        <v>2.4</v>
      </c>
    </row>
    <row r="178" spans="2:6" s="2" customFormat="1" ht="26.1" customHeight="1">
      <c r="B178" s="949">
        <v>43834</v>
      </c>
      <c r="C178" s="1661" t="s">
        <v>3831</v>
      </c>
      <c r="D178" s="1661" t="s">
        <v>3832</v>
      </c>
      <c r="E178" s="1660" t="s">
        <v>347</v>
      </c>
      <c r="F178" s="1660">
        <v>2.4</v>
      </c>
    </row>
    <row r="179" spans="2:6" s="2" customFormat="1" ht="26.1" customHeight="1">
      <c r="B179" s="949">
        <v>43834</v>
      </c>
      <c r="C179" s="1661" t="s">
        <v>3834</v>
      </c>
      <c r="D179" s="1661" t="s">
        <v>3833</v>
      </c>
      <c r="E179" s="1660" t="s">
        <v>347</v>
      </c>
      <c r="F179" s="1660">
        <v>2.4</v>
      </c>
    </row>
    <row r="180" spans="2:6" s="2" customFormat="1" ht="26.1" customHeight="1">
      <c r="B180" s="949">
        <v>43834</v>
      </c>
      <c r="C180" s="1661" t="s">
        <v>3845</v>
      </c>
      <c r="D180" s="1661" t="s">
        <v>3844</v>
      </c>
      <c r="E180" s="1660" t="s">
        <v>347</v>
      </c>
      <c r="F180" s="1660">
        <v>2.4</v>
      </c>
    </row>
    <row r="181" spans="2:6" s="2" customFormat="1" ht="26.1" customHeight="1">
      <c r="B181" s="949">
        <v>43834</v>
      </c>
      <c r="C181" s="1661" t="s">
        <v>3847</v>
      </c>
      <c r="D181" s="1661" t="s">
        <v>3846</v>
      </c>
      <c r="E181" s="1660" t="s">
        <v>347</v>
      </c>
      <c r="F181" s="1660">
        <v>2.4</v>
      </c>
    </row>
    <row r="182" spans="2:6" s="2" customFormat="1" ht="26.1" customHeight="1">
      <c r="B182" s="949">
        <v>43834</v>
      </c>
      <c r="C182" s="1661" t="s">
        <v>3848</v>
      </c>
      <c r="D182" s="1661" t="s">
        <v>3846</v>
      </c>
      <c r="E182" s="1660" t="s">
        <v>347</v>
      </c>
      <c r="F182" s="1660">
        <v>2.4</v>
      </c>
    </row>
    <row r="183" spans="2:6" s="2" customFormat="1" ht="26.1" customHeight="1">
      <c r="B183" s="949">
        <v>43834</v>
      </c>
      <c r="C183" s="1661" t="s">
        <v>3849</v>
      </c>
      <c r="D183" s="1661" t="s">
        <v>3846</v>
      </c>
      <c r="E183" s="1660" t="s">
        <v>347</v>
      </c>
      <c r="F183" s="1660">
        <v>2.4</v>
      </c>
    </row>
    <row r="184" spans="2:6" s="2" customFormat="1" ht="26.1" customHeight="1">
      <c r="B184" s="949">
        <v>43834</v>
      </c>
      <c r="C184" s="1661" t="s">
        <v>3850</v>
      </c>
      <c r="D184" s="1661" t="s">
        <v>3846</v>
      </c>
      <c r="E184" s="1660" t="s">
        <v>347</v>
      </c>
      <c r="F184" s="1660">
        <v>2.4</v>
      </c>
    </row>
    <row r="185" spans="2:6" s="2" customFormat="1" ht="26.1" customHeight="1">
      <c r="B185" s="949">
        <v>43834</v>
      </c>
      <c r="C185" s="1661" t="s">
        <v>3852</v>
      </c>
      <c r="D185" s="1661" t="s">
        <v>3851</v>
      </c>
      <c r="E185" s="1660" t="s">
        <v>347</v>
      </c>
      <c r="F185" s="1660">
        <v>2.4</v>
      </c>
    </row>
    <row r="186" spans="2:6" s="2" customFormat="1" ht="26.1" customHeight="1">
      <c r="B186" s="949">
        <v>43834</v>
      </c>
      <c r="C186" s="1661" t="s">
        <v>3853</v>
      </c>
      <c r="D186" s="1661" t="s">
        <v>3851</v>
      </c>
      <c r="E186" s="1660" t="s">
        <v>347</v>
      </c>
      <c r="F186" s="1660">
        <v>2.4</v>
      </c>
    </row>
    <row r="187" spans="2:6" s="2" customFormat="1" ht="26.1" customHeight="1">
      <c r="B187" s="949">
        <v>43834</v>
      </c>
      <c r="C187" s="1661" t="s">
        <v>3862</v>
      </c>
      <c r="D187" s="1661" t="s">
        <v>3863</v>
      </c>
      <c r="E187" s="1660" t="s">
        <v>347</v>
      </c>
      <c r="F187" s="1660">
        <v>2.4</v>
      </c>
    </row>
    <row r="188" spans="2:6" s="2" customFormat="1" ht="26.1" customHeight="1">
      <c r="B188" s="949">
        <v>43834</v>
      </c>
      <c r="C188" s="1661" t="s">
        <v>3864</v>
      </c>
      <c r="D188" s="1661" t="s">
        <v>3865</v>
      </c>
      <c r="E188" s="1660" t="s">
        <v>347</v>
      </c>
      <c r="F188" s="1660">
        <v>2.4</v>
      </c>
    </row>
    <row r="189" spans="2:6" s="2" customFormat="1" ht="26.1" customHeight="1">
      <c r="B189" s="949">
        <v>43834</v>
      </c>
      <c r="C189" s="1661" t="s">
        <v>3870</v>
      </c>
      <c r="D189" s="1661" t="s">
        <v>3871</v>
      </c>
      <c r="E189" s="1660" t="s">
        <v>347</v>
      </c>
      <c r="F189" s="1660">
        <v>2.4</v>
      </c>
    </row>
    <row r="190" spans="2:6" s="2" customFormat="1" ht="26.1" customHeight="1">
      <c r="B190" s="949">
        <v>43834</v>
      </c>
      <c r="C190" s="1661" t="s">
        <v>3873</v>
      </c>
      <c r="D190" s="1661" t="s">
        <v>3872</v>
      </c>
      <c r="E190" s="1660" t="s">
        <v>347</v>
      </c>
      <c r="F190" s="1660">
        <v>2.4</v>
      </c>
    </row>
    <row r="191" spans="2:6" s="2" customFormat="1" ht="26.1" customHeight="1">
      <c r="B191" s="949">
        <v>43834</v>
      </c>
      <c r="C191" s="1661" t="s">
        <v>3875</v>
      </c>
      <c r="D191" s="1661" t="s">
        <v>3876</v>
      </c>
      <c r="E191" s="1660" t="s">
        <v>347</v>
      </c>
      <c r="F191" s="1660">
        <v>2.4</v>
      </c>
    </row>
    <row r="192" spans="2:6" s="2" customFormat="1" ht="26.1" customHeight="1">
      <c r="B192" s="949">
        <v>43837</v>
      </c>
      <c r="C192" s="1661" t="s">
        <v>3884</v>
      </c>
      <c r="D192" s="1661" t="s">
        <v>3883</v>
      </c>
      <c r="E192" s="1660" t="s">
        <v>347</v>
      </c>
      <c r="F192" s="1660">
        <v>2.4</v>
      </c>
    </row>
    <row r="193" spans="2:6" s="2" customFormat="1" ht="26.1" customHeight="1">
      <c r="B193" s="949">
        <v>43840</v>
      </c>
      <c r="C193" s="1661" t="s">
        <v>3885</v>
      </c>
      <c r="D193" s="1661" t="s">
        <v>3886</v>
      </c>
      <c r="E193" s="1660" t="s">
        <v>347</v>
      </c>
      <c r="F193" s="1660">
        <v>2.4</v>
      </c>
    </row>
    <row r="194" spans="2:6" s="2" customFormat="1" ht="26.1" customHeight="1">
      <c r="B194" s="949">
        <v>43841</v>
      </c>
      <c r="C194" s="1661" t="s">
        <v>3901</v>
      </c>
      <c r="D194" s="1661" t="s">
        <v>3902</v>
      </c>
      <c r="E194" s="1660" t="s">
        <v>347</v>
      </c>
      <c r="F194" s="1660">
        <v>2.4</v>
      </c>
    </row>
    <row r="195" spans="2:6" s="2" customFormat="1" ht="26.1" customHeight="1">
      <c r="B195" s="949">
        <v>43841</v>
      </c>
      <c r="C195" s="1661" t="s">
        <v>3903</v>
      </c>
      <c r="D195" s="1661" t="s">
        <v>3904</v>
      </c>
      <c r="E195" s="1660" t="s">
        <v>347</v>
      </c>
      <c r="F195" s="1660">
        <v>2.4</v>
      </c>
    </row>
    <row r="196" spans="2:6" s="2" customFormat="1" ht="26.1" customHeight="1">
      <c r="B196" s="949">
        <v>43897</v>
      </c>
      <c r="C196" s="1661" t="s">
        <v>3906</v>
      </c>
      <c r="D196" s="1661" t="s">
        <v>3905</v>
      </c>
      <c r="E196" s="1660" t="s">
        <v>347</v>
      </c>
      <c r="F196" s="1660">
        <v>2.4</v>
      </c>
    </row>
    <row r="197" spans="2:6" s="2" customFormat="1" ht="26.1" customHeight="1">
      <c r="B197" s="949">
        <v>43966</v>
      </c>
      <c r="C197" s="1661" t="s">
        <v>3992</v>
      </c>
      <c r="D197" s="1661" t="s">
        <v>3993</v>
      </c>
      <c r="E197" s="1660" t="s">
        <v>347</v>
      </c>
      <c r="F197" s="1660">
        <v>2.4</v>
      </c>
    </row>
    <row r="198" spans="2:6" s="2" customFormat="1" ht="26.1" customHeight="1">
      <c r="B198" s="949">
        <v>43966</v>
      </c>
      <c r="C198" s="1661" t="s">
        <v>3995</v>
      </c>
      <c r="D198" s="1661" t="s">
        <v>3994</v>
      </c>
      <c r="E198" s="1660" t="s">
        <v>347</v>
      </c>
      <c r="F198" s="1660">
        <v>2.4</v>
      </c>
    </row>
    <row r="199" spans="2:6" s="2" customFormat="1" ht="26.1" customHeight="1">
      <c r="B199" s="949">
        <v>44169</v>
      </c>
      <c r="C199" s="1661" t="s">
        <v>3997</v>
      </c>
      <c r="D199" s="1661" t="s">
        <v>3998</v>
      </c>
      <c r="E199" s="1660" t="s">
        <v>347</v>
      </c>
      <c r="F199" s="1660">
        <v>2.5</v>
      </c>
    </row>
    <row r="200" spans="2:6" s="2" customFormat="1" ht="26.1" customHeight="1">
      <c r="B200" s="949">
        <v>44169</v>
      </c>
      <c r="C200" s="1661" t="s">
        <v>4000</v>
      </c>
      <c r="D200" s="1661" t="s">
        <v>4001</v>
      </c>
      <c r="E200" s="1660" t="s">
        <v>347</v>
      </c>
      <c r="F200" s="1660">
        <v>2.5</v>
      </c>
    </row>
    <row r="201" spans="2:6" s="2" customFormat="1" ht="26.1" customHeight="1">
      <c r="B201" s="949">
        <v>44169</v>
      </c>
      <c r="C201" s="1661" t="s">
        <v>4002</v>
      </c>
      <c r="D201" s="1661" t="s">
        <v>4003</v>
      </c>
      <c r="E201" s="1660" t="s">
        <v>347</v>
      </c>
      <c r="F201" s="1660">
        <v>2.5</v>
      </c>
    </row>
    <row r="202" spans="2:6" s="2" customFormat="1" ht="26.1" customHeight="1">
      <c r="B202" s="949">
        <v>44170</v>
      </c>
      <c r="C202" s="1661" t="s">
        <v>4007</v>
      </c>
      <c r="D202" s="1661" t="s">
        <v>4005</v>
      </c>
      <c r="E202" s="1660" t="s">
        <v>347</v>
      </c>
      <c r="F202" s="1660">
        <v>2.5</v>
      </c>
    </row>
    <row r="203" spans="2:6" s="2" customFormat="1" ht="26.1" customHeight="1">
      <c r="B203" s="949">
        <v>44170</v>
      </c>
      <c r="C203" s="1661" t="s">
        <v>4008</v>
      </c>
      <c r="D203" s="1661" t="s">
        <v>4006</v>
      </c>
      <c r="E203" s="1660" t="s">
        <v>347</v>
      </c>
      <c r="F203" s="1660">
        <v>2.5</v>
      </c>
    </row>
    <row r="204" spans="2:6" s="2" customFormat="1" ht="26.1" customHeight="1">
      <c r="B204" s="949">
        <v>44170</v>
      </c>
      <c r="C204" s="1661" t="s">
        <v>4010</v>
      </c>
      <c r="D204" s="1661" t="s">
        <v>4011</v>
      </c>
      <c r="E204" s="1660" t="s">
        <v>347</v>
      </c>
      <c r="F204" s="1660">
        <v>2.5</v>
      </c>
    </row>
    <row r="205" spans="2:6" s="2" customFormat="1" ht="26.1" customHeight="1">
      <c r="B205" s="949">
        <v>44172</v>
      </c>
      <c r="C205" s="1661" t="s">
        <v>4016</v>
      </c>
      <c r="D205" s="1661" t="s">
        <v>3999</v>
      </c>
      <c r="E205" s="1660" t="s">
        <v>347</v>
      </c>
      <c r="F205" s="1660">
        <v>2.5</v>
      </c>
    </row>
    <row r="206" spans="2:6" s="2" customFormat="1" ht="26.1" customHeight="1">
      <c r="B206" s="949">
        <v>44172</v>
      </c>
      <c r="C206" s="1661" t="s">
        <v>4017</v>
      </c>
      <c r="D206" s="1661" t="s">
        <v>3999</v>
      </c>
      <c r="E206" s="1660" t="s">
        <v>347</v>
      </c>
      <c r="F206" s="1660">
        <v>2.5</v>
      </c>
    </row>
    <row r="207" spans="2:6" s="2" customFormat="1" ht="26.1" customHeight="1">
      <c r="B207" s="949">
        <v>44172</v>
      </c>
      <c r="C207" s="1661" t="s">
        <v>4018</v>
      </c>
      <c r="D207" s="1661" t="s">
        <v>3999</v>
      </c>
      <c r="E207" s="1660" t="s">
        <v>347</v>
      </c>
      <c r="F207" s="1660">
        <v>2.5</v>
      </c>
    </row>
    <row r="208" spans="2:6" s="2" customFormat="1" ht="26.1" customHeight="1">
      <c r="B208" s="949">
        <v>44172</v>
      </c>
      <c r="C208" s="1661" t="s">
        <v>4019</v>
      </c>
      <c r="D208" s="1661" t="s">
        <v>3999</v>
      </c>
      <c r="E208" s="1660" t="s">
        <v>347</v>
      </c>
      <c r="F208" s="1660">
        <v>2.5</v>
      </c>
    </row>
    <row r="209" spans="2:6" s="2" customFormat="1" ht="26.1" customHeight="1">
      <c r="B209" s="949">
        <v>44172</v>
      </c>
      <c r="C209" s="1661" t="s">
        <v>4020</v>
      </c>
      <c r="D209" s="1661" t="s">
        <v>3999</v>
      </c>
      <c r="E209" s="1660" t="s">
        <v>347</v>
      </c>
      <c r="F209" s="1660">
        <v>2.5</v>
      </c>
    </row>
    <row r="210" spans="2:6" s="2" customFormat="1" ht="26.1" customHeight="1">
      <c r="B210" s="949">
        <v>44173</v>
      </c>
      <c r="C210" s="1661" t="s">
        <v>4021</v>
      </c>
      <c r="D210" s="1661" t="s">
        <v>3999</v>
      </c>
      <c r="E210" s="1660" t="s">
        <v>347</v>
      </c>
      <c r="F210" s="1660">
        <v>2.5</v>
      </c>
    </row>
    <row r="211" spans="2:6" s="2" customFormat="1" ht="26.1" customHeight="1">
      <c r="B211" s="949">
        <v>44173</v>
      </c>
      <c r="C211" s="1661" t="s">
        <v>4025</v>
      </c>
      <c r="D211" s="1661" t="s">
        <v>4024</v>
      </c>
      <c r="E211" s="1660" t="s">
        <v>347</v>
      </c>
      <c r="F211" s="1660">
        <v>2.5</v>
      </c>
    </row>
    <row r="212" spans="2:6" s="2" customFormat="1" ht="26.1" customHeight="1">
      <c r="B212" s="949">
        <v>44177</v>
      </c>
      <c r="C212" s="1661" t="s">
        <v>4028</v>
      </c>
      <c r="D212" s="1661" t="s">
        <v>3999</v>
      </c>
      <c r="E212" s="1660" t="s">
        <v>347</v>
      </c>
      <c r="F212" s="1660">
        <v>2.5</v>
      </c>
    </row>
    <row r="213" spans="2:6" s="2" customFormat="1" ht="26.1" customHeight="1">
      <c r="B213" s="949">
        <v>44186</v>
      </c>
      <c r="C213" s="1661" t="s">
        <v>4030</v>
      </c>
      <c r="D213" s="1661" t="s">
        <v>4029</v>
      </c>
      <c r="E213" s="1660" t="s">
        <v>347</v>
      </c>
      <c r="F213" s="1660">
        <v>2.5</v>
      </c>
    </row>
    <row r="214" spans="2:6" s="2" customFormat="1" ht="26.1" customHeight="1">
      <c r="B214" s="949">
        <v>44186</v>
      </c>
      <c r="C214" s="1661" t="s">
        <v>4033</v>
      </c>
      <c r="D214" s="1661" t="s">
        <v>4032</v>
      </c>
      <c r="E214" s="1660" t="s">
        <v>347</v>
      </c>
      <c r="F214" s="1660">
        <v>2.5</v>
      </c>
    </row>
    <row r="215" spans="2:6" s="2" customFormat="1" ht="26.1" customHeight="1">
      <c r="B215" s="949">
        <v>44187</v>
      </c>
      <c r="C215" s="1661" t="s">
        <v>4035</v>
      </c>
      <c r="D215" s="1661" t="s">
        <v>4032</v>
      </c>
      <c r="E215" s="1660" t="s">
        <v>347</v>
      </c>
      <c r="F215" s="1660">
        <v>2.5</v>
      </c>
    </row>
    <row r="216" spans="2:6" s="2" customFormat="1" ht="26.1" customHeight="1">
      <c r="B216" s="949"/>
      <c r="E216" s="950"/>
      <c r="F216" s="950"/>
    </row>
    <row r="217" spans="2:6" s="2" customFormat="1" ht="26.1" customHeight="1">
      <c r="B217" s="949"/>
      <c r="E217" s="950"/>
      <c r="F217" s="950"/>
    </row>
    <row r="218" spans="2:6" s="2" customFormat="1" ht="26.1" customHeight="1">
      <c r="B218" s="949"/>
      <c r="E218" s="950"/>
      <c r="F218" s="950"/>
    </row>
    <row r="219" spans="2:6" s="2" customFormat="1" ht="26.1" customHeight="1">
      <c r="B219" s="949"/>
      <c r="E219" s="950"/>
      <c r="F219" s="950"/>
    </row>
    <row r="220" spans="2:6" s="2" customFormat="1" ht="26.1" customHeight="1">
      <c r="B220" s="949"/>
      <c r="E220" s="950"/>
      <c r="F220" s="950"/>
    </row>
    <row r="221" spans="2:6" s="2" customFormat="1" ht="26.1" customHeight="1">
      <c r="B221" s="949"/>
      <c r="E221" s="950"/>
      <c r="F221" s="950"/>
    </row>
    <row r="222" spans="2:6" s="2" customFormat="1" ht="26.1" customHeight="1">
      <c r="B222" s="949"/>
      <c r="E222" s="950"/>
      <c r="F222" s="950"/>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algorithmName="SHA-512" hashValue="4zjCzLjyVXmdFpIFMoYP/2wfCSus+09sQkpbGZDD+pPnKj8ZkvLcXmrmzFJsth7cihRcqih2BwjjJyL8KVzvJw==" saltValue="2ZNeqrouHxr7WJ1cKgh3o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64"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6" width="11.42578125" style="5" hidden="1" customWidth="1"/>
    <col min="37" max="39" width="11.42578125" style="5" customWidth="1"/>
    <col min="40" max="16384" width="11.42578125" style="5"/>
  </cols>
  <sheetData>
    <row r="1" spans="1:35" ht="9.9499999999999993" customHeight="1">
      <c r="B1" s="971" t="str">
        <f>Entrées!B1</f>
        <v>2021.1</v>
      </c>
      <c r="C1" s="3"/>
      <c r="D1" s="3"/>
      <c r="E1" s="341"/>
      <c r="F1" s="3"/>
      <c r="G1" s="3"/>
      <c r="H1" s="3"/>
      <c r="I1" s="158"/>
      <c r="J1" s="3"/>
      <c r="K1" s="7" t="str">
        <f>Uebersetzung!D5</f>
        <v>Formulaire MINERGIE 2021.1, à utiliser jusqu'au 31 décembre 2021</v>
      </c>
    </row>
    <row r="2" spans="1:35" ht="17.100000000000001" customHeight="1">
      <c r="B2" s="36"/>
      <c r="C2" s="35"/>
      <c r="D2" s="115"/>
      <c r="E2" s="36"/>
      <c r="F2" s="115"/>
      <c r="G2" s="1996" t="str">
        <f>Uebersetzung!D375</f>
        <v>Données supplémentaires pour le</v>
      </c>
      <c r="H2" s="1997"/>
      <c r="I2" s="1997"/>
      <c r="J2" s="1997"/>
      <c r="K2" s="1998"/>
      <c r="N2" s="5">
        <f>IF(OR(AND(Kategorie1=2,F25=""),AND(Kategorie2=2,G25=""),AND(Kategorie3=2,H25=""),AND(Kategorie1=4,I25="")),1,0)</f>
        <v>0</v>
      </c>
    </row>
    <row r="3" spans="1:35" ht="17.100000000000001" customHeight="1">
      <c r="B3" s="43"/>
      <c r="C3" s="42"/>
      <c r="D3" s="53"/>
      <c r="E3" s="1999"/>
      <c r="F3" s="2000"/>
      <c r="G3" s="2001" t="str">
        <f>Uebersetzung!D376</f>
        <v>justificatif Minergie</v>
      </c>
      <c r="H3" s="2002"/>
      <c r="I3" s="2002"/>
      <c r="J3" s="2002"/>
      <c r="K3" s="2003"/>
      <c r="N3" s="299" t="s">
        <v>1877</v>
      </c>
      <c r="U3" s="299" t="s">
        <v>1903</v>
      </c>
      <c r="AC3" s="299" t="s">
        <v>2597</v>
      </c>
    </row>
    <row r="4" spans="1:35" ht="9.9499999999999993" customHeight="1">
      <c r="B4" s="94"/>
      <c r="C4" s="60"/>
      <c r="D4" s="116"/>
      <c r="E4" s="94"/>
      <c r="F4" s="116"/>
      <c r="G4" s="2004"/>
      <c r="H4" s="2005"/>
      <c r="I4" s="2005"/>
      <c r="J4" s="2005"/>
      <c r="K4" s="2006"/>
      <c r="T4" s="1582"/>
      <c r="U4" s="2042" t="s">
        <v>1909</v>
      </c>
      <c r="V4" s="2042"/>
      <c r="W4" s="2042"/>
      <c r="AC4" s="2037" t="s">
        <v>3843</v>
      </c>
      <c r="AD4" s="2037"/>
      <c r="AE4" s="2037"/>
      <c r="AF4" s="2037"/>
      <c r="AG4" s="2037"/>
      <c r="AH4" s="2037"/>
    </row>
    <row r="5" spans="1:35" ht="9.9499999999999993" hidden="1" customHeight="1">
      <c r="B5" s="3"/>
      <c r="C5" s="3"/>
      <c r="D5" s="3"/>
      <c r="E5" s="341"/>
      <c r="F5" s="3"/>
      <c r="G5" s="3"/>
      <c r="H5" s="3"/>
      <c r="I5" s="158"/>
      <c r="J5" s="3"/>
      <c r="K5" s="4"/>
      <c r="T5" s="1582"/>
      <c r="U5" s="2042"/>
      <c r="V5" s="2042"/>
      <c r="W5" s="2042"/>
      <c r="AC5" s="2037"/>
      <c r="AD5" s="2037"/>
      <c r="AE5" s="2037"/>
      <c r="AF5" s="2037"/>
      <c r="AG5" s="2037"/>
      <c r="AH5" s="2037"/>
    </row>
    <row r="6" spans="1:35" ht="9.9499999999999993" hidden="1" customHeight="1">
      <c r="B6" s="6"/>
      <c r="C6" s="6"/>
      <c r="D6" s="3"/>
      <c r="E6" s="3"/>
      <c r="F6" s="3"/>
      <c r="G6" s="3"/>
      <c r="H6" s="3"/>
      <c r="I6" s="3"/>
      <c r="J6" s="3"/>
      <c r="T6" s="1582"/>
      <c r="U6" s="2042"/>
      <c r="V6" s="2042"/>
      <c r="W6" s="2042"/>
      <c r="AC6" s="2037"/>
      <c r="AD6" s="2037"/>
      <c r="AE6" s="2037"/>
      <c r="AF6" s="2037"/>
      <c r="AG6" s="2037"/>
      <c r="AH6" s="2037"/>
    </row>
    <row r="7" spans="1:35" ht="20.100000000000001" hidden="1" customHeight="1">
      <c r="B7" s="785" t="str">
        <f>Entrées!B7</f>
        <v>Nom du projet:</v>
      </c>
      <c r="C7" s="2049" t="str">
        <f>IF(Projekt1="","",Projekt1)</f>
        <v/>
      </c>
      <c r="D7" s="2049"/>
      <c r="E7" s="2049"/>
      <c r="F7" s="2049"/>
      <c r="G7" s="873" t="str">
        <f>Entrées!G7</f>
        <v>N° cadastre:</v>
      </c>
      <c r="H7" s="997" t="str">
        <f>IF(Projekt2="","",Projekt2)</f>
        <v/>
      </c>
      <c r="I7" s="873" t="str">
        <f>Entrées!I7</f>
        <v xml:space="preserve">N° MOP: </v>
      </c>
      <c r="J7" s="2050" t="str">
        <f>IF(Projekt3="","",Projekt3)</f>
        <v/>
      </c>
      <c r="K7" s="2051"/>
      <c r="T7" s="1582"/>
      <c r="U7" s="2042"/>
      <c r="V7" s="2042"/>
      <c r="W7" s="2042"/>
      <c r="AC7" s="2037"/>
      <c r="AD7" s="2037"/>
      <c r="AE7" s="2037"/>
      <c r="AF7" s="2037"/>
      <c r="AG7" s="2037"/>
      <c r="AH7" s="2037"/>
    </row>
    <row r="8" spans="1:35" ht="20.100000000000001" hidden="1" customHeight="1">
      <c r="B8" s="786" t="str">
        <f>Entrées!B8</f>
        <v>Adresse du bâtiment:</v>
      </c>
      <c r="C8" s="2038" t="str">
        <f>IF(Projekt4="","",Projekt4)</f>
        <v/>
      </c>
      <c r="D8" s="2038"/>
      <c r="E8" s="2038"/>
      <c r="F8" s="2038"/>
      <c r="G8" s="2038"/>
      <c r="H8" s="2038"/>
      <c r="I8" s="982"/>
      <c r="J8" s="2039" t="str">
        <f>IF(Entrées!J8="","",Entrées!J8)</f>
        <v/>
      </c>
      <c r="K8" s="2040"/>
      <c r="T8" s="1582"/>
      <c r="U8" s="2042"/>
      <c r="V8" s="2042"/>
      <c r="W8" s="2042"/>
      <c r="AC8" s="2037"/>
      <c r="AD8" s="2037"/>
      <c r="AE8" s="2037"/>
      <c r="AF8" s="2037"/>
      <c r="AG8" s="2037"/>
      <c r="AH8" s="2037"/>
    </row>
    <row r="9" spans="1:35" ht="20.100000000000001" hidden="1" customHeight="1">
      <c r="T9" s="1582"/>
      <c r="U9" s="2042"/>
      <c r="V9" s="2042"/>
      <c r="W9" s="2042"/>
      <c r="AC9" s="2037"/>
      <c r="AD9" s="2037"/>
      <c r="AE9" s="2037"/>
      <c r="AF9" s="2037"/>
      <c r="AG9" s="2037"/>
      <c r="AH9" s="2037"/>
    </row>
    <row r="10" spans="1:35" ht="1.1499999999999999" customHeight="1">
      <c r="B10" s="8"/>
      <c r="C10" s="8"/>
      <c r="D10" s="9"/>
      <c r="E10" s="9"/>
      <c r="F10" s="9"/>
      <c r="G10" s="9"/>
      <c r="T10" s="1582"/>
      <c r="U10" s="2042"/>
      <c r="V10" s="2042"/>
      <c r="W10" s="2042"/>
      <c r="AC10" s="2037"/>
      <c r="AD10" s="2037"/>
      <c r="AE10" s="2037"/>
      <c r="AF10" s="2037"/>
      <c r="AG10" s="2037"/>
      <c r="AH10" s="2037"/>
    </row>
    <row r="11" spans="1:35" ht="6" customHeight="1">
      <c r="A11" s="1565"/>
      <c r="F11" s="9"/>
      <c r="G11" s="9"/>
      <c r="N11" s="1750"/>
      <c r="O11" s="1028"/>
      <c r="P11" s="1028">
        <v>1</v>
      </c>
      <c r="Q11" s="1140"/>
      <c r="R11" s="1028"/>
      <c r="S11" s="1142">
        <v>1</v>
      </c>
      <c r="T11" s="1582">
        <v>1</v>
      </c>
      <c r="U11" s="2043"/>
      <c r="V11" s="2043"/>
      <c r="W11" s="2043"/>
      <c r="AC11" s="2037"/>
      <c r="AD11" s="2037"/>
      <c r="AE11" s="2037"/>
      <c r="AF11" s="2037"/>
      <c r="AG11" s="2037"/>
      <c r="AH11" s="2037"/>
    </row>
    <row r="12" spans="1:35" ht="18" customHeight="1">
      <c r="A12" s="1565" t="s">
        <v>2879</v>
      </c>
      <c r="B12" s="992" t="str">
        <f>Uebersetzung!D14</f>
        <v>Données sur le bâtiment</v>
      </c>
      <c r="C12" s="999"/>
      <c r="D12" s="1000"/>
      <c r="E12" s="1001" t="str">
        <f>Uebersetzung!D15</f>
        <v xml:space="preserve">Altitude: </v>
      </c>
      <c r="F12" s="1002">
        <f>Hoehe</f>
        <v>0</v>
      </c>
      <c r="G12" s="1003" t="str">
        <f>Uebersetzung!D16</f>
        <v>m</v>
      </c>
      <c r="H12" s="1004" t="str">
        <f>Uebersetzung!D12</f>
        <v>Canton:</v>
      </c>
      <c r="I12" s="1008">
        <f>Entrées!I13</f>
        <v>0</v>
      </c>
      <c r="J12" s="1005"/>
      <c r="K12" s="1006"/>
      <c r="N12" s="1168" t="str">
        <f>Uebersetzung!D25</f>
        <v>oui</v>
      </c>
      <c r="O12" s="143" t="str">
        <f>Uebersetzung!D26</f>
        <v>non</v>
      </c>
      <c r="P12" s="143">
        <v>2</v>
      </c>
      <c r="Q12" s="1109" t="str">
        <f>Uebersetzung!D23</f>
        <v>satisfait</v>
      </c>
      <c r="R12" s="143" t="str">
        <f>Uebersetzung!D24</f>
        <v>non satisfait</v>
      </c>
      <c r="S12" s="1143">
        <v>2</v>
      </c>
      <c r="T12" s="1582">
        <v>2</v>
      </c>
      <c r="U12" s="759" t="s">
        <v>1825</v>
      </c>
      <c r="V12" s="1147">
        <v>1</v>
      </c>
      <c r="W12" s="1141">
        <v>2</v>
      </c>
      <c r="X12" s="1141">
        <v>3</v>
      </c>
      <c r="Y12" s="380">
        <v>4</v>
      </c>
      <c r="Z12" s="1283" t="s">
        <v>1849</v>
      </c>
      <c r="AC12" s="1751" t="s">
        <v>650</v>
      </c>
      <c r="AD12" s="1141" t="b">
        <f>_neu1</f>
        <v>0</v>
      </c>
      <c r="AE12" s="1141" t="b">
        <f>_neu2</f>
        <v>0</v>
      </c>
      <c r="AF12" s="1141" t="b">
        <f>_neu3</f>
        <v>0</v>
      </c>
      <c r="AG12" s="1141" t="b">
        <f>_neu4</f>
        <v>0</v>
      </c>
      <c r="AH12" s="1752"/>
    </row>
    <row r="13" spans="1:35" ht="18" customHeight="1">
      <c r="A13" s="1565" t="s">
        <v>2880</v>
      </c>
      <c r="B13" s="10" t="str">
        <f>Uebersetzung!D17</f>
        <v>(Selon la norme SIA 380/1)</v>
      </c>
      <c r="C13" s="151"/>
      <c r="D13" s="11"/>
      <c r="E13" s="865" t="str">
        <f>Uebersetzung!D18</f>
        <v>Justificatif pour:</v>
      </c>
      <c r="F13" s="1915" t="str">
        <f>Entrées!E14</f>
        <v>Minergie avec SIA 380/1:2016</v>
      </c>
      <c r="G13" s="151"/>
      <c r="H13" s="15" t="str">
        <f>Uebersetzung!D28</f>
        <v>Station climat.</v>
      </c>
      <c r="I13" s="1009" t="str">
        <f>Entrées!I14</f>
        <v xml:space="preserve"> </v>
      </c>
      <c r="J13" s="998"/>
      <c r="K13" s="1007"/>
      <c r="N13" s="1168" t="str">
        <f>O12</f>
        <v>non</v>
      </c>
      <c r="O13" s="151"/>
      <c r="P13" s="151">
        <v>3</v>
      </c>
      <c r="Q13" s="900" t="str">
        <f>R12</f>
        <v>non satisfait</v>
      </c>
      <c r="R13" s="151"/>
      <c r="S13" s="606">
        <v>3</v>
      </c>
      <c r="T13" s="1582">
        <v>3</v>
      </c>
      <c r="U13" s="1650" t="s">
        <v>3602</v>
      </c>
      <c r="V13" s="1702" t="b">
        <f>IF(OR(_neu1,Kategorie1=13),TRUE,FALSE)</f>
        <v>0</v>
      </c>
      <c r="W13" s="1804" t="b">
        <f>IF(OR(_neu2,Kategorie2=13),TRUE,FALSE)</f>
        <v>0</v>
      </c>
      <c r="X13" s="1804" t="b">
        <f>IF(OR(_neu3,Kategorie3=13),TRUE,FALSE)</f>
        <v>0</v>
      </c>
      <c r="Y13" s="1701" t="b">
        <f>IF(OR(_neu4,Kategorie4=13),TRUE,FALSE)</f>
        <v>0</v>
      </c>
      <c r="Z13" s="1805"/>
      <c r="AC13" s="1458" t="s">
        <v>493</v>
      </c>
      <c r="AD13" s="1729">
        <f>F23</f>
        <v>0</v>
      </c>
      <c r="AE13" s="1729">
        <f>IF(Zonen&gt;1,G23,0)</f>
        <v>0</v>
      </c>
      <c r="AF13" s="1729">
        <f>IF(Zonen&gt;2,H23,0)</f>
        <v>0</v>
      </c>
      <c r="AG13" s="1729">
        <f>IF(Zonen&gt;3,I23,0)</f>
        <v>0</v>
      </c>
      <c r="AH13" s="1521">
        <f>SUM(AD13:AG13)</f>
        <v>0</v>
      </c>
      <c r="AI13" s="5" t="s">
        <v>321</v>
      </c>
    </row>
    <row r="14" spans="1:35" ht="18" customHeight="1">
      <c r="A14" s="1565"/>
      <c r="B14" s="783" t="str">
        <f>Uebersetzung!D29</f>
        <v>Zone</v>
      </c>
      <c r="C14" s="11"/>
      <c r="D14" s="11"/>
      <c r="E14" s="11"/>
      <c r="F14" s="180">
        <v>1</v>
      </c>
      <c r="G14" s="180">
        <v>2</v>
      </c>
      <c r="H14" s="180">
        <v>3</v>
      </c>
      <c r="I14" s="180">
        <v>4</v>
      </c>
      <c r="J14" s="781"/>
      <c r="K14" s="782" t="str">
        <f>Uebersetzung!D30</f>
        <v>Somme</v>
      </c>
      <c r="N14" s="1169" t="s">
        <v>216</v>
      </c>
      <c r="O14" s="1152">
        <v>1</v>
      </c>
      <c r="P14" s="1152">
        <v>2</v>
      </c>
      <c r="Q14" s="1152">
        <v>3</v>
      </c>
      <c r="R14" s="1318">
        <v>4</v>
      </c>
      <c r="S14" s="1318" t="s">
        <v>1834</v>
      </c>
      <c r="T14" s="1582">
        <v>4</v>
      </c>
      <c r="U14" s="1109" t="s">
        <v>493</v>
      </c>
      <c r="V14" s="1801">
        <f>F23</f>
        <v>0</v>
      </c>
      <c r="W14" s="1803">
        <f>IF(Zonen&gt;1,G23,0)</f>
        <v>0</v>
      </c>
      <c r="X14" s="1803">
        <f>IF(Zonen&gt;2,H23,0)</f>
        <v>0</v>
      </c>
      <c r="Y14" s="1802">
        <f>IF(Zonen&gt;3,I23,0)</f>
        <v>0</v>
      </c>
      <c r="Z14" s="1802">
        <f>IF(V18&gt;0,V14,0)+IF(W18&gt;0,W14,0)+IF(X18&gt;0,X14,0)+IF(Y18&gt;0,Y14,0)</f>
        <v>0</v>
      </c>
      <c r="AA14" s="5" t="s">
        <v>321</v>
      </c>
      <c r="AC14" s="1465" t="s">
        <v>3835</v>
      </c>
      <c r="AD14" s="1729">
        <f>AD13</f>
        <v>0</v>
      </c>
      <c r="AE14" s="1729">
        <f>IF(Zonen&gt;1,AE13,0)</f>
        <v>0</v>
      </c>
      <c r="AF14" s="1729">
        <f>IF(Zonen&gt;2,AF13,0)</f>
        <v>0</v>
      </c>
      <c r="AG14" s="1729">
        <f>IF(Zonen&gt;3,AG13,0)</f>
        <v>0</v>
      </c>
      <c r="AH14" s="1753">
        <f>SUM(AD14:AG14)</f>
        <v>0</v>
      </c>
      <c r="AI14" s="5" t="s">
        <v>321</v>
      </c>
    </row>
    <row r="15" spans="1:35" ht="24" customHeight="1">
      <c r="A15" s="1565" t="s">
        <v>2881</v>
      </c>
      <c r="B15" s="1946" t="str">
        <f>Entrées!B16</f>
        <v>Catégorie d'ouvrage</v>
      </c>
      <c r="C15" s="1947"/>
      <c r="D15" s="2007" t="str">
        <f>IF(minergiep,IF(AND(Standardwerte!BO55,Standardwerte!BO56,Standardwerte!BO57,Standardwerte!BO58),"","mit MINERGIE-P nicht möglich"),"")</f>
        <v/>
      </c>
      <c r="E15" s="2041"/>
      <c r="F15" s="1326">
        <f>Entrées!F16</f>
        <v>0</v>
      </c>
      <c r="G15" s="1326">
        <f>Entrées!G16</f>
        <v>0</v>
      </c>
      <c r="H15" s="1326">
        <f>Entrées!H16</f>
        <v>0</v>
      </c>
      <c r="I15" s="1326">
        <f>Entrées!I16</f>
        <v>0</v>
      </c>
      <c r="J15" s="1022"/>
      <c r="K15" s="197" t="str">
        <f>Uebersetzung!D35</f>
        <v>(moyenne)</v>
      </c>
      <c r="N15" s="1172" t="s">
        <v>1824</v>
      </c>
      <c r="O15" s="1145">
        <f>IF(Kategorie1&lt;&gt;13,Justificatif!G34*Justificatif!$N$52+(Justificatif!G39+Justificatif!G40)*2,0)</f>
        <v>0</v>
      </c>
      <c r="P15" s="1139">
        <f>IF(Kategorie2&lt;&gt;13,Justificatif!H34*Justificatif!$N$52+(Justificatif!H39+Justificatif!H40)*2,0)</f>
        <v>0</v>
      </c>
      <c r="Q15" s="1139">
        <f>IF(Kategorie3&lt;&gt;13,Justificatif!I34*Justificatif!$N$52+(Justificatif!I39+Justificatif!I40)*2,0)</f>
        <v>0</v>
      </c>
      <c r="R15" s="1146">
        <f>IF(Kategorie4&lt;&gt;13,Justificatif!J34*Justificatif!$N$52+(Justificatif!J39+Justificatif!J40)*2,0)</f>
        <v>0</v>
      </c>
      <c r="S15" s="1174">
        <f>IF(EBF=0,0,(O15*_EBF1+P15*_EBF2+Q15*_EBF3+R15*_EBF4)/(_EBF1+_EBF2+_EBF3+_EBF4))</f>
        <v>0</v>
      </c>
      <c r="T15" s="5" t="s">
        <v>524</v>
      </c>
      <c r="U15" s="1109" t="s">
        <v>1908</v>
      </c>
      <c r="V15" s="1226">
        <f>Standardwerte!J47</f>
        <v>0</v>
      </c>
      <c r="W15" s="1223">
        <f>Standardwerte!J48</f>
        <v>0</v>
      </c>
      <c r="X15" s="1223">
        <f>Standardwerte!J49</f>
        <v>0</v>
      </c>
      <c r="Y15" s="1288">
        <f>Standardwerte!J50</f>
        <v>0</v>
      </c>
      <c r="Z15" s="1143"/>
      <c r="AA15" s="5" t="s">
        <v>524</v>
      </c>
      <c r="AC15" s="1458" t="s">
        <v>3841</v>
      </c>
      <c r="AD15" s="1223">
        <f>Standardwerte!J47*IF(AD12,1,Sanierung)</f>
        <v>0</v>
      </c>
      <c r="AE15" s="1223">
        <f>Standardwerte!J48*IF(AE12,1,Sanierung)</f>
        <v>0</v>
      </c>
      <c r="AF15" s="1223">
        <f>Standardwerte!J49*IF(AF12,1,Sanierung)</f>
        <v>0</v>
      </c>
      <c r="AG15" s="1223">
        <f>Standardwerte!J50*IF(AG12,1,Sanierung)</f>
        <v>0</v>
      </c>
      <c r="AH15" s="1458"/>
      <c r="AI15" s="5" t="s">
        <v>524</v>
      </c>
    </row>
    <row r="16" spans="1:35" ht="18" hidden="1" customHeight="1">
      <c r="V16" s="1109"/>
      <c r="W16" s="143"/>
      <c r="X16" s="143"/>
      <c r="Y16" s="1143"/>
      <c r="Z16" s="1143"/>
      <c r="AC16" s="1168"/>
      <c r="AD16" s="143"/>
      <c r="AE16" s="143"/>
      <c r="AF16" s="143"/>
      <c r="AG16" s="143"/>
      <c r="AH16" s="1168"/>
    </row>
    <row r="17" spans="1:35" ht="18" customHeight="1">
      <c r="A17" s="1565" t="s">
        <v>2882</v>
      </c>
      <c r="B17" s="1938" t="str">
        <f>Uebersetzung!D467</f>
        <v>Eau chaude, valeur calculée</v>
      </c>
      <c r="C17" s="1941" t="str">
        <f>Uebersetzung!D257</f>
        <v>Rendement / COPa</v>
      </c>
      <c r="D17" s="1940"/>
      <c r="E17" s="185" t="s">
        <v>524</v>
      </c>
      <c r="F17" s="1478">
        <f>IF(_qw1&gt;0,IF(F18&gt;0,F18,_qw1),0)*O17*IF(AND(wohnen1,F21&gt;0.1),MAX(1-F21+0.1,0.3),1)+IF(INDEX(Standardwerte!$AN$71:$AN$83,Kategorie1,1)&gt;0,IF(F18&gt;0,F18,INDEX(Standardwerte!$AN$71:$AN$83,Kategorie1,1)))*O17</f>
        <v>0</v>
      </c>
      <c r="G17" s="1478">
        <f>IF(_qw2&gt;0,IF(G18&gt;0,G18,_qw2),0)*P17*IF(AND(wohnen2,G21&gt;0.1),MAX(1-G21+0.1,0.3),1)+IF(INDEX(Standardwerte!$AN$71:$AN$83,Kategorie2,1)&gt;0,IF(G18&gt;0,G18,INDEX(Standardwerte!$AN$71:$AN$83,Kategorie2,1)))*P17</f>
        <v>0</v>
      </c>
      <c r="H17" s="1478">
        <f>IF(_qw3&gt;0,IF(H18&gt;0,H18,_qw3),0)*Q17*IF(AND(wohnen3,H21&gt;0.1),MAX(1-H21+0.1,0.3),1)+IF(INDEX(Standardwerte!$AN$71:$AN$83,Kategorie3,1)&gt;0,IF(H18&gt;0,H18,INDEX(Standardwerte!$AN$71:$AN$83,Kategorie3,1)))*Q17</f>
        <v>0</v>
      </c>
      <c r="I17" s="1478">
        <f>IF(_qw4&gt;0,IF(I18&gt;0,I18,_qw4),0)*R17*IF(AND(wohnen4,I21&gt;0.1),MAX(1-I21+0.1,0.3),1)+IF(INDEX(Standardwerte!$AN$71:$AN$83,Kategorie4,1)&gt;0,IF(I18&gt;0,I18,INDEX(Standardwerte!$AN$71:$AN$83,Kategorie4,1)))*R17</f>
        <v>0</v>
      </c>
      <c r="J17" s="184"/>
      <c r="K17" s="866"/>
      <c r="N17" s="1140" t="s">
        <v>1827</v>
      </c>
      <c r="O17" s="1702">
        <f>IF(F18&gt;0,1,IF(F19=$N$12,0.9,1))</f>
        <v>1</v>
      </c>
      <c r="P17" s="1141">
        <f>IF(G18&gt;0,1,IF(G19=$N$12,0.9,1))</f>
        <v>1</v>
      </c>
      <c r="Q17" s="1141">
        <f>IF(H18&gt;0,1,IF(H19=$N$12,0.9,1))</f>
        <v>1</v>
      </c>
      <c r="R17" s="1944">
        <f>IF(I18&gt;0,1,IF(I19=$N$12,0.9,1))</f>
        <v>1</v>
      </c>
      <c r="S17" s="1142"/>
      <c r="U17" s="1109" t="s">
        <v>3598</v>
      </c>
      <c r="V17" s="1109" t="b">
        <f>IF(AND(minergiep,Kategorie1=13),TRUE,FALSE)</f>
        <v>0</v>
      </c>
      <c r="W17" s="143" t="b">
        <f>IF(AND(minergiep,Kategorie2=13),TRUE,FALSE)</f>
        <v>0</v>
      </c>
      <c r="X17" s="143" t="b">
        <f>IF(AND(minergiep,Kategorie3=13),TRUE,FALSE)</f>
        <v>0</v>
      </c>
      <c r="Y17" s="1143" t="b">
        <f>IF(AND(minergiep,Kategorie4=13),TRUE,FALSE)</f>
        <v>0</v>
      </c>
      <c r="Z17" s="1143"/>
      <c r="AB17" s="1404" t="s">
        <v>2554</v>
      </c>
      <c r="AC17" s="1458" t="s">
        <v>2551</v>
      </c>
      <c r="AD17" s="1455">
        <f>IF($AH$14&gt;0,IF(Zonen&gt;0,AD15*AD14*0.3,0)/$AH$14,0)</f>
        <v>0</v>
      </c>
      <c r="AE17" s="1455">
        <f>IF($AH$14&gt;0,IF(Zonen&gt;1,AE15*AE14*0.3,0)/$AH$14,0)</f>
        <v>0</v>
      </c>
      <c r="AF17" s="1455">
        <f>IF($AH$14&gt;0,IF(Zonen&gt;2,AF15*AF14*0.3,0)/$AH$14,0)</f>
        <v>0</v>
      </c>
      <c r="AG17" s="1455">
        <f>IF($AH$14&gt;0,IF(Zonen&gt;3,AG15*AG14*0.3,0)/$AH$14,0)</f>
        <v>0</v>
      </c>
      <c r="AH17" s="1754">
        <f>SUM(AD17:AG17)</f>
        <v>0</v>
      </c>
      <c r="AI17" s="5" t="s">
        <v>524</v>
      </c>
    </row>
    <row r="18" spans="1:35" ht="18" customHeight="1">
      <c r="A18" s="1565" t="s">
        <v>2883</v>
      </c>
      <c r="B18" s="1937" t="str">
        <f>Uebersetzung!D468&amp;":"</f>
        <v>Eau chaude, SIA 385:</v>
      </c>
      <c r="C18" s="1941" t="str">
        <f>Uebersetzung!D248</f>
        <v>Pondération</v>
      </c>
      <c r="D18" s="1945"/>
      <c r="E18" s="185" t="s">
        <v>524</v>
      </c>
      <c r="F18" s="1477"/>
      <c r="G18" s="1069"/>
      <c r="H18" s="1069"/>
      <c r="I18" s="1069"/>
      <c r="J18" s="184"/>
      <c r="K18" s="866"/>
      <c r="L18" s="300"/>
      <c r="N18" s="1172" t="s">
        <v>1826</v>
      </c>
      <c r="O18" s="1421">
        <f>IF(INDEX(Standardwerte!$AN$71:$AN$83,Kategorie1,1)=0,F17*Justificatif!$O$52,0)</f>
        <v>0</v>
      </c>
      <c r="P18" s="1422">
        <f>IF(INDEX(Standardwerte!$AN$71:$AN$83,Kategorie2,1)=0,G17*Justificatif!$O$52,0)</f>
        <v>0</v>
      </c>
      <c r="Q18" s="1422">
        <f>IF(INDEX(Standardwerte!$AN$71:$AN$83,Kategorie3,1)=0,H17*Justificatif!$O$52,0)</f>
        <v>0</v>
      </c>
      <c r="R18" s="1423">
        <f>IF(INDEX(Standardwerte!$AN$71:$AN$83,Kategorie4,1)=0,I17*Justificatif!$O$52,0)</f>
        <v>0</v>
      </c>
      <c r="S18" s="1173">
        <f>IF(EBF=0,0,(O18*_EBF1+P18*_EBF2+Q18*_EBF3+R18*_EBF4)/(_EBF1+_EBF2+_EBF3+_EBF4))</f>
        <v>0</v>
      </c>
      <c r="T18" s="5" t="s">
        <v>524</v>
      </c>
      <c r="U18" s="900" t="s">
        <v>657</v>
      </c>
      <c r="V18" s="1895">
        <f>IF(V17,Standardwerte!$AB$94,IF(V13,Standardwerte!$AB$93,Standardwerte!$AC$93))</f>
        <v>0</v>
      </c>
      <c r="W18" s="1896">
        <f>IF(W17,Standardwerte!$AB$94,IF(W13,Standardwerte!$AB$93,Standardwerte!$AC$93))</f>
        <v>0</v>
      </c>
      <c r="X18" s="1896">
        <f>IF(X17,Standardwerte!$AB$94,IF(X13,Standardwerte!$AB$93,Standardwerte!$AC$93))</f>
        <v>0</v>
      </c>
      <c r="Y18" s="1897">
        <f>IF(Y17,Standardwerte!$AB$94,IF(Y13,Standardwerte!$AB$93,Standardwerte!$AC$93))</f>
        <v>0</v>
      </c>
      <c r="Z18" s="606"/>
      <c r="AB18" s="1404"/>
      <c r="AC18" s="1458" t="s">
        <v>3838</v>
      </c>
      <c r="AD18" s="1455">
        <f>IF($AH$14&gt;0,IF(Zonen&gt;0,_qw1*AD14,0)/$AH$14,0)</f>
        <v>0</v>
      </c>
      <c r="AE18" s="1455">
        <f>IF($AH$14&gt;0,IF(Zonen&gt;1,_qw2*AE14,0)/$AH$14,0)</f>
        <v>0</v>
      </c>
      <c r="AF18" s="1455">
        <f>IF($AH$14&gt;0,IF(Zonen&gt;2,_qw3*AF14,0)/$AH$14,0)</f>
        <v>0</v>
      </c>
      <c r="AG18" s="1455">
        <f>IF($AH$14&gt;0,IF(Zonen&gt;3,_qw4*AG14,0)/$AH$14,0)</f>
        <v>0</v>
      </c>
      <c r="AH18" s="1754">
        <f>SUM(AD18:AG18)</f>
        <v>0</v>
      </c>
      <c r="AI18" s="5" t="s">
        <v>524</v>
      </c>
    </row>
    <row r="19" spans="1:35" ht="18" customHeight="1">
      <c r="A19" s="1565" t="s">
        <v>2884</v>
      </c>
      <c r="B19" s="1950" t="str">
        <f>Uebersetzung!D362</f>
        <v xml:space="preserve"> - Réduction pour la robinetterie</v>
      </c>
      <c r="C19" s="1951"/>
      <c r="D19" s="194" t="s">
        <v>1829</v>
      </c>
      <c r="E19" s="248"/>
      <c r="F19" s="1026"/>
      <c r="G19" s="1026"/>
      <c r="H19" s="1026"/>
      <c r="I19" s="1026"/>
      <c r="J19" s="200"/>
      <c r="K19" s="866"/>
      <c r="M19" s="299" t="b">
        <f>IF(AND(minergiea,OR(Kategorie1=7,Kategorie2=7,Kategorie3=7,Kategorie4=7,Kategorie1=12,Kategorie2=12,Kategorie3=12,Kategorie4=12),Justificatif!O52=0),TRUE,FALSE)</f>
        <v>0</v>
      </c>
      <c r="N19" s="759" t="s">
        <v>4014</v>
      </c>
      <c r="O19" s="1181">
        <f>IF(O18&gt;0,0,IF(Justificatif!$O$52&gt;0,F17*Justificatif!$O$52,F17*IF($D$18&gt;0,$D$18,2)/IF($D$17&gt;0,$D$17,1)))</f>
        <v>0</v>
      </c>
      <c r="P19" s="1182">
        <f>IF(P18&gt;0,0,IF(Justificatif!$O$52&gt;0,G17*Justificatif!$O$52,G17*IF($D$18&gt;0,$D$18,2)/IF($D$17&gt;0,$D$17,1)))</f>
        <v>0</v>
      </c>
      <c r="Q19" s="1182">
        <f>IF(Q18&gt;0,0,IF(Justificatif!$O$52&gt;0,H17*Justificatif!$O$52,H17*IF($D$18&gt;0,$D$18,2)/IF($D$17&gt;0,$D$17,1)))</f>
        <v>0</v>
      </c>
      <c r="R19" s="1144">
        <f>IF(R18&gt;0,0,IF(Justificatif!$O$52&gt;0,I17*Justificatif!$O$52,I17*IF($D$18&gt;0,$D$18,2)/IF($D$17&gt;0,$D$17,1)))</f>
        <v>0</v>
      </c>
      <c r="S19" s="1943">
        <f>IF(EBF=0,0,(O19*_EBF1+P19*_EBF2+Q19*_EBF3+R19*_EBF4)/(_EBF1+_EBF2+_EBF3+_EBF4))</f>
        <v>0</v>
      </c>
      <c r="T19" s="5" t="s">
        <v>524</v>
      </c>
      <c r="U19" s="1175" t="s">
        <v>1907</v>
      </c>
      <c r="V19" s="1182">
        <f>IF(V18&lt;&gt;"",V18*V15,)</f>
        <v>0</v>
      </c>
      <c r="W19" s="1182">
        <f>IF(W18&lt;&gt;"",W18*W15,)</f>
        <v>0</v>
      </c>
      <c r="X19" s="1182">
        <f>IF(X18&lt;&gt;"",X18*X15,)</f>
        <v>0</v>
      </c>
      <c r="Y19" s="1182">
        <f>IF(Y18&lt;&gt;"",Y18*Y15,)</f>
        <v>0</v>
      </c>
      <c r="Z19" s="1176">
        <f>IF(Z14&gt;0,(V19*V14+W19*W14+X19*X14+Y19*Y14)/Z14,)</f>
        <v>0</v>
      </c>
      <c r="AA19" s="5" t="s">
        <v>524</v>
      </c>
      <c r="AB19" s="1404" t="s">
        <v>2554</v>
      </c>
      <c r="AC19" s="1458" t="s">
        <v>3839</v>
      </c>
      <c r="AD19" s="1455">
        <f>AD18*0.3</f>
        <v>0</v>
      </c>
      <c r="AE19" s="1455">
        <f>AE18*0.3</f>
        <v>0</v>
      </c>
      <c r="AF19" s="1455">
        <f>AF18*0.3</f>
        <v>0</v>
      </c>
      <c r="AG19" s="1455">
        <f>AG18*0.3</f>
        <v>0</v>
      </c>
      <c r="AH19" s="1754">
        <f>SUM(AD19:AG19)</f>
        <v>0</v>
      </c>
      <c r="AI19" s="5" t="s">
        <v>524</v>
      </c>
    </row>
    <row r="20" spans="1:35" ht="18" hidden="1" customHeight="1">
      <c r="A20" s="1565" t="s">
        <v>2885</v>
      </c>
      <c r="B20" s="1950" t="str">
        <f>Uebersetzung!D363</f>
        <v xml:space="preserve"> - Réduction pour le maintien de la chaleur</v>
      </c>
      <c r="C20" s="1951"/>
      <c r="D20" s="194" t="s">
        <v>1828</v>
      </c>
      <c r="E20" s="248"/>
      <c r="F20" s="1026"/>
      <c r="G20" s="1026"/>
      <c r="H20" s="1026"/>
      <c r="I20" s="1026"/>
      <c r="J20" s="1160"/>
      <c r="K20" s="866"/>
      <c r="AC20" s="1169"/>
      <c r="AD20" s="151"/>
      <c r="AE20" s="151"/>
      <c r="AF20" s="151"/>
      <c r="AG20" s="151"/>
      <c r="AH20" s="1169"/>
    </row>
    <row r="21" spans="1:35" ht="18" customHeight="1">
      <c r="A21" s="1565" t="s">
        <v>3095</v>
      </c>
      <c r="B21" s="2046" t="str">
        <f>Uebersetzung!D521</f>
        <v>-Récupération de la chaleur des eaux usées en%</v>
      </c>
      <c r="C21" s="1954"/>
      <c r="D21" s="194"/>
      <c r="E21" s="194"/>
      <c r="F21" s="1656"/>
      <c r="G21" s="1656"/>
      <c r="H21" s="1656"/>
      <c r="I21" s="1656"/>
      <c r="J21" s="182"/>
      <c r="K21" s="1657">
        <f>IF(EBF&gt;0,(IF(wohnen1,F21,0)*Entrées!F19+IF(wohnen2,G21,0)*Entrées!G19+IF(wohnen3,H21,0)*Entrées!H19+IF(wohnen4,I21,0)*Entrées!I19)/EBF,0)</f>
        <v>0</v>
      </c>
      <c r="N21" s="1171" t="s">
        <v>1851</v>
      </c>
      <c r="O21" s="725">
        <v>1</v>
      </c>
      <c r="P21" s="789">
        <v>2</v>
      </c>
      <c r="Q21" s="789">
        <v>3</v>
      </c>
      <c r="R21" s="1131">
        <v>4</v>
      </c>
      <c r="S21" s="1164" t="s">
        <v>1849</v>
      </c>
      <c r="U21" s="1289" t="s">
        <v>2241</v>
      </c>
      <c r="AC21" s="1172" t="s">
        <v>3842</v>
      </c>
      <c r="AD21" s="1145">
        <f>AD19+AD17</f>
        <v>0</v>
      </c>
      <c r="AE21" s="1139">
        <f>AE19+AE17</f>
        <v>0</v>
      </c>
      <c r="AF21" s="1139">
        <f>AF19+AF17</f>
        <v>0</v>
      </c>
      <c r="AG21" s="1146">
        <f>AG19+AG17</f>
        <v>0</v>
      </c>
      <c r="AH21" s="1456">
        <f>SUM(AD21:AG21)</f>
        <v>0</v>
      </c>
      <c r="AI21" s="5" t="s">
        <v>524</v>
      </c>
    </row>
    <row r="22" spans="1:35" ht="20.100000000000001" hidden="1" customHeight="1">
      <c r="A22" s="1565" t="s">
        <v>386</v>
      </c>
      <c r="B22" s="1950" t="str">
        <f>Uebersetzung!D411</f>
        <v xml:space="preserve"> - Longueur des bandes de chauffage</v>
      </c>
      <c r="C22" s="1951"/>
      <c r="D22" s="194" t="s">
        <v>1500</v>
      </c>
      <c r="E22" s="194"/>
      <c r="F22" s="1328"/>
      <c r="G22" s="1159"/>
      <c r="H22" s="1159"/>
      <c r="I22" s="1159"/>
      <c r="J22" s="192"/>
      <c r="K22" s="223"/>
      <c r="N22" s="759" t="s">
        <v>119</v>
      </c>
      <c r="O22" s="759" t="b">
        <f>IF(F24=$N$12,TRUE,FALSE)</f>
        <v>0</v>
      </c>
      <c r="P22" s="678" t="b">
        <f>IF(G24=$N$12,TRUE,FALSE)</f>
        <v>0</v>
      </c>
      <c r="Q22" s="678" t="b">
        <f>IF(H24=$N$12,TRUE,FALSE)</f>
        <v>0</v>
      </c>
      <c r="R22" s="892" t="b">
        <f>IF(I24=$N$12,TRUE,FALSE)</f>
        <v>0</v>
      </c>
      <c r="S22" s="1370"/>
      <c r="AH22" s="1457">
        <f>SUM(AD22:AG22)</f>
        <v>0</v>
      </c>
    </row>
    <row r="23" spans="1:35" ht="20.100000000000001" hidden="1" customHeight="1">
      <c r="A23" s="1565" t="s">
        <v>387</v>
      </c>
      <c r="B23" s="1634" t="str">
        <f>Entrées!B19</f>
        <v>Surface de référence énergétique SRE</v>
      </c>
      <c r="C23" s="1635"/>
      <c r="D23" s="205" t="s">
        <v>138</v>
      </c>
      <c r="E23" s="1161" t="s">
        <v>321</v>
      </c>
      <c r="F23" s="1162">
        <f>Entrées!F19</f>
        <v>0</v>
      </c>
      <c r="G23" s="1162">
        <f>Entrées!G19</f>
        <v>0</v>
      </c>
      <c r="H23" s="1162">
        <f>Entrées!H19</f>
        <v>0</v>
      </c>
      <c r="I23" s="1162">
        <f>Entrées!I19</f>
        <v>0</v>
      </c>
      <c r="J23" s="184"/>
      <c r="K23" s="1163">
        <f>Entrées!K19</f>
        <v>0</v>
      </c>
      <c r="AH23" s="1457">
        <f>SUM(AD23:AG23)</f>
        <v>0</v>
      </c>
    </row>
    <row r="24" spans="1:35" ht="20.100000000000001" hidden="1" customHeight="1">
      <c r="A24" s="1565" t="s">
        <v>388</v>
      </c>
      <c r="B24" s="1634" t="str">
        <f>Entrées!B21</f>
        <v>Nouvelle construction</v>
      </c>
      <c r="C24" s="1635"/>
      <c r="D24" s="199"/>
      <c r="E24" s="200"/>
      <c r="F24" s="1023">
        <f>Entrées!F21</f>
        <v>0</v>
      </c>
      <c r="G24" s="1023">
        <f>Entrées!G21</f>
        <v>0</v>
      </c>
      <c r="H24" s="1023">
        <f>Entrées!H21</f>
        <v>0</v>
      </c>
      <c r="I24" s="1023">
        <f>Entrées!I21</f>
        <v>0</v>
      </c>
      <c r="J24" s="269"/>
      <c r="K24" s="1024"/>
      <c r="N24" s="1177" t="s">
        <v>1851</v>
      </c>
      <c r="O24" s="1178"/>
      <c r="P24" s="1178"/>
      <c r="Q24" s="1178"/>
      <c r="R24" s="1178"/>
      <c r="S24" s="1179"/>
      <c r="AH24" s="1457">
        <f>SUM(AD24:AG24)</f>
        <v>0</v>
      </c>
    </row>
    <row r="25" spans="1:35" ht="21.95" customHeight="1">
      <c r="A25" s="1565" t="s">
        <v>2886</v>
      </c>
      <c r="B25" s="1950" t="str">
        <f>Uebersetzung!D410</f>
        <v>Nombre d’unités d’habitation</v>
      </c>
      <c r="C25" s="1951"/>
      <c r="D25" s="194"/>
      <c r="E25" s="194"/>
      <c r="F25" s="1159"/>
      <c r="G25" s="1159"/>
      <c r="H25" s="1159"/>
      <c r="I25" s="1159"/>
      <c r="J25" s="1160"/>
      <c r="K25" s="1760">
        <f>IF(M25=1,Fehler1,SUM(F25:I25))</f>
        <v>0</v>
      </c>
      <c r="M25" s="299">
        <f>IF(OR(AND(Kategorie1=2,F25=""),AND(Kategorie2=2,G25=""),AND(Kategorie3=2,H25=""),AND(Kategorie4=2,I25="")),1,0)</f>
        <v>0</v>
      </c>
      <c r="N25" s="1168" t="s">
        <v>2251</v>
      </c>
      <c r="O25" s="1669">
        <f>IF(_EBF1&gt;0,IF(wohnen1,IF(OR(F25="",F25=0),ROUNDUP(Entrées!F19/90,0),F25),0),0)</f>
        <v>0</v>
      </c>
      <c r="P25" s="1670">
        <f>IF(_EBF2&gt;0,IF(wohnen2,IF(OR(G25="",G25=0),ROUNDUP(Entrées!G19/90,0),G25),0),0)</f>
        <v>0</v>
      </c>
      <c r="Q25" s="1670">
        <f>IF(_EBF3&gt;0,IF(wohnen3,IF(OR(H25="",H25=0),ROUNDUP(Entrées!H19/90,0),H25),0),0)</f>
        <v>0</v>
      </c>
      <c r="R25" s="1671">
        <f>IF(_EBF4&gt;0,IF(wohnen4,IF(OR(I25="",I25=0),ROUNDUP(Entrées!I19/90,0),I25),0),0)</f>
        <v>0</v>
      </c>
      <c r="S25" s="1525">
        <f>SUM(O25:R25)</f>
        <v>0</v>
      </c>
      <c r="U25" s="1175" t="s">
        <v>2242</v>
      </c>
      <c r="V25" s="1166">
        <f>IF(V18&gt;0,_qhs1/3.6,)</f>
        <v>0</v>
      </c>
      <c r="W25" s="1166">
        <f>IF(W18&gt;0,IF(Zonen&gt;1,_qhs2/3.6,0),)</f>
        <v>0</v>
      </c>
      <c r="X25" s="1166">
        <f>IF(X18&gt;0,IF(Zonen&gt;2,_qhs3/3.6,0),)</f>
        <v>0</v>
      </c>
      <c r="Y25" s="1166">
        <f>IF(Y18&gt;0,IF(Zonen&gt;3,_qhs4/3.6,0),)</f>
        <v>0</v>
      </c>
      <c r="Z25" s="1176">
        <f>IF(Z14&gt;0,(V25*V14+W25*W14+X25*X14+Y25*Y14)/Z14,)</f>
        <v>0</v>
      </c>
      <c r="AA25" s="5" t="s">
        <v>524</v>
      </c>
      <c r="AC25" s="1658" t="s">
        <v>3108</v>
      </c>
      <c r="AH25" s="1659">
        <v>0.3</v>
      </c>
    </row>
    <row r="26" spans="1:35" ht="20.100000000000001" customHeight="1">
      <c r="A26" s="1565" t="s">
        <v>3147</v>
      </c>
      <c r="B26" s="2047" t="str">
        <f>Uebersetzung!D522</f>
        <v>Hauteur du bâtiment</v>
      </c>
      <c r="C26" s="2048"/>
      <c r="D26" s="1722"/>
      <c r="E26" s="1103" t="s">
        <v>1500</v>
      </c>
      <c r="F26" s="1721">
        <f>Z36</f>
        <v>0</v>
      </c>
      <c r="G26" s="1721">
        <f>Z36</f>
        <v>0</v>
      </c>
      <c r="H26" s="1721">
        <f>Z36</f>
        <v>0</v>
      </c>
      <c r="I26" s="1721">
        <f>Z36</f>
        <v>0</v>
      </c>
      <c r="J26" s="1106"/>
      <c r="K26" s="1676"/>
      <c r="N26" s="1665" t="s">
        <v>1836</v>
      </c>
      <c r="O26" s="789">
        <f>IF(wohnen1,IF(_neu1,0.85,1),0)</f>
        <v>0</v>
      </c>
      <c r="P26" s="789">
        <f>IF(wohnen2,IF(_neu2,0.85,1),0)</f>
        <v>0</v>
      </c>
      <c r="Q26" s="789">
        <f>IF(wohnen3,IF(_neu3,0.85,1),0)</f>
        <v>0</v>
      </c>
      <c r="R26" s="1131">
        <f>IF(wohnen4,IF(_neu4,0.85,1),0)</f>
        <v>0</v>
      </c>
      <c r="S26" s="1165">
        <f>IF(S30&gt;0,(O26*O30+P26*P30+Q26*Q30+R26*R30)/S30,0)</f>
        <v>0</v>
      </c>
    </row>
    <row r="27" spans="1:35" ht="20.100000000000001" hidden="1" customHeight="1">
      <c r="A27" s="1565"/>
      <c r="B27" s="9"/>
      <c r="C27" s="9"/>
      <c r="D27" s="157"/>
      <c r="E27" s="157"/>
      <c r="F27" s="1158"/>
      <c r="G27" s="1158"/>
      <c r="H27" s="1158"/>
      <c r="I27" s="1158"/>
      <c r="J27" s="1121"/>
      <c r="K27" s="1157"/>
    </row>
    <row r="28" spans="1:35" ht="20.100000000000001" hidden="1" customHeight="1">
      <c r="A28" s="1565"/>
      <c r="B28" s="9"/>
      <c r="C28" s="9"/>
      <c r="D28" s="157"/>
      <c r="E28" s="157"/>
      <c r="F28" s="9"/>
      <c r="G28" s="9"/>
      <c r="H28" s="9"/>
      <c r="I28" s="9"/>
      <c r="J28" s="1121"/>
      <c r="K28" s="1157"/>
    </row>
    <row r="29" spans="1:35" ht="6" customHeight="1">
      <c r="A29" s="1566"/>
      <c r="B29" s="459"/>
      <c r="C29" s="459"/>
      <c r="D29" s="459"/>
      <c r="E29" s="459"/>
      <c r="F29" s="155"/>
      <c r="G29" s="155"/>
      <c r="H29" s="155"/>
      <c r="I29" s="155"/>
      <c r="J29" s="459"/>
      <c r="K29" s="459"/>
      <c r="M29" s="459"/>
    </row>
    <row r="30" spans="1:35" ht="18" customHeight="1">
      <c r="B30" s="2044" t="str">
        <f>Uebersetzung!D364</f>
        <v>Electricité</v>
      </c>
      <c r="C30" s="2045"/>
      <c r="D30" s="414"/>
      <c r="E30" s="414"/>
      <c r="F30" s="414"/>
      <c r="G30" s="414"/>
      <c r="H30" s="414"/>
      <c r="I30" s="414"/>
      <c r="J30" s="933"/>
      <c r="K30" s="1027"/>
      <c r="N30" s="1167" t="s">
        <v>1845</v>
      </c>
      <c r="O30" s="1141">
        <f>IF(wohnen1,F23,0)</f>
        <v>0</v>
      </c>
      <c r="P30" s="1141">
        <f>IF(wohnen2,G23,0)</f>
        <v>0</v>
      </c>
      <c r="Q30" s="1141">
        <f>IF(wohnen3,H23,0)</f>
        <v>0</v>
      </c>
      <c r="R30" s="1141">
        <f>IF(wohnen4,I23,0)</f>
        <v>0</v>
      </c>
      <c r="S30" s="1134">
        <f>SUM(O30:R30)</f>
        <v>0</v>
      </c>
      <c r="T30" s="143" t="s">
        <v>321</v>
      </c>
      <c r="U30" s="299" t="s">
        <v>1878</v>
      </c>
      <c r="W30" s="1454"/>
      <c r="AC30" s="1443" t="s">
        <v>3837</v>
      </c>
    </row>
    <row r="31" spans="1:35" ht="5.25" hidden="1" customHeight="1">
      <c r="B31" s="10"/>
      <c r="C31" s="17"/>
      <c r="D31" s="14"/>
      <c r="E31" s="14"/>
      <c r="F31" s="11"/>
      <c r="G31" s="11"/>
      <c r="H31" s="15"/>
      <c r="I31" s="16"/>
      <c r="J31" s="17"/>
      <c r="K31" s="18"/>
      <c r="N31" s="1168" t="s">
        <v>1844</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 xml:space="preserve">Données concernant l'utilisation du logement: </v>
      </c>
      <c r="C32" s="777"/>
      <c r="D32" s="14"/>
      <c r="E32" s="416" t="str">
        <f>B14</f>
        <v>Zone</v>
      </c>
      <c r="F32" s="180">
        <v>1</v>
      </c>
      <c r="G32" s="180">
        <v>2</v>
      </c>
      <c r="H32" s="180">
        <v>3</v>
      </c>
      <c r="I32" s="180">
        <v>4</v>
      </c>
      <c r="J32" s="19"/>
      <c r="K32" s="20" t="str">
        <f>K15</f>
        <v>(moyenne)</v>
      </c>
      <c r="N32" s="1169" t="s">
        <v>1848</v>
      </c>
      <c r="O32" s="1152">
        <f>O30*0.8</f>
        <v>0</v>
      </c>
      <c r="P32" s="1152">
        <f>P30*0.8</f>
        <v>0</v>
      </c>
      <c r="Q32" s="1152">
        <f>Q30*0.8</f>
        <v>0</v>
      </c>
      <c r="R32" s="1152">
        <f>R30*0.8</f>
        <v>0</v>
      </c>
      <c r="S32" s="979">
        <f>SUM(O32:R32)</f>
        <v>0</v>
      </c>
      <c r="T32" s="143" t="s">
        <v>321</v>
      </c>
      <c r="U32" s="1140" t="s">
        <v>1825</v>
      </c>
      <c r="V32" s="1147">
        <v>1</v>
      </c>
      <c r="W32" s="1141">
        <v>2</v>
      </c>
      <c r="X32" s="1141">
        <v>3</v>
      </c>
      <c r="Y32" s="380">
        <v>4</v>
      </c>
      <c r="Z32" s="380" t="s">
        <v>1834</v>
      </c>
      <c r="AC32" s="1461" t="s">
        <v>3836</v>
      </c>
      <c r="AD32" s="1472">
        <f>IF(Zonen&gt;0,Justificatif!G34,0)</f>
        <v>0</v>
      </c>
      <c r="AE32" s="1473">
        <f>IF(Zonen&gt;1,Justificatif!H34,0)</f>
        <v>0</v>
      </c>
      <c r="AF32" s="1473">
        <f>IF(Zonen&gt;2,Justificatif!I34,0)</f>
        <v>0</v>
      </c>
      <c r="AG32" s="1473">
        <f>IF(Zonen&gt;3,Justificatif!J34,0)</f>
        <v>0</v>
      </c>
      <c r="AH32" s="1471">
        <f>IF($AH$14&gt;0,(AD32*$AD$14+AE32*$AE$14+AF32*$AF$14+AG32*$AG$14)/$AH$14,)</f>
        <v>0</v>
      </c>
      <c r="AI32" s="5" t="s">
        <v>524</v>
      </c>
    </row>
    <row r="33" spans="1:36" ht="18" customHeight="1">
      <c r="A33" s="1565" t="s">
        <v>2887</v>
      </c>
      <c r="B33" s="1946" t="str">
        <f>Uebersetzung!D366</f>
        <v>Ascenseur / élévateur disponible sur place?</v>
      </c>
      <c r="C33" s="1947"/>
      <c r="D33" s="201"/>
      <c r="E33" s="202"/>
      <c r="F33" s="1125"/>
      <c r="G33" s="1125"/>
      <c r="H33" s="1125"/>
      <c r="I33" s="1125"/>
      <c r="J33" s="181"/>
      <c r="K33" s="866"/>
      <c r="L33" s="299" t="s">
        <v>199</v>
      </c>
      <c r="N33" s="1168" t="s">
        <v>1846</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9" t="s">
        <v>3603</v>
      </c>
      <c r="V33" s="1152">
        <f>IF(Kategorie1&lt;13,Entrées!F19,0)</f>
        <v>0</v>
      </c>
      <c r="W33" s="1152">
        <f>IF(Kategorie2&lt;13,Entrées!G19,0)</f>
        <v>0</v>
      </c>
      <c r="X33" s="1152">
        <f>IF(Kategorie3&lt;13,Entrées!H19,0)</f>
        <v>0</v>
      </c>
      <c r="Y33" s="1152">
        <f>IF(Kategorie4&lt;13,Entrées!I19,0)</f>
        <v>0</v>
      </c>
      <c r="Z33" s="979">
        <f>SUM(V33:Y33)</f>
        <v>0</v>
      </c>
      <c r="AC33" s="1462" t="s">
        <v>3116</v>
      </c>
      <c r="AD33" s="1132">
        <f>Justificatif!$AN$43</f>
        <v>1</v>
      </c>
      <c r="AE33" s="1129">
        <f>Justificatif!$AN$43</f>
        <v>1</v>
      </c>
      <c r="AF33" s="1129">
        <f>Justificatif!$AN$43</f>
        <v>1</v>
      </c>
      <c r="AG33" s="1129">
        <f>Justificatif!$AN$43</f>
        <v>1</v>
      </c>
      <c r="AH33" s="1467">
        <f>Justificatif!$AN$43</f>
        <v>1</v>
      </c>
    </row>
    <row r="34" spans="1:36" ht="18" customHeight="1">
      <c r="A34" s="1565" t="s">
        <v>2888</v>
      </c>
      <c r="B34" s="1950" t="str">
        <f>Uebersetzung!D367</f>
        <v>Tous les lave-vaisselle sont de classe A+++</v>
      </c>
      <c r="C34" s="1951"/>
      <c r="D34" s="199"/>
      <c r="E34" s="194"/>
      <c r="F34" s="1125"/>
      <c r="G34" s="1125"/>
      <c r="H34" s="1125"/>
      <c r="I34" s="1125"/>
      <c r="J34" s="184"/>
      <c r="K34" s="223"/>
      <c r="L34" s="299" t="s">
        <v>199</v>
      </c>
      <c r="N34" s="1167" t="s">
        <v>1837</v>
      </c>
      <c r="O34" s="1419">
        <f>IF(F34=$N$12,IF(_neu1,Standardwerte!$X87,Standardwerte!$Y87),0)</f>
        <v>0</v>
      </c>
      <c r="P34" s="1170">
        <f>IF(G34=$N$12,IF(_neu2,Standardwerte!$X87,Standardwerte!$Y87),0)</f>
        <v>0</v>
      </c>
      <c r="Q34" s="1170">
        <f>IF(H34=$N$12,IF(_neu3,Standardwerte!$X87,Standardwerte!$Y87),0)</f>
        <v>0</v>
      </c>
      <c r="R34" s="1420">
        <f>IF(I34=$N$12,IF(_neu4,Standardwerte!$X87,Standardwerte!$Y87),0)</f>
        <v>0</v>
      </c>
      <c r="S34" s="1367"/>
      <c r="T34" s="143"/>
      <c r="U34" s="1227" t="s">
        <v>1884</v>
      </c>
      <c r="V34" s="1224">
        <f>IF(V81,V86,IF(minergiea,INDEX(Standardwerte!$AI$71:$AI$83,Kategorie1,1),IF(minergiep,IF(_neu1,INDEX(Standardwerte!$Z$71:$Z$83,Kategorie1,1),INDEX(Standardwerte!$AA$71:$AA$83,Kategorie1,1)),IF(_neu1,INDEX(Standardwerte!$X$71:$X$83,Kategorie1,1),INDEX(Standardwerte!$Y$71:$Y$83,Kategorie1,1)))))</f>
        <v>0</v>
      </c>
      <c r="W34" s="1224">
        <f>IF(W81,W86,IF(minergiea,INDEX(Standardwerte!$AI$71:$AI$83,Kategorie2,1),IF(minergiep,IF(_neu2,INDEX(Standardwerte!$Z$71:$Z$83,Kategorie2,1),INDEX(Standardwerte!$AA$71:$AA$83,Kategorie2,1)),IF(_neu2,INDEX(Standardwerte!$X$71:$X$83,Kategorie2,1),INDEX(Standardwerte!$Y$71:$Y$83,Kategorie2,1)))))</f>
        <v>0</v>
      </c>
      <c r="X34" s="1224">
        <f>IF(X81,X86,IF(minergiea,INDEX(Standardwerte!$AI$71:$AI$83,Kategorie3,1),IF(minergiep,IF(_neu3,INDEX(Standardwerte!$Z$71:$Z$83,Kategorie3,1),INDEX(Standardwerte!$AA$71:$AA$83,Kategorie3,1)),IF(_neu3,INDEX(Standardwerte!$X$71:$X$83,Kategorie3,1),INDEX(Standardwerte!$Y$71:$Y$83,Kategorie3,1)))))</f>
        <v>0</v>
      </c>
      <c r="Y34" s="1224">
        <f>IF(Y81,Y86,IF(minergiea,INDEX(Standardwerte!$AI$71:$AI$83,Kategorie4,1),IF(minergiep,IF(_neu4,INDEX(Standardwerte!$Z$71:$Z$83,Kategorie4,1),INDEX(Standardwerte!$AA$71:$AA$83,Kategorie4,1)),IF(_neu4,INDEX(Standardwerte!$X$71:$X$83,Kategorie4,1),INDEX(Standardwerte!$Y$71:$Y$83,Kategorie4,1)))))</f>
        <v>0</v>
      </c>
      <c r="Z34" s="1723">
        <f>IF(EBF=0,0,(V34*_EBF1+W34*_EBF2+X34*_EBF3+Y34*_EBF4)/(_EBF1+_EBF2+_EBF3+_EBF4))</f>
        <v>0</v>
      </c>
      <c r="AA34" s="5" t="s">
        <v>524</v>
      </c>
      <c r="AC34" s="1466" t="s">
        <v>3116</v>
      </c>
      <c r="AD34" s="1421">
        <f>IF($AH$14&gt;0,AD32*AD14*AD33/$AH$14,)</f>
        <v>0</v>
      </c>
      <c r="AE34" s="1422">
        <f>IF($AH$14&gt;0,AE32*AE14*AE33/$AH$14,)</f>
        <v>0</v>
      </c>
      <c r="AF34" s="1422">
        <f>IF($AH$14&gt;0,AF32*AF14*AF33/$AH$14,)</f>
        <v>0</v>
      </c>
      <c r="AG34" s="1422">
        <f>IF($AH$14&gt;0,AG32*AG14*AG33/$AH$14,)</f>
        <v>0</v>
      </c>
      <c r="AH34" s="1459">
        <f>SUM(AD34:AG34)</f>
        <v>0</v>
      </c>
      <c r="AI34" s="5" t="s">
        <v>524</v>
      </c>
    </row>
    <row r="35" spans="1:36" ht="18" customHeight="1">
      <c r="A35" s="1565" t="s">
        <v>2889</v>
      </c>
      <c r="B35" s="2071" t="str">
        <f>Uebersetzung!D368</f>
        <v>Tous les réfrigérateurs et congélateurs sont de classe A+++</v>
      </c>
      <c r="C35" s="2072"/>
      <c r="D35" s="194"/>
      <c r="E35" s="194"/>
      <c r="F35" s="1125"/>
      <c r="G35" s="1125"/>
      <c r="H35" s="1125"/>
      <c r="I35" s="1125"/>
      <c r="J35" s="182"/>
      <c r="K35" s="186"/>
      <c r="N35" s="1168" t="s">
        <v>1838</v>
      </c>
      <c r="O35" s="1132">
        <f>IF(F35=$N$12,IF(_neu1,Standardwerte!$X88,Standardwerte!$Y88),0)</f>
        <v>0</v>
      </c>
      <c r="P35" s="1129">
        <f>IF(G35=$N$12,IF(_neu2,Standardwerte!$X88,Standardwerte!$Y88),0)</f>
        <v>0</v>
      </c>
      <c r="Q35" s="1129">
        <f>IF(H35=$N$12,IF(_neu3,Standardwerte!$X88,Standardwerte!$Y88),0)</f>
        <v>0</v>
      </c>
      <c r="R35" s="1153">
        <f>IF(I35=$N$12,IF(_neu4,Standardwerte!$X88,Standardwerte!$Y88),0)</f>
        <v>0</v>
      </c>
      <c r="S35" s="1143"/>
      <c r="U35" s="1228" t="s">
        <v>1883</v>
      </c>
      <c r="V35" s="1214">
        <f>IF(V33&gt;0,IF(Klima=1,0,INDEX(Standardwerte!$D$54:$D$94,Standardwerte!$B$51,1)*(IF(_neu1,1,2))),0)</f>
        <v>0</v>
      </c>
      <c r="W35" s="1214">
        <f>IF(W33&gt;0,IF(Klima=1,0,INDEX(Standardwerte!$D$54:$D$94,Standardwerte!$B$51,1)*(IF(_neu2,1,2))),0)</f>
        <v>0</v>
      </c>
      <c r="X35" s="1214">
        <f>IF(X33&gt;0,IF(Klima=1,0,INDEX(Standardwerte!$D$54:$D$94,Standardwerte!$B$51,1)*(IF(_neu3,1,2))),0)</f>
        <v>0</v>
      </c>
      <c r="Y35" s="1214">
        <f>IF(Y33&gt;0,IF(Klima=1,0,INDEX(Standardwerte!$D$54:$D$94,Standardwerte!$B$51,1)*(IF(_neu4,1,2))),0)</f>
        <v>0</v>
      </c>
      <c r="Z35" s="1168"/>
      <c r="AA35" s="5" t="s">
        <v>524</v>
      </c>
      <c r="AC35" s="1462" t="s">
        <v>2555</v>
      </c>
      <c r="AD35" s="1132">
        <f>Justificatif!$AN$44</f>
        <v>1</v>
      </c>
      <c r="AE35" s="1129">
        <f>Justificatif!$AN$44</f>
        <v>1</v>
      </c>
      <c r="AF35" s="1129">
        <f>Justificatif!$AN$44</f>
        <v>1</v>
      </c>
      <c r="AG35" s="1129">
        <f>Justificatif!$AN$44</f>
        <v>1</v>
      </c>
      <c r="AH35" s="1467">
        <f>Justificatif!$AN$44</f>
        <v>1</v>
      </c>
    </row>
    <row r="36" spans="1:36" ht="18" customHeight="1">
      <c r="A36" s="1565" t="s">
        <v>2890</v>
      </c>
      <c r="B36" s="1950" t="str">
        <f>Uebersetzung!D369</f>
        <v>Tous les lave-linge sont de classe A+++</v>
      </c>
      <c r="C36" s="1951"/>
      <c r="D36" s="194"/>
      <c r="E36" s="194"/>
      <c r="F36" s="1125"/>
      <c r="G36" s="1125"/>
      <c r="H36" s="1125"/>
      <c r="I36" s="1125"/>
      <c r="J36" s="182"/>
      <c r="K36" s="187"/>
      <c r="N36" s="1168" t="s">
        <v>1839</v>
      </c>
      <c r="O36" s="1132">
        <f>IF(F36=$N$12,IF(_neu1,Standardwerte!$X89,Standardwerte!$Y89),0)</f>
        <v>0</v>
      </c>
      <c r="P36" s="1129">
        <f>IF(G36=$N$12,IF(_neu2,Standardwerte!$X89,Standardwerte!$Y89),0)</f>
        <v>0</v>
      </c>
      <c r="Q36" s="1129">
        <f>IF(H36=$N$12,IF(_neu3,Standardwerte!$X89,Standardwerte!$Y89),0)</f>
        <v>0</v>
      </c>
      <c r="R36" s="1153">
        <f>IF(I36=$N$12,IF(_neu4,Standardwerte!$X89,Standardwerte!$Y89),0)</f>
        <v>0</v>
      </c>
      <c r="S36" s="1143"/>
      <c r="U36" s="1169" t="s">
        <v>3149</v>
      </c>
      <c r="V36" s="1677">
        <f>IF(AND(Kategorie1&gt;1,Kategorie1&lt;10,F26&gt;0),MAX(17-70*2.8/F26,0),0)</f>
        <v>0</v>
      </c>
      <c r="W36" s="1677">
        <f>IF(AND(Kategorie2&gt;1,Kategorie2&lt;10,G26&gt;0),MAX(17-70*2.8/G26,0),0)</f>
        <v>0</v>
      </c>
      <c r="X36" s="1677">
        <f>IF(AND(Kategorie3&gt;1,Kategorie3&lt;10,H26&gt;0),MAX(17-70*2.8/H26,0),0)</f>
        <v>0</v>
      </c>
      <c r="Y36" s="1677">
        <f>IF(AND(Kategorie4&gt;1,Kategorie4&lt;10,I26&gt;0),MAX(17-70*2.8/I26,0),0)</f>
        <v>0</v>
      </c>
      <c r="Z36" s="1724">
        <f>IF(minergiea,0,D26)</f>
        <v>0</v>
      </c>
      <c r="AA36" s="5" t="s">
        <v>3299</v>
      </c>
      <c r="AC36" s="1466" t="s">
        <v>2555</v>
      </c>
      <c r="AD36" s="1460">
        <f>AD18*Justificatif!$AN$44</f>
        <v>0</v>
      </c>
      <c r="AE36" s="1455">
        <f>AE18*Justificatif!$AN$44</f>
        <v>0</v>
      </c>
      <c r="AF36" s="1455">
        <f>AF18*Justificatif!$AN$44</f>
        <v>0</v>
      </c>
      <c r="AG36" s="1455">
        <f>AG18*Justificatif!$AN$44</f>
        <v>0</v>
      </c>
      <c r="AH36" s="1459">
        <f>SUM(AD36:AG36)</f>
        <v>0</v>
      </c>
      <c r="AI36" s="5" t="s">
        <v>524</v>
      </c>
    </row>
    <row r="37" spans="1:36" ht="18" customHeight="1">
      <c r="A37" s="1565" t="s">
        <v>2891</v>
      </c>
      <c r="B37" s="1950" t="str">
        <f>Uebersetzung!D370</f>
        <v>Tous les sèche-linge sont de classe A+++</v>
      </c>
      <c r="C37" s="1951"/>
      <c r="D37" s="207"/>
      <c r="E37" s="194"/>
      <c r="F37" s="1125"/>
      <c r="G37" s="1125"/>
      <c r="H37" s="1125"/>
      <c r="I37" s="1125"/>
      <c r="J37" s="182"/>
      <c r="K37" s="223"/>
      <c r="N37" s="1168" t="s">
        <v>1840</v>
      </c>
      <c r="O37" s="1132">
        <f>IF(F37=$N$12,IF(_neu1,Standardwerte!$X90,Standardwerte!$Y90),0)</f>
        <v>0</v>
      </c>
      <c r="P37" s="1129">
        <f>IF(G37=$N$12,IF(_neu2,Standardwerte!$X90,Standardwerte!$Y90),0)</f>
        <v>0</v>
      </c>
      <c r="Q37" s="1129">
        <f>IF(H37=$N$12,IF(_neu3,Standardwerte!$X90,Standardwerte!$Y90),0)</f>
        <v>0</v>
      </c>
      <c r="R37" s="1153">
        <f>IF(I37=$N$12,IF(_neu4,Standardwerte!$X90,Standardwerte!$Y90),0)</f>
        <v>0</v>
      </c>
      <c r="S37" s="1143"/>
      <c r="U37" s="1506" t="s">
        <v>1879</v>
      </c>
      <c r="V37" s="1224">
        <f>V34+V35+V36</f>
        <v>0</v>
      </c>
      <c r="W37" s="1224">
        <f>W34+W35+W36</f>
        <v>0</v>
      </c>
      <c r="X37" s="1224">
        <f>X34+X35+X36</f>
        <v>0</v>
      </c>
      <c r="Y37" s="1224">
        <f>Y34+Y35+Y36</f>
        <v>0</v>
      </c>
      <c r="Z37" s="1507">
        <f>IF(EBF=0,0,(V37*_EBF1+W37*_EBF2+X37*_EBF3+Y37*_EBF4)/(_EBF1+_EBF2+_EBF3+_EBF4))</f>
        <v>0</v>
      </c>
      <c r="AA37" s="5" t="s">
        <v>524</v>
      </c>
      <c r="AC37" s="1172" t="s">
        <v>2556</v>
      </c>
      <c r="AD37" s="1145">
        <f>AD36+AD34</f>
        <v>0</v>
      </c>
      <c r="AE37" s="1139">
        <f>AE36+AE34</f>
        <v>0</v>
      </c>
      <c r="AF37" s="1139">
        <f>AF36+AF34</f>
        <v>0</v>
      </c>
      <c r="AG37" s="1146">
        <f>AG36+AG34</f>
        <v>0</v>
      </c>
      <c r="AH37" s="1456">
        <f>SUM(AD37:AG37)</f>
        <v>0</v>
      </c>
      <c r="AI37" s="5" t="s">
        <v>524</v>
      </c>
    </row>
    <row r="38" spans="1:36" ht="18" customHeight="1">
      <c r="A38" s="1565" t="s">
        <v>2892</v>
      </c>
      <c r="B38" s="1950" t="str">
        <f>Uebersetzung!D371</f>
        <v>Toutes les cuisinières sont à induction</v>
      </c>
      <c r="C38" s="1951"/>
      <c r="D38" s="194"/>
      <c r="E38" s="194"/>
      <c r="F38" s="1125"/>
      <c r="G38" s="1125"/>
      <c r="H38" s="1125"/>
      <c r="I38" s="1125"/>
      <c r="J38" s="182"/>
      <c r="K38" s="187"/>
      <c r="N38" s="1168" t="s">
        <v>1841</v>
      </c>
      <c r="O38" s="1132">
        <f>IF(F38=$N$12,IF(_neu1,Standardwerte!$X91,Standardwerte!$Y91),0)</f>
        <v>0</v>
      </c>
      <c r="P38" s="1129">
        <f>IF(G38=$N$12,IF(_neu2,Standardwerte!$X91,Standardwerte!$Y91),0)</f>
        <v>0</v>
      </c>
      <c r="Q38" s="1129">
        <f>IF(H38=$N$12,IF(_neu3,Standardwerte!$X91,Standardwerte!$Y91),0)</f>
        <v>0</v>
      </c>
      <c r="R38" s="1153">
        <f>IF(I38=$N$12,IF(_neu4,Standardwerte!$X91,Standardwerte!$Y91),0)</f>
        <v>0</v>
      </c>
      <c r="S38" s="1143"/>
      <c r="U38" s="1750" t="s">
        <v>1880</v>
      </c>
      <c r="V38" s="1224">
        <f>IF(OR(AND(O81,O82=FALSE),AND(O86,O87=FALSE),O90),O95,0)</f>
        <v>0</v>
      </c>
      <c r="W38" s="1224">
        <f>IF(OR(AND(P81,P82=FALSE),AND(P86,P87=FALSE),P90),P95,0)</f>
        <v>0</v>
      </c>
      <c r="X38" s="1224">
        <f>IF(OR(AND(Q81,Q82=FALSE),AND(Q86,Q87=FALSE),Q90),Q95,0)</f>
        <v>0</v>
      </c>
      <c r="Y38" s="1224">
        <f>IF(OR(AND(R81,R82=FALSE),AND(R86,R87=FALSE),R90),R95,0)</f>
        <v>0</v>
      </c>
      <c r="Z38" s="1750"/>
      <c r="AA38" s="5" t="s">
        <v>524</v>
      </c>
      <c r="AC38" s="1658" t="s">
        <v>3108</v>
      </c>
      <c r="AH38" s="1128">
        <f>IF(AH21&gt;0,AH25/AH21*AH37,0)</f>
        <v>0</v>
      </c>
    </row>
    <row r="39" spans="1:36" ht="18" hidden="1" customHeight="1">
      <c r="A39" s="1565" t="s">
        <v>1924</v>
      </c>
      <c r="B39" s="1950" t="str">
        <f>Uebersetzung!D372</f>
        <v>Eclairage résidentiel fixe LED A++</v>
      </c>
      <c r="C39" s="1951"/>
      <c r="D39" s="194"/>
      <c r="E39" s="194"/>
      <c r="F39" s="1125"/>
      <c r="G39" s="1125"/>
      <c r="H39" s="1125"/>
      <c r="I39" s="1125"/>
      <c r="J39" s="182"/>
      <c r="K39" s="187"/>
      <c r="N39" s="1168" t="s">
        <v>1842</v>
      </c>
      <c r="O39" s="1132">
        <f>IF(F39=$N$12,IF(_neu1,Standardwerte!$X92,Standardwerte!$Y92),0)</f>
        <v>0</v>
      </c>
      <c r="P39" s="1129">
        <f>IF(G39=$N$12,IF(_neu2,Standardwerte!$X92,Standardwerte!$Y92),0)</f>
        <v>0</v>
      </c>
      <c r="Q39" s="1129">
        <f>IF(H39=$N$12,IF(_neu3,Standardwerte!$X92,Standardwerte!$Y92),0)</f>
        <v>0</v>
      </c>
      <c r="R39" s="1153">
        <f>IF(I39=$N$12,IF(_neu4,Standardwerte!$X92,Standardwerte!$Y92),0)</f>
        <v>0</v>
      </c>
      <c r="S39" s="1143"/>
      <c r="U39" s="1168"/>
      <c r="Z39" s="1168"/>
    </row>
    <row r="40" spans="1:36" ht="18" customHeight="1">
      <c r="A40" s="1565" t="s">
        <v>2893</v>
      </c>
      <c r="B40" s="1950" t="str">
        <f>Uebersetzung!D373</f>
        <v>Eclairage LED A++ &amp; régulation</v>
      </c>
      <c r="C40" s="1949"/>
      <c r="D40" s="412"/>
      <c r="E40" s="201"/>
      <c r="F40" s="1125"/>
      <c r="G40" s="1125"/>
      <c r="H40" s="1125"/>
      <c r="I40" s="1125"/>
      <c r="J40" s="413"/>
      <c r="K40" s="187"/>
      <c r="L40" s="155"/>
      <c r="N40" s="1168" t="s">
        <v>1843</v>
      </c>
      <c r="O40" s="1132">
        <f>IF(F40=$N$12,IF(_neu1,Standardwerte!$X93,Standardwerte!$Y93),0)</f>
        <v>0</v>
      </c>
      <c r="P40" s="1129">
        <f>IF(G40=$N$12,IF(_neu2,Standardwerte!$X93,Standardwerte!$Y93),0)</f>
        <v>0</v>
      </c>
      <c r="Q40" s="1129">
        <f>IF(H40=$N$12,IF(_neu3,Standardwerte!$X93,Standardwerte!$Y93),0)</f>
        <v>0</v>
      </c>
      <c r="R40" s="1153">
        <f>IF(I40=$N$12,IF(_neu4,Standardwerte!$X93,Standardwerte!$Y93),0)</f>
        <v>0</v>
      </c>
      <c r="S40" s="1143"/>
      <c r="U40" s="1169" t="s">
        <v>1881</v>
      </c>
      <c r="V40" s="1182">
        <f>IF(OR(AND(O81,O82=FALSE),AND(O86,O87=FALSE),O90),O92,0)</f>
        <v>0</v>
      </c>
      <c r="W40" s="1182">
        <f>IF(OR(AND(P81,P82=FALSE),AND(P86,P87=FALSE),P90),P92,0)</f>
        <v>0</v>
      </c>
      <c r="X40" s="1182">
        <f>IF(OR(AND(Q81,Q82=FALSE),AND(Q86,Q87=FALSE),Q90),Q92,0)</f>
        <v>0</v>
      </c>
      <c r="Y40" s="1182">
        <f>IF(OR(AND(R81,R82=FALSE),AND(R86,R87=FALSE),R90),R92,0)</f>
        <v>0</v>
      </c>
      <c r="Z40" s="1169"/>
      <c r="AA40" s="5" t="s">
        <v>524</v>
      </c>
    </row>
    <row r="41" spans="1:36" ht="18" customHeight="1">
      <c r="A41" s="1565" t="s">
        <v>2894</v>
      </c>
      <c r="B41" s="2047" t="str">
        <f>Uebersetzung!D391</f>
        <v>Appareils efficaces Electricité générale</v>
      </c>
      <c r="C41" s="2078"/>
      <c r="D41" s="412"/>
      <c r="E41" s="201"/>
      <c r="F41" s="1125"/>
      <c r="G41" s="1125"/>
      <c r="H41" s="1125"/>
      <c r="I41" s="1125"/>
      <c r="J41" s="413"/>
      <c r="K41" s="187"/>
      <c r="L41" s="155"/>
      <c r="N41" s="1169" t="s">
        <v>2253</v>
      </c>
      <c r="O41" s="1133">
        <f>IF(F41=$N$12,IF(_neu1,Standardwerte!$X94,Standardwerte!$Y94),0)</f>
        <v>0</v>
      </c>
      <c r="P41" s="1154">
        <f>IF(G41=$N$12,IF(_neu2,Standardwerte!$X94,Standardwerte!$Y94),0)</f>
        <v>0</v>
      </c>
      <c r="Q41" s="1154">
        <f>IF(H41=$N$12,IF(_neu3,Standardwerte!$X94,Standardwerte!$Y94),0)</f>
        <v>0</v>
      </c>
      <c r="R41" s="1155">
        <f>IF(I41=$N$12,IF(_neu4,Standardwerte!$X94,Standardwerte!$Y94),0)</f>
        <v>0</v>
      </c>
      <c r="S41" s="606"/>
      <c r="U41" s="759" t="s">
        <v>4022</v>
      </c>
      <c r="V41" s="1503">
        <f>Standardwerte!J107</f>
        <v>0</v>
      </c>
      <c r="W41" s="1166">
        <f>Standardwerte!K107</f>
        <v>0</v>
      </c>
      <c r="X41" s="1166">
        <f>Standardwerte!L107</f>
        <v>0</v>
      </c>
      <c r="Y41" s="1370">
        <f>Standardwerte!M107</f>
        <v>0</v>
      </c>
      <c r="Z41" s="1507">
        <f>IF(EBF=0,0,(V41*_EBF1+W41*_EBF2+X41*_EBF3+Y41*_EBF4)/(_EBF1+_EBF2+_EBF3+_EBF4))</f>
        <v>0</v>
      </c>
      <c r="AA41" s="5" t="s">
        <v>524</v>
      </c>
      <c r="AB41" s="5" t="s">
        <v>4023</v>
      </c>
    </row>
    <row r="42" spans="1:36" ht="20.100000000000001" hidden="1" customHeight="1">
      <c r="A42" s="1565"/>
      <c r="B42" s="1111"/>
      <c r="C42" s="14"/>
      <c r="D42" s="1119"/>
      <c r="E42" s="157"/>
      <c r="F42" s="1120"/>
      <c r="G42" s="1120"/>
      <c r="H42" s="1120"/>
      <c r="I42" s="1120"/>
      <c r="J42" s="1121"/>
      <c r="K42" s="1122"/>
      <c r="L42" s="155"/>
      <c r="N42" s="1168"/>
      <c r="O42" s="1129">
        <f>IF(F42=$N$12,IF(_neu1,Standardwerte!$X95,Standardwerte!$Y95),0)</f>
        <v>0</v>
      </c>
    </row>
    <row r="43" spans="1:36" ht="18" customHeight="1">
      <c r="A43" s="1565" t="s">
        <v>1911</v>
      </c>
      <c r="B43" s="1983" t="str">
        <f>Uebersetzung!D374</f>
        <v>Autres utilisations: données concernant l'éclairage</v>
      </c>
      <c r="C43" s="1984"/>
      <c r="D43" s="1984"/>
      <c r="E43" s="933" t="str">
        <f>IF(OR(F30&lt;&gt;"",G30&lt;&gt;"",H30&lt;&gt;""),Uebersetzung!D116,"")</f>
        <v/>
      </c>
      <c r="F43" s="418"/>
      <c r="G43" s="418"/>
      <c r="H43" s="418"/>
      <c r="I43" s="418"/>
      <c r="J43" s="418"/>
      <c r="K43" s="415"/>
      <c r="L43" s="155"/>
      <c r="N43" s="1168" t="s">
        <v>691</v>
      </c>
      <c r="O43" s="1156">
        <f>IF(wohnen1,MIN(SUM(O34:O42),IF(_neu1,Standardwerte!$X$95,Standardwerte!$Y$95)),0)</f>
        <v>0</v>
      </c>
      <c r="P43" s="1156">
        <f>IF(wohnen2,MIN(SUM(P34:P42),IF(_neu2,Standardwerte!$X$95,Standardwerte!$Y$95)),0)</f>
        <v>0</v>
      </c>
      <c r="Q43" s="1156">
        <f>IF(wohnen3,MIN(SUM(Q34:Q42),IF(_neu3,Standardwerte!$X$95,Standardwerte!$Y$95)),0)</f>
        <v>0</v>
      </c>
      <c r="R43" s="1156">
        <f>IF(wohnen4,MIN(SUM(R34:R42),IF(_neu4,Standardwerte!$X$95,Standardwerte!$Y$95)),0)</f>
        <v>0</v>
      </c>
      <c r="S43" s="1128">
        <f>IF(S30&gt;0,(O43*O30+P43*P30+Q43*Q30+R43*R30)/S30,0)</f>
        <v>0</v>
      </c>
      <c r="U43" s="1171" t="s">
        <v>1882</v>
      </c>
      <c r="V43" s="1918">
        <f>V37+(-IF(O96,0,V38)+V40)*2-V41</f>
        <v>0</v>
      </c>
      <c r="W43" s="1919">
        <f>W37+(-IF(P96,0,W38)+W40)*2-W41</f>
        <v>0</v>
      </c>
      <c r="X43" s="1919">
        <f>X37+(-IF(Q96,0,X38)+X40)*2-X41</f>
        <v>0</v>
      </c>
      <c r="Y43" s="1920">
        <f>Y37+(-IF(R96,0,Y38)+Y40)*2-Y41</f>
        <v>0</v>
      </c>
      <c r="Z43" s="1174">
        <f>IF(Z33&gt;0,(V43*V33+W43*W33+X43*X33+Y43*Y33)/Z33,0)</f>
        <v>0</v>
      </c>
      <c r="AA43" s="5" t="s">
        <v>524</v>
      </c>
    </row>
    <row r="44" spans="1:36" ht="20.100000000000001" customHeight="1">
      <c r="A44" s="1565" t="s">
        <v>1912</v>
      </c>
      <c r="B44" s="2063" t="str">
        <f>Uebersetzung!D412</f>
        <v>Eclairage: rénovation complète?</v>
      </c>
      <c r="C44" s="2064"/>
      <c r="D44" s="268"/>
      <c r="E44" s="268"/>
      <c r="F44" s="1712"/>
      <c r="G44" s="1712"/>
      <c r="H44" s="1712"/>
      <c r="I44" s="1712"/>
      <c r="J44" s="269"/>
      <c r="K44" s="868"/>
      <c r="L44" s="155"/>
      <c r="N44" s="1175" t="s">
        <v>1850</v>
      </c>
      <c r="O44" s="1166">
        <f>IF(_EBF1&gt;0,IF(wohnen1,IF(V80&lt;70,V90*_EBF1/2,IF(V80&gt;125,V89*_EBF1/2,O26*(O25*800+O32*20)))*(1-O43)+O33,0)/_EBF1*2,0)</f>
        <v>0</v>
      </c>
      <c r="P44" s="1166">
        <f>IF(_EBF2&gt;0,IF(wohnen2,IF(W80&lt;70,W90*_EBF2/2,IF(W80&gt;125,W89*_EBF2/2,P26*(P25*800+P32*20)))*(1-P43)+P33,0)/_EBF2*2,0)</f>
        <v>0</v>
      </c>
      <c r="Q44" s="1166">
        <f>IF(_EBF3&gt;0,IF(wohnen3,IF(X80&lt;70,X90*_EBF3/2,IF(X80&gt;125,X89*_EBF3/2,Q26*(Q25*800+Q32*20)))*(1-Q43)+Q33,0)/_EBF3*2,0)</f>
        <v>0</v>
      </c>
      <c r="R44" s="1166">
        <f>IF(_EBF4&gt;0,IF(wohnen4,IF(Y80&lt;70,Y90*_EBF4/2,IF(Y80&gt;125,Y89*_EBF4/2,R26*(R25*800+R32*20)))*(1-R43)+R33,0)/_EBF4*2,0)</f>
        <v>0</v>
      </c>
      <c r="S44" s="1176">
        <f>IF(S30=0,0,(O44*O30+P44*P30+Q44*Q30+R44*R30)/(_EBF1+_EBF2+_EBF3+_EBF4))+IF(S30&gt;0,O109*J56*2/(_EBF1+_EBF2+_EBF3+_EBF4))</f>
        <v>0</v>
      </c>
      <c r="T44" s="5" t="s">
        <v>524</v>
      </c>
      <c r="U44" s="299" t="s">
        <v>2657</v>
      </c>
      <c r="V44" s="143"/>
      <c r="W44" s="143"/>
      <c r="X44" s="143"/>
      <c r="Y44" s="143"/>
      <c r="Z44" s="143"/>
      <c r="AA44" s="143"/>
    </row>
    <row r="45" spans="1:36" ht="18.95" customHeight="1">
      <c r="A45" s="1565" t="s">
        <v>1913</v>
      </c>
      <c r="B45" s="1950" t="str">
        <f>IF(S47,Uebersetzung!D528,"")</f>
        <v/>
      </c>
      <c r="C45" s="1951"/>
      <c r="D45" s="247"/>
      <c r="E45" s="185"/>
      <c r="F45" s="1026"/>
      <c r="G45" s="1026"/>
      <c r="H45" s="1026"/>
      <c r="I45" s="1026"/>
      <c r="J45" s="184"/>
      <c r="K45" s="866"/>
      <c r="L45" s="155"/>
      <c r="N45" s="299" t="s">
        <v>2646</v>
      </c>
      <c r="O45" s="596"/>
      <c r="P45" s="596"/>
      <c r="Q45" s="596"/>
      <c r="R45" s="596"/>
      <c r="S45" s="596"/>
      <c r="T45" s="596"/>
      <c r="U45" s="1140" t="s">
        <v>1825</v>
      </c>
      <c r="V45" s="1486">
        <v>1</v>
      </c>
      <c r="W45" s="1141">
        <v>2</v>
      </c>
      <c r="X45" s="1141">
        <v>3</v>
      </c>
      <c r="Y45" s="1487">
        <v>4</v>
      </c>
      <c r="Z45" s="1487" t="s">
        <v>1834</v>
      </c>
      <c r="AA45" s="143"/>
    </row>
    <row r="46" spans="1:36" ht="18.95" customHeight="1">
      <c r="A46" s="1565" t="s">
        <v>1914</v>
      </c>
      <c r="B46" s="2059" t="str">
        <f>Uebersetzung!D377</f>
        <v>Luminaires: module Minergie ou classe A+</v>
      </c>
      <c r="C46" s="2060"/>
      <c r="D46" s="268"/>
      <c r="E46" s="268"/>
      <c r="F46" s="1180"/>
      <c r="G46" s="1180"/>
      <c r="H46" s="1180"/>
      <c r="I46" s="1180"/>
      <c r="J46" s="269"/>
      <c r="K46" s="868"/>
      <c r="L46" s="155"/>
      <c r="N46" s="759" t="s">
        <v>1825</v>
      </c>
      <c r="O46" s="725">
        <v>1</v>
      </c>
      <c r="P46" s="789">
        <v>2</v>
      </c>
      <c r="Q46" s="789">
        <v>3</v>
      </c>
      <c r="R46" s="1131">
        <v>4</v>
      </c>
      <c r="S46" s="1131" t="s">
        <v>1834</v>
      </c>
      <c r="T46" s="596"/>
      <c r="U46" s="1134" t="s">
        <v>2658</v>
      </c>
      <c r="V46" s="1224">
        <f>Justificatif!G43</f>
        <v>0</v>
      </c>
      <c r="W46" s="1224">
        <f>Justificatif!H43</f>
        <v>0</v>
      </c>
      <c r="X46" s="1224">
        <f>Justificatif!I43</f>
        <v>0</v>
      </c>
      <c r="Y46" s="1224">
        <f>Justificatif!J43</f>
        <v>0</v>
      </c>
      <c r="Z46" s="1517">
        <f>IF(EBF&gt;0,(V46*_EBF1+W46*_EBF2+X46*_EBF3+Y46*_EBF4)/(_EBF1+_EBF2+_EBF3+_EBF4),0)</f>
        <v>0</v>
      </c>
      <c r="AA46" s="143"/>
    </row>
    <row r="47" spans="1:36" ht="21.95" customHeight="1">
      <c r="A47" s="1565" t="s">
        <v>1918</v>
      </c>
      <c r="B47" s="2061" t="str">
        <f>Uebersetzung!D378</f>
        <v>Commande d'éclairage de classe A++</v>
      </c>
      <c r="C47" s="2062"/>
      <c r="D47" s="203"/>
      <c r="E47" s="194"/>
      <c r="F47" s="1468"/>
      <c r="G47" s="1468"/>
      <c r="H47" s="1468"/>
      <c r="I47" s="1468"/>
      <c r="J47" s="413"/>
      <c r="K47" s="1010"/>
      <c r="L47" s="5"/>
      <c r="N47" s="1491" t="s">
        <v>2624</v>
      </c>
      <c r="O47" s="596" t="b">
        <f>IF(Kategorie1&gt;3,TRUE,FALSE)</f>
        <v>0</v>
      </c>
      <c r="P47" s="596" t="b">
        <f>IF(Kategorie2&gt;3,TRUE,FALSE)</f>
        <v>0</v>
      </c>
      <c r="Q47" s="596" t="b">
        <f>IF(Kategorie3&gt;3,TRUE,FALSE)</f>
        <v>0</v>
      </c>
      <c r="R47" s="596" t="b">
        <f>IF(Kategorie4&gt;3,TRUE,FALSE)</f>
        <v>0</v>
      </c>
      <c r="S47" s="1491" t="b">
        <f>OR(O47,P47,Q47,R47)</f>
        <v>0</v>
      </c>
      <c r="T47" s="596"/>
      <c r="U47" s="1521" t="s">
        <v>1850</v>
      </c>
      <c r="V47" s="1223">
        <f>IF(_EBF1&gt;0,IF(wohnen1,O44,0),0)</f>
        <v>0</v>
      </c>
      <c r="W47" s="1223">
        <f>IF(_EBF2&gt;0,IF(wohnen2,P44,0),0)</f>
        <v>0</v>
      </c>
      <c r="X47" s="1223">
        <f>IF(_EBF3&gt;0,IF(wohnen3,Q44,0),0)</f>
        <v>0</v>
      </c>
      <c r="Y47" s="1223">
        <f>IF(_EBF4&gt;0,IF(wohnen4,R44,0),0)</f>
        <v>0</v>
      </c>
      <c r="Z47" s="1518">
        <f>IF(S32&gt;0,(V47*O32+W47*P32+X47*Q32+Y47*R32)/(S32),0)</f>
        <v>0</v>
      </c>
    </row>
    <row r="48" spans="1:36" ht="18" customHeight="1">
      <c r="A48" s="1565" t="s">
        <v>2895</v>
      </c>
      <c r="B48" s="1202" t="str">
        <f>Uebersetzung!D408</f>
        <v>Eclairage: valeur moyenne SIA 387/4</v>
      </c>
      <c r="C48" s="1203"/>
      <c r="D48" s="1225" t="s">
        <v>3378</v>
      </c>
      <c r="E48" s="194" t="s">
        <v>524</v>
      </c>
      <c r="F48" s="1720"/>
      <c r="G48" s="1720"/>
      <c r="H48" s="1720"/>
      <c r="I48" s="1720"/>
      <c r="J48" s="183"/>
      <c r="K48" s="1309">
        <f>S92</f>
        <v>0</v>
      </c>
      <c r="L48" s="5"/>
      <c r="M48" s="459"/>
      <c r="N48" s="1168" t="s">
        <v>2645</v>
      </c>
      <c r="O48" s="1438">
        <f>IF(Kategorie1&gt;3,Entrées!F19,0)</f>
        <v>0</v>
      </c>
      <c r="P48" s="1488">
        <f>IF(Kategorie2&gt;3,Entrées!G19,0)</f>
        <v>0</v>
      </c>
      <c r="Q48" s="1488">
        <f>IF(Kategorie3&gt;3,Entrées!H19,0)</f>
        <v>0</v>
      </c>
      <c r="R48" s="1488">
        <f>IF(Kategorie4&gt;3,Entrées!I19,0)</f>
        <v>0</v>
      </c>
      <c r="S48" s="974">
        <f>SUM(O48:R48)</f>
        <v>0</v>
      </c>
      <c r="T48" s="5" t="s">
        <v>321</v>
      </c>
      <c r="U48" s="1521" t="s">
        <v>1863</v>
      </c>
      <c r="V48" s="1223">
        <f>INDEX(Standardwerte!$AD$71:$AD$83,Kategorie1,1)</f>
        <v>0</v>
      </c>
      <c r="W48" s="1223">
        <f>INDEX(Standardwerte!$AD$71:$AD$83,Kategorie2,1)</f>
        <v>0</v>
      </c>
      <c r="X48" s="1223">
        <f>INDEX(Standardwerte!$AD$71:$AD$83,Kategorie3,1)</f>
        <v>0</v>
      </c>
      <c r="Y48" s="1223">
        <f>INDEX(Standardwerte!$AD$71:$AD$83,Kategorie4,1)</f>
        <v>0</v>
      </c>
      <c r="Z48" s="1518">
        <f>IF(EBF&gt;0,(V48*_EBF1+W48*_EBF2+X48*_EBF3+Y48*_EBF4)/(_EBF1+_EBF2+_EBF3+_EBF4),0)</f>
        <v>0</v>
      </c>
      <c r="AJ48" s="1592"/>
    </row>
    <row r="49" spans="1:36" ht="18" customHeight="1">
      <c r="A49" s="1565" t="s">
        <v>1916</v>
      </c>
      <c r="B49" s="1123" t="str">
        <f>Uebersetzung!D407</f>
        <v>Eclairage: valeur du projet SIA 387/4</v>
      </c>
      <c r="C49" s="1124"/>
      <c r="D49" s="1225" t="s">
        <v>3379</v>
      </c>
      <c r="E49" s="194" t="s">
        <v>524</v>
      </c>
      <c r="F49" s="1720"/>
      <c r="G49" s="1720"/>
      <c r="H49" s="1720"/>
      <c r="I49" s="1720"/>
      <c r="J49" s="183"/>
      <c r="K49" s="1309">
        <f>S93</f>
        <v>0</v>
      </c>
      <c r="L49" s="5"/>
      <c r="M49" s="459"/>
      <c r="N49" s="1710" t="s">
        <v>177</v>
      </c>
      <c r="O49" s="1711" t="str">
        <f>IF(O47,Uebersetzung!D25,Uebersetzung!D26)</f>
        <v>non</v>
      </c>
      <c r="P49" s="851" t="str">
        <f>IF(P47,Uebersetzung!D25,Uebersetzung!D26)</f>
        <v>non</v>
      </c>
      <c r="Q49" s="851" t="str">
        <f>IF(Q47,Uebersetzung!D25,Uebersetzung!D26)</f>
        <v>non</v>
      </c>
      <c r="R49" s="851" t="str">
        <f>IF(R47,Uebersetzung!D25,Uebersetzung!D26)</f>
        <v>non</v>
      </c>
      <c r="S49" s="1708"/>
      <c r="T49" s="596"/>
      <c r="U49" s="1522" t="s">
        <v>1866</v>
      </c>
      <c r="V49" s="1223">
        <f>O59</f>
        <v>0</v>
      </c>
      <c r="W49" s="1223">
        <f>P59</f>
        <v>0</v>
      </c>
      <c r="X49" s="1223">
        <f>Q59</f>
        <v>0</v>
      </c>
      <c r="Y49" s="1223">
        <f>R59</f>
        <v>0</v>
      </c>
      <c r="Z49" s="1524">
        <f>S59</f>
        <v>0</v>
      </c>
      <c r="AJ49" s="1592"/>
    </row>
    <row r="50" spans="1:36" ht="18" customHeight="1">
      <c r="A50" s="1565" t="s">
        <v>1917</v>
      </c>
      <c r="B50" s="2020" t="str">
        <f>Uebersetzung!D409</f>
        <v>Exigence éclairage respectée?</v>
      </c>
      <c r="C50" s="2021"/>
      <c r="D50" s="2105" t="str">
        <f>IF(S63=FALSE,$R$12,IF(AND(K48&gt;0,K49&gt;0),IF(ROUND(K49,1)&gt;ROUND(K48,1),$R$12,$Q$12),""))</f>
        <v/>
      </c>
      <c r="E50" s="2106"/>
      <c r="F50" s="1547">
        <f>(O100+O94+O56)/2</f>
        <v>0</v>
      </c>
      <c r="G50" s="1547">
        <f>(P100+P94+P56)/2</f>
        <v>0</v>
      </c>
      <c r="H50" s="1547">
        <f>(Q100+Q94+Q56)/2</f>
        <v>0</v>
      </c>
      <c r="I50" s="1547">
        <f>(R100+R94+R56)/2</f>
        <v>0</v>
      </c>
      <c r="J50" s="1545"/>
      <c r="K50" s="1591" t="str">
        <f>I54</f>
        <v>Valeur calculée</v>
      </c>
      <c r="L50" s="5"/>
      <c r="M50" s="459"/>
      <c r="N50" s="1599"/>
      <c r="O50" s="1496" t="str">
        <f>Uebersetzung!D26</f>
        <v>non</v>
      </c>
      <c r="P50" s="1336" t="str">
        <f>Uebersetzung!D26</f>
        <v>non</v>
      </c>
      <c r="Q50" s="1336" t="str">
        <f>Uebersetzung!D26</f>
        <v>non</v>
      </c>
      <c r="R50" s="1336" t="str">
        <f>Uebersetzung!D26</f>
        <v>non</v>
      </c>
      <c r="S50" s="1492"/>
      <c r="T50" s="596"/>
      <c r="U50" s="1523" t="s">
        <v>1868</v>
      </c>
      <c r="V50" s="1182">
        <f>O68</f>
        <v>0</v>
      </c>
      <c r="W50" s="1182">
        <f>P68</f>
        <v>0</v>
      </c>
      <c r="X50" s="1182">
        <f>Q68</f>
        <v>0</v>
      </c>
      <c r="Y50" s="1182">
        <f>R68</f>
        <v>0</v>
      </c>
      <c r="Z50" s="1293">
        <f>S68</f>
        <v>0</v>
      </c>
    </row>
    <row r="51" spans="1:36" ht="6" customHeight="1">
      <c r="A51" s="1565"/>
      <c r="B51" s="9"/>
      <c r="C51" s="9"/>
      <c r="D51" s="1119"/>
      <c r="E51" s="9"/>
      <c r="F51" s="9"/>
      <c r="G51" s="9"/>
      <c r="H51" s="9"/>
      <c r="I51" s="9"/>
      <c r="J51" s="9"/>
      <c r="K51" s="9"/>
      <c r="L51" s="5"/>
      <c r="M51" s="459"/>
      <c r="N51" s="759" t="s">
        <v>3211</v>
      </c>
      <c r="O51" s="759" t="b">
        <f>AND(Mieter1,F49&gt;0)</f>
        <v>0</v>
      </c>
      <c r="P51" s="678" t="b">
        <f>AND(Mieter2,G49&gt;0)</f>
        <v>0</v>
      </c>
      <c r="Q51" s="678" t="b">
        <f>AND(Mieter3,H49&gt;0)</f>
        <v>0</v>
      </c>
      <c r="R51" s="892" t="b">
        <f>AND(Mieter4,I49&gt;0)</f>
        <v>0</v>
      </c>
      <c r="S51" s="892"/>
    </row>
    <row r="52" spans="1:36" ht="20.100000000000001" hidden="1" customHeight="1">
      <c r="A52" s="1565"/>
      <c r="B52" s="9"/>
      <c r="C52" s="9"/>
      <c r="D52" s="1119"/>
      <c r="E52" s="9"/>
      <c r="F52" s="9"/>
      <c r="G52" s="9"/>
      <c r="H52" s="9"/>
      <c r="I52" s="9"/>
      <c r="J52" s="9"/>
      <c r="K52" s="9"/>
      <c r="L52" s="5"/>
      <c r="M52" s="459"/>
    </row>
    <row r="53" spans="1:36" ht="22.15" customHeight="1">
      <c r="A53" s="1567"/>
      <c r="B53" s="2090" t="str">
        <f>Uebersetzung!D463</f>
        <v>Autoproduction d‘électricité</v>
      </c>
      <c r="C53" s="2091"/>
      <c r="D53" s="2091"/>
      <c r="E53" s="2091"/>
      <c r="F53" s="2092"/>
      <c r="G53" s="2085" t="str">
        <f>Uebersetzung!D413</f>
        <v>Apport annuel spécifique [kWh/kWp]</v>
      </c>
      <c r="H53" s="2086"/>
      <c r="I53" s="2087" t="str">
        <f>Uebersetzung!D381</f>
        <v>Besoins personnels [%]</v>
      </c>
      <c r="J53" s="2088"/>
      <c r="K53" s="2089"/>
      <c r="L53" s="5"/>
      <c r="M53" s="459"/>
      <c r="N53" s="1200" t="s">
        <v>3191</v>
      </c>
      <c r="O53" s="1508" t="b">
        <f>IF(F45=Uebersetzung!$D$25,TRUE,FALSE)</f>
        <v>0</v>
      </c>
      <c r="P53" s="1509" t="b">
        <f>IF(G45=Uebersetzung!$D$25,TRUE,FALSE)</f>
        <v>0</v>
      </c>
      <c r="Q53" s="1509" t="b">
        <f>IF(H45=Uebersetzung!$D$25,TRUE,FALSE)</f>
        <v>0</v>
      </c>
      <c r="R53" s="1509" t="b">
        <f>IF(I45=Uebersetzung!$D$25,TRUE,FALSE)</f>
        <v>0</v>
      </c>
      <c r="S53" s="1510"/>
      <c r="T53" s="1319" t="s">
        <v>2622</v>
      </c>
    </row>
    <row r="54" spans="1:36" ht="13.9" customHeight="1">
      <c r="A54" s="1572"/>
      <c r="G54" s="1539" t="str">
        <f>Justificatif!I7</f>
        <v>Valeur calculée</v>
      </c>
      <c r="H54" s="1541" t="str">
        <f>Justificatif!H7</f>
        <v>Entrée</v>
      </c>
      <c r="I54" s="1543" t="str">
        <f>G54</f>
        <v>Valeur calculée</v>
      </c>
      <c r="J54" s="2101" t="str">
        <f>H54</f>
        <v>Entrée</v>
      </c>
      <c r="K54" s="2102"/>
      <c r="L54" s="5"/>
      <c r="M54" s="121"/>
      <c r="N54" s="1338" t="s">
        <v>2644</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9">
        <f>IF(Mieter4=FALSE,IF(R97=FALSE,INDEX(Standardwerte!$AD$71:$AD$83,Kategorie4,1)/2*IF($S$88,1.2,1),0),0)</f>
        <v>0</v>
      </c>
      <c r="S54" s="1491"/>
      <c r="T54" s="596" t="s">
        <v>524</v>
      </c>
    </row>
    <row r="55" spans="1:36" ht="18.95" customHeight="1">
      <c r="A55" s="1585" t="s">
        <v>1921</v>
      </c>
      <c r="B55" s="2065" t="str">
        <f>Uebersetzung!D382</f>
        <v>Puissance installée (sans CCF) [kWp]</v>
      </c>
      <c r="C55" s="2066"/>
      <c r="D55" s="2067"/>
      <c r="E55" s="1536"/>
      <c r="F55" s="1485" t="s">
        <v>1873</v>
      </c>
      <c r="G55" s="1540">
        <f>IF(OR(H55="",H55=0),800,H55)</f>
        <v>800</v>
      </c>
      <c r="H55" s="1542"/>
      <c r="I55" s="1544">
        <f>AI71</f>
        <v>0.2</v>
      </c>
      <c r="J55" s="2103"/>
      <c r="K55" s="2104"/>
      <c r="L55" s="5"/>
      <c r="M55" s="481"/>
      <c r="N55" s="1492" t="s">
        <v>493</v>
      </c>
      <c r="O55" s="1496">
        <f>IF(Mieter1=FALSE,_EBF1,0)</f>
        <v>0</v>
      </c>
      <c r="P55" s="1336">
        <f>IF(Mieter2=FALSE,_EBF2,0)</f>
        <v>0</v>
      </c>
      <c r="Q55" s="1336">
        <f>IF(Mieter3=FALSE,_EBF3,0)</f>
        <v>0</v>
      </c>
      <c r="R55" s="1497">
        <f>IF(Mieter4=FALSE,_EBF4,0)</f>
        <v>0</v>
      </c>
      <c r="S55" s="1492"/>
      <c r="T55" s="596" t="s">
        <v>321</v>
      </c>
    </row>
    <row r="56" spans="1:36" ht="24" customHeight="1">
      <c r="A56" s="1576" t="s">
        <v>2662</v>
      </c>
      <c r="B56" s="2068" t="str">
        <f>Uebersetzung!D414</f>
        <v>Puissance installée spécifique, par m2 SRE:</v>
      </c>
      <c r="C56" s="2069"/>
      <c r="D56" s="2070"/>
      <c r="E56" s="1533">
        <f>IF(EBF&gt;0,E55*1000/EBF,0)</f>
        <v>0</v>
      </c>
      <c r="F56" s="1534" t="s">
        <v>1874</v>
      </c>
      <c r="G56" s="1549" t="str">
        <f>Uebersetzung!D475</f>
        <v>Capacité de la batterie [kWh]</v>
      </c>
      <c r="H56" s="1535"/>
      <c r="I56" s="1548" t="str">
        <f>Uebersetzung!D476</f>
        <v>Pertes de la batterie [%]:</v>
      </c>
      <c r="J56" s="2099">
        <v>0</v>
      </c>
      <c r="K56" s="2100"/>
      <c r="L56" s="5"/>
      <c r="M56" s="121"/>
      <c r="N56" s="1171" t="s">
        <v>2636</v>
      </c>
      <c r="O56" s="1503">
        <f>IF(O97=FALSE,O54*2,0)</f>
        <v>0</v>
      </c>
      <c r="P56" s="1166">
        <f>IF(P97=FALSE,P54*2,0)</f>
        <v>0</v>
      </c>
      <c r="Q56" s="1166">
        <f>IF(Q97=FALSE,Q54*2,0)</f>
        <v>0</v>
      </c>
      <c r="R56" s="1370">
        <f>IF(R97=FALSE,R54*2,0)</f>
        <v>0</v>
      </c>
      <c r="S56" s="1174">
        <f>IF(EBF&gt;0,(O54*O55+P54*P55+Q54*Q55+R54*R55)*2/(_EBF1+_EBF2+_EBF3+_EBF4),0)</f>
        <v>0</v>
      </c>
      <c r="T56" s="5" t="s">
        <v>524</v>
      </c>
      <c r="U56" s="299" t="s">
        <v>1948</v>
      </c>
      <c r="V56" s="27"/>
      <c r="W56" s="27"/>
      <c r="X56" s="27"/>
      <c r="Y56" s="27"/>
      <c r="Z56" s="27"/>
      <c r="AC56" s="299" t="s">
        <v>3071</v>
      </c>
    </row>
    <row r="57" spans="1:36" ht="20.100000000000001" customHeight="1">
      <c r="A57" s="1586" t="s">
        <v>1922</v>
      </c>
      <c r="B57" s="2096" t="str">
        <f>Uebersetzung!D452</f>
        <v>Taille minimale de l'installation d’autoproduction d’électricité:</v>
      </c>
      <c r="C57" s="2097"/>
      <c r="D57" s="2098"/>
      <c r="E57" s="1537">
        <f>IF(Z73,"0",MIN(30,MAX(Z67*0.01+Justificatif!Q28*EBF/G55,0)))</f>
        <v>0</v>
      </c>
      <c r="F57" s="1538" t="s">
        <v>1873</v>
      </c>
      <c r="G57" s="1368"/>
      <c r="H57" s="1369" t="str">
        <f>Uebersetzung!D386</f>
        <v xml:space="preserve">Exigence remplie?    </v>
      </c>
      <c r="I57" s="2079" t="str">
        <f>IF(wkk,Uebersetzung!D25,IF(EBF=0,"",IF(E57="0",Uebersetzung!$D$25,IF(ROUND(E55,2)&gt;=ROUND(E57,2),Uebersetzung!$D$25,Uebersetzung!$D$26))))</f>
        <v/>
      </c>
      <c r="J57" s="2080"/>
      <c r="K57" s="2081"/>
      <c r="M57" s="121"/>
      <c r="N57" s="299" t="s">
        <v>1865</v>
      </c>
      <c r="U57" s="1140" t="s">
        <v>1825</v>
      </c>
      <c r="V57" s="1147">
        <v>1</v>
      </c>
      <c r="W57" s="1141">
        <v>2</v>
      </c>
      <c r="X57" s="1141">
        <v>3</v>
      </c>
      <c r="Y57" s="380">
        <v>4</v>
      </c>
      <c r="Z57" s="1292" t="s">
        <v>1849</v>
      </c>
      <c r="AC57" s="759"/>
      <c r="AD57" s="789" t="s">
        <v>3074</v>
      </c>
      <c r="AE57" s="789" t="s">
        <v>3075</v>
      </c>
      <c r="AF57" s="789" t="s">
        <v>3076</v>
      </c>
      <c r="AG57" s="789" t="s">
        <v>3077</v>
      </c>
      <c r="AH57" s="789" t="s">
        <v>3078</v>
      </c>
      <c r="AI57" s="1131" t="s">
        <v>490</v>
      </c>
    </row>
    <row r="58" spans="1:36" ht="24" customHeight="1">
      <c r="A58" s="1572"/>
      <c r="B58" s="1425" t="s">
        <v>2258</v>
      </c>
      <c r="C58" s="1403"/>
      <c r="D58" s="1403"/>
      <c r="E58" s="1403"/>
      <c r="F58" s="1424"/>
      <c r="G58" s="1428" t="str">
        <f>Uebersetzung!D456</f>
        <v>Indice partiel
Besoins</v>
      </c>
      <c r="H58" s="1429" t="str">
        <f>Uebersetzung!D457</f>
        <v>Production PV
(pondérée)</v>
      </c>
      <c r="I58" s="1430"/>
      <c r="J58" s="1430"/>
      <c r="K58" s="1431"/>
      <c r="M58" s="5"/>
      <c r="N58" s="1185" t="s">
        <v>1865</v>
      </c>
      <c r="O58" s="1186"/>
      <c r="P58" s="1186"/>
      <c r="Q58" s="1187"/>
      <c r="R58" s="1187"/>
      <c r="S58" s="1188"/>
      <c r="U58" s="1338" t="s">
        <v>1937</v>
      </c>
      <c r="V58" s="820">
        <f>IF(_neu1,Entrées!F19,0)</f>
        <v>0</v>
      </c>
      <c r="W58" s="820">
        <f>IF(_neu2,Entrées!G19,0)</f>
        <v>0</v>
      </c>
      <c r="X58" s="820">
        <f>IF(_neu3,Entrées!H19,0)</f>
        <v>0</v>
      </c>
      <c r="Y58" s="820">
        <f>IF(_neu4,Entrées!I19,0)</f>
        <v>0</v>
      </c>
      <c r="Z58" s="1340">
        <f>SUM(V58:Y58)</f>
        <v>0</v>
      </c>
      <c r="AA58" s="1319" t="s">
        <v>321</v>
      </c>
      <c r="AC58" s="1650" t="s">
        <v>3073</v>
      </c>
      <c r="AD58" s="1652">
        <f>WaermebedarfA</f>
        <v>0</v>
      </c>
      <c r="AE58" s="1224">
        <f>WaermebedarfB</f>
        <v>0</v>
      </c>
      <c r="AF58" s="1224">
        <f>WaermebedarfC</f>
        <v>0</v>
      </c>
      <c r="AG58" s="1224">
        <f>WaermebedarfD</f>
        <v>0</v>
      </c>
      <c r="AH58" s="1505">
        <f>WaermebedarfE</f>
        <v>0</v>
      </c>
      <c r="AI58" s="1505">
        <f>SUM(AD58:AH58)</f>
        <v>0</v>
      </c>
      <c r="AJ58" s="5" t="s">
        <v>524</v>
      </c>
    </row>
    <row r="59" spans="1:36" ht="18.95" customHeight="1">
      <c r="A59" s="1574" t="s">
        <v>1926</v>
      </c>
      <c r="B59" s="2093" t="str">
        <f>Uebersetzung!D455</f>
        <v>Les besoins sont couverts par la production d’électricité:</v>
      </c>
      <c r="C59" s="2094"/>
      <c r="D59" s="2094"/>
      <c r="E59" s="2095"/>
      <c r="F59" s="1371" t="s">
        <v>524</v>
      </c>
      <c r="G59" s="1426">
        <f>S15+S18+S44+S56+S59+S68+S94+S100+S19</f>
        <v>0</v>
      </c>
      <c r="H59" s="1427">
        <f>IF(EBF&gt;0,G55*E55/EBF-Justificatif!Q28,0)*2</f>
        <v>0</v>
      </c>
      <c r="I59" s="2082" t="str">
        <f>IF(EBF=0,"",IF(H59="0",Uebersetzung!$D$25,IF(ROUND(H59,1)&gt;=ROUND(G59,1),Uebersetzung!$D$25,Uebersetzung!$D$26)))</f>
        <v/>
      </c>
      <c r="J59" s="2083"/>
      <c r="K59" s="2084"/>
      <c r="M59" s="879"/>
      <c r="N59" s="1185" t="s">
        <v>1866</v>
      </c>
      <c r="O59" s="1191">
        <f>INDEX(Standardwerte!$AE$71:$AE$83,Kategorie1,1)</f>
        <v>0</v>
      </c>
      <c r="P59" s="1189">
        <f>INDEX(Standardwerte!$AE$71:$AE$83,Kategorie2,1)</f>
        <v>0</v>
      </c>
      <c r="Q59" s="1189">
        <f>INDEX(Standardwerte!$AE$71:$AE$83,Kategorie3,1)</f>
        <v>0</v>
      </c>
      <c r="R59" s="1190">
        <f>INDEX(Standardwerte!$AE$71:$AE$83,Kategorie4,1)</f>
        <v>0</v>
      </c>
      <c r="S59" s="1174">
        <f>IF(EBF&gt;0,(O59*_EBF1+P59*_EBF2+Q59*_EBF3+R59*_EBF4)/(_EBF1+_EBF2+_EBF3+_EBF4),0)</f>
        <v>0</v>
      </c>
      <c r="T59" s="5" t="s">
        <v>524</v>
      </c>
      <c r="U59" s="1339" t="s">
        <v>1938</v>
      </c>
      <c r="V59" s="84">
        <f>Entrées!F19-V67</f>
        <v>0</v>
      </c>
      <c r="W59" s="84">
        <f>Entrées!G19-W67</f>
        <v>0</v>
      </c>
      <c r="X59" s="84">
        <f>Entrées!H19-X67</f>
        <v>0</v>
      </c>
      <c r="Y59" s="84">
        <f>Entrées!I19-Y67</f>
        <v>0</v>
      </c>
      <c r="Z59" s="822">
        <f>SUM(V59:Y59)</f>
        <v>0</v>
      </c>
      <c r="AA59" s="1319" t="s">
        <v>321</v>
      </c>
      <c r="AC59" s="1109" t="s">
        <v>3079</v>
      </c>
      <c r="AD59" s="1109">
        <f>INDEX(Standardwerte!$AU$108:$AU$155,Justificatif!M8,1)</f>
        <v>0</v>
      </c>
      <c r="AE59" s="143">
        <f>INDEX(Standardwerte!$AU$108:$AU$155,Justificatif!M12,1)</f>
        <v>0</v>
      </c>
      <c r="AF59" s="143">
        <f>INDEX(Standardwerte!$AU$108:$AU$155,Justificatif!M16,1)</f>
        <v>0</v>
      </c>
      <c r="AG59" s="143">
        <f>INDEX(Standardwerte!$AU$108:$AU$155,Justificatif!M20,1)</f>
        <v>0</v>
      </c>
      <c r="AH59" s="1143" t="b">
        <v>0</v>
      </c>
      <c r="AI59" s="1143"/>
    </row>
    <row r="60" spans="1:36" ht="18" hidden="1" customHeight="1">
      <c r="A60" s="1565"/>
      <c r="M60" s="879"/>
      <c r="U60" s="1169"/>
      <c r="V60" s="151"/>
      <c r="W60" s="151"/>
      <c r="X60" s="151"/>
      <c r="Y60" s="151"/>
      <c r="Z60" s="1169"/>
      <c r="AC60" s="1109"/>
      <c r="AD60" s="1109"/>
      <c r="AE60" s="143"/>
      <c r="AF60" s="143"/>
      <c r="AG60" s="143"/>
      <c r="AH60" s="1143"/>
      <c r="AI60" s="1143"/>
    </row>
    <row r="61" spans="1:36" ht="6" customHeight="1">
      <c r="D61" s="98"/>
      <c r="E61" s="98"/>
      <c r="F61" s="179"/>
      <c r="G61" s="179"/>
      <c r="H61" s="179"/>
      <c r="I61" s="70"/>
      <c r="J61" s="9"/>
      <c r="K61" s="8"/>
      <c r="M61" s="459"/>
      <c r="N61" s="1511"/>
      <c r="U61" s="1167"/>
      <c r="V61" s="1140"/>
      <c r="W61" s="1028"/>
      <c r="X61" s="1028"/>
      <c r="Y61" s="1367"/>
      <c r="Z61" s="1167"/>
      <c r="AC61" s="1109"/>
      <c r="AD61" s="1109"/>
      <c r="AE61" s="143"/>
      <c r="AF61" s="143"/>
      <c r="AG61" s="143"/>
      <c r="AH61" s="1143"/>
      <c r="AI61" s="1143"/>
    </row>
    <row r="62" spans="1:36" ht="21.95" customHeight="1">
      <c r="B62" s="370" t="str">
        <f>Uebersetzung!D384</f>
        <v>Autres exigences</v>
      </c>
      <c r="C62" s="778"/>
      <c r="D62" s="372" t="str">
        <f>Uebersetzung!D385</f>
        <v>Autodéclaration/attestation</v>
      </c>
      <c r="E62" s="372"/>
      <c r="F62" s="371"/>
      <c r="G62" s="1344"/>
      <c r="H62" s="678"/>
      <c r="I62" s="2052" t="str">
        <f>Uebersetzung!D386</f>
        <v xml:space="preserve">Exigence remplie?    </v>
      </c>
      <c r="J62" s="2052"/>
      <c r="K62" s="2053"/>
      <c r="N62" s="299" t="s">
        <v>3216</v>
      </c>
      <c r="U62" s="1294" t="s">
        <v>1951</v>
      </c>
      <c r="V62" s="900"/>
      <c r="W62" s="151"/>
      <c r="X62" s="151"/>
      <c r="Y62" s="606"/>
      <c r="Z62" s="1294" t="b">
        <f>IF(OR(minergiea,Z58&gt;2000,AND(EBF&gt;2000,I70=N12)),TRUE,FALSE)</f>
        <v>0</v>
      </c>
      <c r="AA62" s="27"/>
      <c r="AC62" s="900" t="s">
        <v>3080</v>
      </c>
      <c r="AD62" s="1133">
        <f>IF(AND(AD59,$AI$58&gt;0),AD58/$AI$58,0)</f>
        <v>0</v>
      </c>
      <c r="AE62" s="1154">
        <f>IF(AND(AE59,$AI$58),AE58/$AI$58,0)</f>
        <v>0</v>
      </c>
      <c r="AF62" s="1154">
        <f>IF(AND(AF59,$AI$58&gt;0),AF58/$AI$58,0)</f>
        <v>0</v>
      </c>
      <c r="AG62" s="1154">
        <f>IF(AND(AG59,$AI$58&gt;0),AG58/$AI$58,0)</f>
        <v>0</v>
      </c>
      <c r="AH62" s="1155">
        <f>IF(AH59,AH58/$AI$58,0)</f>
        <v>0</v>
      </c>
      <c r="AI62" s="1651">
        <f>SUM(AD62:AH62)</f>
        <v>0</v>
      </c>
    </row>
    <row r="63" spans="1:36" ht="18" customHeight="1">
      <c r="A63" s="1565" t="s">
        <v>2660</v>
      </c>
      <c r="B63" s="1946" t="str">
        <f>IF(auswahl1&gt;0,INDEX(Standardwerte!$AF$5:$AF$13,2),"")</f>
        <v/>
      </c>
      <c r="C63" s="1947"/>
      <c r="D63" s="2056" t="str">
        <f>IF(auswahl1&gt;0,INDEX(Standardwerte!$BA$5:$BA$13,2),"")</f>
        <v/>
      </c>
      <c r="E63" s="2057"/>
      <c r="F63" s="2057"/>
      <c r="G63" s="2057"/>
      <c r="H63" s="2058"/>
      <c r="I63" s="1597"/>
      <c r="J63" s="2054">
        <f>IF(AND(B63&lt;&gt;"",I63=$N$13),$R$12,IF(OR(I63="",B63=""),,$Q$12))</f>
        <v>0</v>
      </c>
      <c r="K63" s="2055"/>
      <c r="M63" s="155"/>
      <c r="N63" s="1665" t="s">
        <v>3217</v>
      </c>
      <c r="O63" s="678" t="b">
        <f>IF(AND(O51=FALSE,Mieter1),FALSE,TRUE)</f>
        <v>1</v>
      </c>
      <c r="P63" s="678" t="b">
        <f>IF(AND(P51=FALSE,Mieter2),FALSE,TRUE)</f>
        <v>1</v>
      </c>
      <c r="Q63" s="678" t="b">
        <f>IF(AND(Q51=FALSE,Mieter3),FALSE,TRUE)</f>
        <v>1</v>
      </c>
      <c r="R63" s="678" t="b">
        <f>IF(AND(R51=FALSE,Mieter4),FALSE,TRUE)</f>
        <v>1</v>
      </c>
      <c r="S63" s="1665" t="b">
        <f>AND(O63,P63,Q63,R63)</f>
        <v>1</v>
      </c>
      <c r="U63" s="299" t="s">
        <v>1936</v>
      </c>
      <c r="AA63" s="27"/>
      <c r="AC63" s="1655" t="s">
        <v>3089</v>
      </c>
      <c r="AD63" s="1028"/>
      <c r="AE63" s="1028"/>
      <c r="AF63" s="1028"/>
      <c r="AG63" s="1028"/>
      <c r="AH63" s="1028"/>
      <c r="AI63" s="1653">
        <f>(Aperçu!K52+Aperçu!K54+Aperçu!K56+Aperçu!K58+S106+Justificatif!I47+Justificatif!I48+Justificatif!I49+Justificatif!I50+Justificatif!I51)/2</f>
        <v>0</v>
      </c>
      <c r="AJ63" s="5" t="s">
        <v>524</v>
      </c>
    </row>
    <row r="64" spans="1:36" ht="18" hidden="1" customHeight="1">
      <c r="A64" s="1565" t="s">
        <v>398</v>
      </c>
      <c r="B64" s="1950" t="str">
        <f>IF(auswahl2&gt;0,INDEX(Standardwerte!$AF$5:$AF$13,3),"")</f>
        <v/>
      </c>
      <c r="C64" s="1951"/>
      <c r="D64" s="2029" t="str">
        <f>IF(auswahl2&gt;0,INDEX(Standardwerte!$BA$5:$BA$13,3),"")</f>
        <v/>
      </c>
      <c r="E64" s="2030"/>
      <c r="F64" s="2030"/>
      <c r="G64" s="2031"/>
      <c r="H64" s="1598"/>
      <c r="I64" s="1335"/>
      <c r="J64" s="1560"/>
      <c r="K64" s="1595" t="str">
        <f>"1.6 m3/hm2"</f>
        <v>1.6 m3/hm2</v>
      </c>
      <c r="M64" s="155"/>
      <c r="N64" s="299" t="s">
        <v>1869</v>
      </c>
      <c r="AC64" s="1168"/>
      <c r="AD64" s="143"/>
      <c r="AE64" s="143"/>
      <c r="AF64" s="143"/>
      <c r="AG64" s="143"/>
      <c r="AH64" s="143"/>
      <c r="AI64" s="1168"/>
    </row>
    <row r="65" spans="1:36" ht="18" customHeight="1">
      <c r="A65" s="1565" t="s">
        <v>2661</v>
      </c>
      <c r="B65" s="1950" t="str">
        <f>IF(auswahl3&gt;0,INDEX(Standardwerte!$AF$5:$AF$13,4),"")</f>
        <v/>
      </c>
      <c r="C65" s="1951"/>
      <c r="D65" s="2029" t="str">
        <f>IF(auswahl3&gt;0,INDEX(Standardwerte!$BA$5:$BA$13,4),"")</f>
        <v/>
      </c>
      <c r="E65" s="2030"/>
      <c r="F65" s="2030"/>
      <c r="G65" s="2030"/>
      <c r="H65" s="2031"/>
      <c r="I65" s="1335"/>
      <c r="J65" s="2027">
        <f>IF(AND(B65&lt;&gt;"",I65=$N$13),$R$12,IF(OR(I65="",B65=""),,$Q$12))</f>
        <v>0</v>
      </c>
      <c r="K65" s="2028"/>
      <c r="M65" s="155"/>
      <c r="N65" s="1511" t="s">
        <v>2647</v>
      </c>
      <c r="U65" s="1140" t="s">
        <v>1825</v>
      </c>
      <c r="V65" s="725">
        <v>1</v>
      </c>
      <c r="W65" s="789">
        <v>2</v>
      </c>
      <c r="X65" s="789">
        <v>3</v>
      </c>
      <c r="Y65" s="1131">
        <v>4</v>
      </c>
      <c r="Z65" s="1292" t="s">
        <v>1849</v>
      </c>
      <c r="AC65" s="1168" t="s">
        <v>3090</v>
      </c>
      <c r="AD65" s="143"/>
      <c r="AE65" s="143"/>
      <c r="AF65" s="143"/>
      <c r="AG65" s="143"/>
      <c r="AH65" s="143"/>
      <c r="AI65" s="1524">
        <f>IF(EBF&gt;0,E55*G55/EBF,0)</f>
        <v>0</v>
      </c>
      <c r="AJ65" s="5" t="s">
        <v>524</v>
      </c>
    </row>
    <row r="66" spans="1:36" ht="18" hidden="1" customHeight="1">
      <c r="A66" s="1565" t="s">
        <v>2896</v>
      </c>
      <c r="B66" s="1950" t="str">
        <f>IF(auswahl4&gt;0,INDEX(Standardwerte!$AF$5:$AF$13,5),"")</f>
        <v/>
      </c>
      <c r="C66" s="1951"/>
      <c r="D66" s="2029" t="str">
        <f>IF(auswahl4&gt;0,INDEX(Standardwerte!$BA$5:$BA$13,5),"")</f>
        <v/>
      </c>
      <c r="E66" s="2030"/>
      <c r="F66" s="2030"/>
      <c r="G66" s="2031"/>
      <c r="H66" s="1598"/>
      <c r="I66" s="1345"/>
      <c r="J66" s="1559"/>
      <c r="K66" s="1596">
        <f>IF(AND(B66&lt;&gt;"",I66=$N$13),$R$12,IF(OR(I66="",B66=""),,$Q$12))</f>
        <v>0</v>
      </c>
      <c r="M66" s="155" t="b">
        <v>0</v>
      </c>
      <c r="U66" s="1338"/>
      <c r="V66" s="596"/>
      <c r="W66" s="596"/>
      <c r="X66" s="596"/>
      <c r="Y66" s="596"/>
      <c r="Z66" s="1594"/>
      <c r="AC66" s="1168"/>
      <c r="AD66" s="143"/>
      <c r="AE66" s="143"/>
      <c r="AF66" s="143"/>
      <c r="AG66" s="143"/>
      <c r="AH66" s="143"/>
      <c r="AI66" s="1168"/>
    </row>
    <row r="67" spans="1:36" ht="18" customHeight="1">
      <c r="A67" s="1565" t="s">
        <v>2760</v>
      </c>
      <c r="B67" s="1950" t="str">
        <f>IF(auswahl5&gt;0,INDEX(Standardwerte!$AF$5:$AF$13,6),"")</f>
        <v/>
      </c>
      <c r="C67" s="1951"/>
      <c r="D67" s="2029" t="str">
        <f>IF(auswahl5&gt;0,INDEX(Standardwerte!$BA$5:$BA$13,6),"")</f>
        <v/>
      </c>
      <c r="E67" s="2030"/>
      <c r="F67" s="2030"/>
      <c r="G67" s="2030"/>
      <c r="H67" s="2031"/>
      <c r="I67" s="1335"/>
      <c r="J67" s="2032"/>
      <c r="K67" s="2033"/>
      <c r="M67" s="155" t="b">
        <v>0</v>
      </c>
      <c r="N67" s="1185" t="s">
        <v>1867</v>
      </c>
      <c r="O67" s="1193"/>
      <c r="P67" s="1193"/>
      <c r="Q67" s="1194"/>
      <c r="R67" s="1194"/>
      <c r="S67" s="1188"/>
      <c r="U67" s="1339" t="s">
        <v>1937</v>
      </c>
      <c r="V67" s="850">
        <f>IF(_neu1,Entrées!F19,0)</f>
        <v>0</v>
      </c>
      <c r="W67" s="851">
        <f>IF(_neu2,Entrées!G19,0)</f>
        <v>0</v>
      </c>
      <c r="X67" s="851">
        <f>IF(_neu3,Entrées!H19,0)</f>
        <v>0</v>
      </c>
      <c r="Y67" s="1489">
        <f>IF(_neu4,Entrées!I19,0)</f>
        <v>0</v>
      </c>
      <c r="Z67" s="822">
        <f>SUM(V67:Y67)</f>
        <v>0</v>
      </c>
      <c r="AA67" s="1319" t="s">
        <v>321</v>
      </c>
      <c r="AC67" s="1168" t="s">
        <v>3088</v>
      </c>
      <c r="AD67" s="143"/>
      <c r="AE67" s="143"/>
      <c r="AF67" s="143"/>
      <c r="AG67" s="143"/>
      <c r="AH67" s="143"/>
      <c r="AI67" s="1654">
        <f>IF(AI63&gt;0,AI65/AI63,0)</f>
        <v>0</v>
      </c>
    </row>
    <row r="68" spans="1:36" ht="18" customHeight="1">
      <c r="A68" s="1565" t="s">
        <v>2897</v>
      </c>
      <c r="B68" s="1950" t="str">
        <f>IF(auswahl6&gt;0,INDEX(Standardwerte!$AF$5:$AF$13,7),"")</f>
        <v/>
      </c>
      <c r="C68" s="1951"/>
      <c r="D68" s="2029" t="str">
        <f>IF(auswahl6&gt;0,INDEX(Standardwerte!$BA$5:$BA$13,7),"")</f>
        <v/>
      </c>
      <c r="E68" s="2030"/>
      <c r="F68" s="2030"/>
      <c r="G68" s="2030"/>
      <c r="H68" s="2031"/>
      <c r="I68" s="1346"/>
      <c r="J68" s="2032"/>
      <c r="K68" s="2033"/>
      <c r="M68" s="155" t="b">
        <v>1</v>
      </c>
      <c r="N68" s="1185" t="s">
        <v>1868</v>
      </c>
      <c r="O68" s="1191">
        <f>INDEX(Standardwerte!$AF$71:$AF$83,Kategorie1,1)</f>
        <v>0</v>
      </c>
      <c r="P68" s="1189">
        <f>INDEX(Standardwerte!$AF$71:$AF$83,Kategorie2,1)</f>
        <v>0</v>
      </c>
      <c r="Q68" s="1189">
        <f>INDEX(Standardwerte!$AF$71:$AF$83,Kategorie3,1)</f>
        <v>0</v>
      </c>
      <c r="R68" s="1190">
        <f>INDEX(Standardwerte!$AF$71:$AF$83,Kategorie4,1)</f>
        <v>0</v>
      </c>
      <c r="S68" s="1174">
        <f>IF(EBF&gt;0,(O68*_EBF1+P68*_EBF2+Q68*_EBF3+R68*_EBF4)/(_EBF1+_EBF2+_EBF3+_EBF4)+IF(S30=0,O109*J56*2/(_EBF1+_EBF2+_EBF3+_EBF4)),0)</f>
        <v>0</v>
      </c>
      <c r="T68" s="5" t="s">
        <v>524</v>
      </c>
      <c r="U68" s="1339" t="s">
        <v>1938</v>
      </c>
      <c r="V68" s="1496">
        <f>Entrées!F19-V67</f>
        <v>0</v>
      </c>
      <c r="W68" s="1336">
        <f>Entrées!G19-W67</f>
        <v>0</v>
      </c>
      <c r="X68" s="1336">
        <f>Entrées!H19-X67</f>
        <v>0</v>
      </c>
      <c r="Y68" s="1497">
        <f>Entrées!I19-Y67</f>
        <v>0</v>
      </c>
      <c r="Z68" s="822">
        <f>SUM(V68:Y68)</f>
        <v>0</v>
      </c>
      <c r="AA68" s="1319" t="s">
        <v>321</v>
      </c>
      <c r="AC68" s="1169" t="s">
        <v>3091</v>
      </c>
      <c r="AD68" s="151"/>
      <c r="AE68" s="151"/>
      <c r="AF68" s="151"/>
      <c r="AG68" s="151"/>
      <c r="AH68" s="151"/>
      <c r="AI68" s="979">
        <f>IF(O109&gt;0,O109,0)</f>
        <v>0</v>
      </c>
      <c r="AJ68" s="5" t="s">
        <v>672</v>
      </c>
    </row>
    <row r="69" spans="1:36" ht="18" customHeight="1">
      <c r="A69" s="1565" t="s">
        <v>2900</v>
      </c>
      <c r="B69" s="1950" t="str">
        <f>IF(auswahl7&gt;0,INDEX(Standardwerte!$AF$5:$AF$13,8),"")</f>
        <v/>
      </c>
      <c r="C69" s="1951"/>
      <c r="D69" s="2034" t="str">
        <f>IF(auswahl7&gt;0,INDEX(Standardwerte!$BA$5:$BA$13,8),"")</f>
        <v/>
      </c>
      <c r="E69" s="2035"/>
      <c r="F69" s="2035"/>
      <c r="G69" s="2035"/>
      <c r="H69" s="2036"/>
      <c r="I69" s="1335"/>
      <c r="J69" s="2027">
        <f>IF(AND(B69&lt;&gt;"",I69=$N$13),$R$12,IF(OR(I69="",B69=""),,$Q$12))</f>
        <v>0</v>
      </c>
      <c r="K69" s="2028"/>
      <c r="M69" s="155"/>
      <c r="U69" s="1168"/>
      <c r="V69" s="1109"/>
      <c r="W69" s="143"/>
      <c r="X69" s="143"/>
      <c r="Y69" s="1143"/>
      <c r="Z69" s="1168"/>
      <c r="AC69" s="1650" t="s">
        <v>3105</v>
      </c>
      <c r="AD69" s="1028"/>
      <c r="AE69" s="1028"/>
      <c r="AF69" s="1028"/>
      <c r="AG69" s="1028"/>
      <c r="AH69" s="1028"/>
      <c r="AI69" s="1668">
        <f>IF(f_fr_PV=0,0,MIN(IF(OR(O109="",O109&lt;=5),(f_fr_PV^_x0*_a0+_b0+C_Bat*((f_fr_PV^_x5*_a5+_b5)-(f_fr_PV^_x0*_a0+_b0))/5)/100,(f_fr_PV^_x5*_a5+_b5+(C_Bat-5)*((f_fr_PV^_x10*_a10+_b10)-(f_fr_PV^_x5*_a5+_b5))/5)/100),0.8))</f>
        <v>0</v>
      </c>
    </row>
    <row r="70" spans="1:36" ht="18" customHeight="1">
      <c r="A70" s="1565" t="s">
        <v>2898</v>
      </c>
      <c r="B70" s="1950" t="str">
        <f>IF(auswahl8&gt;0,INDEX(Standardwerte!$AF$5:$AF$14,9),"")</f>
        <v/>
      </c>
      <c r="C70" s="1951"/>
      <c r="D70" s="2029" t="str">
        <f>IF(auswahl8&gt;0,INDEX(Standardwerte!$BA$5:$BA$14,9),"")</f>
        <v/>
      </c>
      <c r="E70" s="2030"/>
      <c r="F70" s="2030"/>
      <c r="G70" s="2030"/>
      <c r="H70" s="2031"/>
      <c r="I70" s="1335"/>
      <c r="J70" s="2032"/>
      <c r="K70" s="2033"/>
      <c r="M70" s="155"/>
      <c r="N70" s="1185" t="s">
        <v>1869</v>
      </c>
      <c r="O70" s="1186"/>
      <c r="P70" s="1186"/>
      <c r="Q70" s="1187"/>
      <c r="R70" s="1187"/>
      <c r="S70" s="1188"/>
      <c r="U70" s="1339" t="s">
        <v>1940</v>
      </c>
      <c r="V70" s="1495"/>
      <c r="W70" s="1493"/>
      <c r="X70" s="1493"/>
      <c r="Y70" s="1499"/>
      <c r="Z70" s="1341">
        <f>Justificatif!G59</f>
        <v>0</v>
      </c>
      <c r="AA70" s="5" t="s">
        <v>524</v>
      </c>
      <c r="AC70" s="1109" t="s">
        <v>3106</v>
      </c>
      <c r="AD70" s="143"/>
      <c r="AE70" s="143"/>
      <c r="AF70" s="143"/>
      <c r="AG70" s="143"/>
      <c r="AH70" s="143"/>
      <c r="AI70" s="1654">
        <f>IF(f_fr_PV=0,0,MIN(IF(OR(O109="",O109&lt;=5),(f_fr_PV^_x0WP*_a0WP+_b0WP+C_Bat*((f_fr_PV^_x5WP*_a5WP+_b5WP)-(f_fr_PV^_x0WP*_a0WP+_b0WP))/5)/100,(f_fr_PV^_x5WP*_a5WP+_b5WP+(C_Bat-5)*((f_fr_PV^_x10WP*_a10WP+_b10WP)-(f_fr_PV^_x5WP*_a5WP+_b5WP))/5)/100),0.8))</f>
        <v>0</v>
      </c>
    </row>
    <row r="71" spans="1:36" ht="18" customHeight="1">
      <c r="A71" s="1565" t="s">
        <v>2899</v>
      </c>
      <c r="B71" s="1950" t="str">
        <f>IF(auswahl9&gt;0,INDEX(Standardwerte!$AF$5:$AF$14,10),"")</f>
        <v/>
      </c>
      <c r="C71" s="1951"/>
      <c r="D71" s="2029" t="str">
        <f>IF(auswahl9&gt;0,INDEX(Standardwerte!$BA$5:$BA$14,10),"")</f>
        <v/>
      </c>
      <c r="E71" s="2030"/>
      <c r="F71" s="2030"/>
      <c r="G71" s="2030"/>
      <c r="H71" s="2031"/>
      <c r="I71" s="1770"/>
      <c r="J71" s="2027">
        <f>IF(AND(B71&lt;&gt;"",I71=$N$13),$R$12,IF(OR(I71="",B71=""),,$Q$12))</f>
        <v>0</v>
      </c>
      <c r="K71" s="2028"/>
      <c r="M71" s="155" t="b">
        <v>0</v>
      </c>
      <c r="N71" s="1195" t="s">
        <v>1871</v>
      </c>
      <c r="O71" s="27"/>
      <c r="P71" s="27"/>
      <c r="Q71" s="27"/>
      <c r="R71" s="27"/>
      <c r="S71" s="89">
        <f>IF(EBF&gt;0,G55*E55/EBF-Justificatif!Q28,0)*2*I55</f>
        <v>0</v>
      </c>
      <c r="T71" s="5" t="s">
        <v>524</v>
      </c>
      <c r="U71" s="1168" t="s">
        <v>99</v>
      </c>
      <c r="V71" s="1675" t="s">
        <v>3163</v>
      </c>
      <c r="W71" s="1689">
        <f>IF(EBF&gt;0,G55*E55/EBF,0)*2*I55</f>
        <v>0</v>
      </c>
      <c r="X71" s="1690" t="s">
        <v>3164</v>
      </c>
      <c r="Y71" s="1689">
        <f>IF(EBF&gt;0,G55*E55/EBF,0)*2*(1-I55)*0.4</f>
        <v>0</v>
      </c>
      <c r="Z71" s="1524">
        <f>W71+Y71</f>
        <v>0</v>
      </c>
      <c r="AA71" s="5" t="s">
        <v>524</v>
      </c>
      <c r="AC71" s="900" t="s">
        <v>3107</v>
      </c>
      <c r="AD71" s="151"/>
      <c r="AE71" s="151"/>
      <c r="AF71" s="151"/>
      <c r="AG71" s="151"/>
      <c r="AH71" s="1152"/>
      <c r="AI71" s="1667">
        <f>IF(OR(J55="",J55=0),IF(AI75,ROUND((AI70*Anteil_WP+AI69*(1-Anteil_WP))*20,0)/20,0.2),MIN(J55,1))</f>
        <v>0.2</v>
      </c>
    </row>
    <row r="72" spans="1:36" s="27" customFormat="1" ht="21" customHeight="1">
      <c r="A72" s="1565" t="s">
        <v>3441</v>
      </c>
      <c r="B72" s="2020" t="str">
        <f>IF(auswahl10&gt;0,INDEX(Standardwerte!$AF$5:$AF$15,11),"")</f>
        <v/>
      </c>
      <c r="C72" s="2021"/>
      <c r="D72" s="2073" t="str">
        <f>IF(auswahl10&gt;0,INDEX(Standardwerte!$BA$5:$BA$15,11),"")</f>
        <v/>
      </c>
      <c r="E72" s="2074"/>
      <c r="F72" s="2074"/>
      <c r="G72" s="2074"/>
      <c r="H72" s="2075"/>
      <c r="I72" s="1761"/>
      <c r="J72" s="2076">
        <f>IF(AND(B72&lt;&gt;"",I72=$N$13),$R$12,IF(OR(I72="",B72=""),,$Q$12))</f>
        <v>0</v>
      </c>
      <c r="K72" s="2077"/>
      <c r="L72" s="301"/>
      <c r="M72" s="301"/>
      <c r="N72" s="558" t="s">
        <v>1872</v>
      </c>
      <c r="S72" s="1196">
        <f>IF(EBF&gt;0,G55*E55/EBF-Justificatif!Q28,0)*2*(1-I55)*0.4</f>
        <v>0</v>
      </c>
      <c r="T72" s="5" t="s">
        <v>524</v>
      </c>
      <c r="U72" s="1339" t="s">
        <v>3165</v>
      </c>
      <c r="V72" s="1495"/>
      <c r="W72" s="1493"/>
      <c r="X72" s="1493"/>
      <c r="Y72" s="1499"/>
      <c r="Z72" s="1341">
        <f>S75+Z71</f>
        <v>0</v>
      </c>
      <c r="AA72" s="5" t="s">
        <v>524</v>
      </c>
      <c r="AC72" s="1666"/>
      <c r="AD72" s="980" t="s">
        <v>555</v>
      </c>
      <c r="AE72" s="981" t="s">
        <v>556</v>
      </c>
      <c r="AF72" s="981" t="s">
        <v>234</v>
      </c>
      <c r="AG72" s="981" t="s">
        <v>235</v>
      </c>
      <c r="AH72" s="318"/>
      <c r="AI72" s="1666"/>
    </row>
    <row r="73" spans="1:36" s="27" customFormat="1" ht="12" customHeight="1">
      <c r="A73" s="1569"/>
      <c r="B73" s="994">
        <f ca="1">NOW()</f>
        <v>44187.699461342592</v>
      </c>
      <c r="C73" s="5"/>
      <c r="D73" s="5"/>
      <c r="E73" s="5"/>
      <c r="F73" s="5"/>
      <c r="G73" s="5"/>
      <c r="H73" s="5"/>
      <c r="I73" s="5"/>
      <c r="J73" s="5"/>
      <c r="K73" s="787" t="str">
        <f>Entrées!C8&amp;" / "&amp;Entrées!C7&amp;" / "&amp;Entrées!H7&amp;" / "&amp;Entrées!J7&amp;" / "&amp;Entrées!J8&amp;" / "&amp;Entrées!G55&amp;" / "&amp;Entrées!G57</f>
        <v xml:space="preserve"> /  /  /  /  /  / </v>
      </c>
      <c r="L73" s="301"/>
      <c r="M73" s="301"/>
      <c r="N73" s="1185" t="s">
        <v>1870</v>
      </c>
      <c r="O73" s="1191"/>
      <c r="P73" s="1189"/>
      <c r="Q73" s="1189"/>
      <c r="R73" s="1190"/>
      <c r="S73" s="1192">
        <f>SUM(S71:S72)</f>
        <v>0</v>
      </c>
      <c r="T73" s="5" t="s">
        <v>524</v>
      </c>
      <c r="U73" s="1342" t="s">
        <v>1939</v>
      </c>
      <c r="V73" s="1599"/>
      <c r="W73" s="1337"/>
      <c r="X73" s="1337"/>
      <c r="Y73" s="1600"/>
      <c r="Z73" s="1343" t="b">
        <f>IF(EBF=0,FALSE,IF((Z70-Z72)&gt;=5,TRUE,IF(AND(Z67&gt;0,Z68=0),FALSE,IF(OR(Z67&lt;50,AND(Z67&lt;=1000,Z67/Z68&lt;0.2)),TRUE,FALSE))))</f>
        <v>0</v>
      </c>
      <c r="AC73" s="120" t="s">
        <v>333</v>
      </c>
      <c r="AD73" s="42" t="b">
        <f>IF(AND(Kategorie1 = 3,Entrées!F19&gt;0), TRUE,FALSE)</f>
        <v>0</v>
      </c>
      <c r="AE73" s="42" t="b">
        <f>IF(AND(Kategorie2 = 3,Entrées!G19&gt;0), TRUE,FALSE)</f>
        <v>0</v>
      </c>
      <c r="AF73" s="42" t="b">
        <f>IF(AND(Kategorie3 = 3,Entrées!H19&gt;0), TRUE,FALSE)</f>
        <v>0</v>
      </c>
      <c r="AG73" s="42" t="b">
        <f>IF(AND(Kategorie4 = 3,Entrées!I19&gt;0), TRUE,FALSE)</f>
        <v>0</v>
      </c>
      <c r="AH73" s="42"/>
      <c r="AI73" s="120" t="b">
        <f>OR(AD73,AE73,AF73,AG73)</f>
        <v>0</v>
      </c>
    </row>
    <row r="74" spans="1:36" s="27" customFormat="1" ht="18" customHeight="1">
      <c r="A74" s="1569"/>
      <c r="F74" s="33"/>
      <c r="G74" s="33"/>
      <c r="H74" s="33"/>
      <c r="I74" s="33"/>
      <c r="L74" s="301"/>
      <c r="M74" s="301"/>
      <c r="N74" s="299" t="s">
        <v>2648</v>
      </c>
      <c r="O74" s="5"/>
      <c r="P74" s="5"/>
      <c r="Q74" s="5"/>
      <c r="R74" s="5"/>
      <c r="S74" s="5"/>
      <c r="T74" s="5"/>
      <c r="V74" s="1493"/>
      <c r="W74" s="1493"/>
      <c r="X74" s="1493"/>
      <c r="Y74" s="1493"/>
      <c r="AC74" s="120" t="s">
        <v>3141</v>
      </c>
      <c r="AD74" s="42" t="b">
        <f>IF(AND(OR(Kategorie1 = 2,Kategorie1&gt;3),Entrées!F19&gt;0,Kategorie1&lt;13), TRUE,FALSE)</f>
        <v>0</v>
      </c>
      <c r="AE74" s="42" t="b">
        <f>IF(AND(OR(Kategorie2 = 2,Kategorie2&gt;3),Entrées!G19&gt;0,Kategorie2&lt;13), TRUE,FALSE)</f>
        <v>0</v>
      </c>
      <c r="AF74" s="42" t="b">
        <f>IF(AND(OR(Kategorie3 = 2,Kategorie3&gt;3),Entrées!H19&gt;0,Kategorie3&lt;13), TRUE,FALSE)</f>
        <v>0</v>
      </c>
      <c r="AG74" s="42" t="b">
        <f>IF(AND(OR(Kategorie4 = 2,Kategorie4&gt;3),Entrées!I19&gt;0,Kategorie4&lt;13), TRUE,FALSE)</f>
        <v>0</v>
      </c>
      <c r="AH74" s="42"/>
      <c r="AI74" s="120" t="b">
        <f>OR(AD74,AE74,AF74,AG74)</f>
        <v>0</v>
      </c>
    </row>
    <row r="75" spans="1:36" s="27" customFormat="1" ht="18" customHeight="1">
      <c r="A75" s="1569"/>
      <c r="F75" s="33"/>
      <c r="G75" s="33"/>
      <c r="H75" s="33"/>
      <c r="I75" s="33"/>
      <c r="L75" s="301"/>
      <c r="M75" s="301"/>
      <c r="N75" s="1200" t="s">
        <v>1876</v>
      </c>
      <c r="O75" s="1198"/>
      <c r="P75" s="1197"/>
      <c r="Q75" s="1197"/>
      <c r="R75" s="1199"/>
      <c r="S75" s="1201">
        <f>S15+S18+S44+S59+S68-S73+S56+S94+S100+Justificatif!N44</f>
        <v>0</v>
      </c>
      <c r="T75" s="5" t="s">
        <v>524</v>
      </c>
      <c r="U75" s="596"/>
      <c r="V75" s="596"/>
      <c r="W75" s="596"/>
      <c r="X75" s="596"/>
      <c r="Y75" s="596"/>
      <c r="Z75" s="596"/>
      <c r="AC75" s="142" t="s">
        <v>3142</v>
      </c>
      <c r="AD75" s="60"/>
      <c r="AE75" s="60"/>
      <c r="AF75" s="60"/>
      <c r="AG75" s="60"/>
      <c r="AH75" s="60"/>
      <c r="AI75" s="1343" t="b">
        <f>IF(AND(AI73,AI74=FALSE),TRUE,FALSE)</f>
        <v>0</v>
      </c>
    </row>
    <row r="76" spans="1:36" s="27" customFormat="1" ht="18" customHeight="1">
      <c r="A76" s="1569"/>
      <c r="B76" s="602"/>
      <c r="C76" s="602"/>
      <c r="D76" s="602"/>
      <c r="E76" s="602"/>
      <c r="F76" s="602"/>
      <c r="G76" s="602"/>
      <c r="H76" s="602"/>
      <c r="I76" s="602"/>
      <c r="J76" s="602"/>
      <c r="K76" s="602"/>
      <c r="L76" s="301"/>
      <c r="M76" s="301"/>
      <c r="N76" s="299" t="s">
        <v>2635</v>
      </c>
      <c r="O76" s="596"/>
      <c r="P76" s="596"/>
      <c r="Q76" s="596"/>
      <c r="R76" s="596"/>
      <c r="S76" s="596"/>
      <c r="T76" s="596"/>
      <c r="U76" s="299" t="s">
        <v>3178</v>
      </c>
      <c r="Z76" s="596"/>
    </row>
    <row r="77" spans="1:36" s="27" customFormat="1" ht="18" customHeight="1">
      <c r="A77" s="1569"/>
      <c r="L77" s="301"/>
      <c r="M77" s="301"/>
      <c r="N77" s="759" t="s">
        <v>1825</v>
      </c>
      <c r="O77" s="725">
        <v>1</v>
      </c>
      <c r="P77" s="789">
        <v>2</v>
      </c>
      <c r="Q77" s="789">
        <v>3</v>
      </c>
      <c r="R77" s="1131">
        <v>4</v>
      </c>
      <c r="S77" s="1131" t="s">
        <v>2627</v>
      </c>
      <c r="T77" s="596"/>
      <c r="U77" s="759" t="s">
        <v>1825</v>
      </c>
      <c r="V77" s="1702">
        <v>1</v>
      </c>
      <c r="W77" s="1141">
        <v>2</v>
      </c>
      <c r="X77" s="1141">
        <v>3</v>
      </c>
      <c r="Y77" s="1701">
        <v>4</v>
      </c>
      <c r="Z77" s="1283" t="s">
        <v>1849</v>
      </c>
    </row>
    <row r="78" spans="1:36" s="27" customFormat="1" ht="18" customHeight="1">
      <c r="A78" s="1569"/>
      <c r="B78" s="602"/>
      <c r="C78" s="602"/>
      <c r="D78" s="602"/>
      <c r="E78" s="602"/>
      <c r="F78" s="602"/>
      <c r="G78" s="602"/>
      <c r="H78" s="602"/>
      <c r="I78" s="602"/>
      <c r="J78" s="602"/>
      <c r="K78" s="602"/>
      <c r="L78" s="301"/>
      <c r="M78" s="301"/>
      <c r="N78" s="1707" t="s">
        <v>2624</v>
      </c>
      <c r="O78" s="1498" t="b">
        <f>IF(Kategorie1&gt;3,TRUE,FALSE)</f>
        <v>0</v>
      </c>
      <c r="P78" s="1498" t="b">
        <f>IF(Kategorie2&gt;3,TRUE,FALSE)</f>
        <v>0</v>
      </c>
      <c r="Q78" s="1498" t="b">
        <f>IF(Kategorie3&gt;3,TRUE,FALSE)</f>
        <v>0</v>
      </c>
      <c r="R78" s="1498" t="b">
        <f>IF(Kategorie4&gt;3,TRUE,FALSE)</f>
        <v>0</v>
      </c>
      <c r="S78" s="1708"/>
      <c r="T78" s="596"/>
      <c r="U78" s="1650" t="s">
        <v>1845</v>
      </c>
      <c r="V78" s="1702">
        <f>IF(wohnen1,F23,0)</f>
        <v>0</v>
      </c>
      <c r="W78" s="1141">
        <f>IF(wohnen2,G23,0)</f>
        <v>0</v>
      </c>
      <c r="X78" s="1141">
        <f>IF(wohnen3,H23,0)</f>
        <v>0</v>
      </c>
      <c r="Y78" s="1701">
        <f>IF(wohnen4,I23,0)</f>
        <v>0</v>
      </c>
      <c r="Z78" s="1701">
        <f>SUM(V78:Y78)</f>
        <v>0</v>
      </c>
      <c r="AA78" s="143" t="s">
        <v>321</v>
      </c>
    </row>
    <row r="79" spans="1:36" s="596" customFormat="1" ht="18" customHeight="1">
      <c r="A79" s="1570"/>
      <c r="B79" s="602"/>
      <c r="C79" s="602"/>
      <c r="D79" s="602"/>
      <c r="E79" s="602"/>
      <c r="F79" s="602"/>
      <c r="G79" s="602"/>
      <c r="H79" s="602"/>
      <c r="I79" s="602"/>
      <c r="J79" s="602"/>
      <c r="K79" s="602"/>
      <c r="L79" s="603"/>
      <c r="M79" s="603"/>
      <c r="N79" s="1494" t="s">
        <v>2626</v>
      </c>
      <c r="O79" s="1493" t="b">
        <f>AND(_neu1,O78)</f>
        <v>0</v>
      </c>
      <c r="P79" s="1493" t="b">
        <f>AND(_neu2,P78)</f>
        <v>0</v>
      </c>
      <c r="Q79" s="1493" t="b">
        <f>AND(_neu3,Q78)</f>
        <v>0</v>
      </c>
      <c r="R79" s="1493" t="b">
        <f>AND(_neu4,R78)</f>
        <v>0</v>
      </c>
      <c r="S79" s="1494"/>
      <c r="U79" s="1700" t="s">
        <v>3179</v>
      </c>
      <c r="V79" s="1713">
        <f>IF(wohnen1,O25,0)</f>
        <v>0</v>
      </c>
      <c r="W79" s="1715">
        <f>IF(wohnen2,P25,0)</f>
        <v>0</v>
      </c>
      <c r="X79" s="1715">
        <f>IF(wohnen3,Q25,0)</f>
        <v>0</v>
      </c>
      <c r="Y79" s="1714">
        <f>IF(wohnen4,R25,0)</f>
        <v>0</v>
      </c>
      <c r="Z79" s="1703">
        <f>SUM(V79:Y79)</f>
        <v>0</v>
      </c>
    </row>
    <row r="80" spans="1:36" s="596" customFormat="1" ht="18" customHeight="1">
      <c r="A80" s="1570"/>
      <c r="B80" s="602"/>
      <c r="C80" s="602"/>
      <c r="D80" s="602"/>
      <c r="E80" s="602"/>
      <c r="F80" s="602"/>
      <c r="G80" s="602"/>
      <c r="H80" s="602"/>
      <c r="I80" s="602"/>
      <c r="J80" s="602"/>
      <c r="K80" s="602"/>
      <c r="L80" s="603"/>
      <c r="M80" s="603"/>
      <c r="N80" s="1494" t="s">
        <v>2631</v>
      </c>
      <c r="O80" s="1336">
        <f>IF(AND(_neu1,Kategorie1&gt;3),Entrées!F19,0)</f>
        <v>0</v>
      </c>
      <c r="P80" s="1336">
        <f>IF(AND(_neu2,Kategorie2&gt;3),Entrées!G19,0)</f>
        <v>0</v>
      </c>
      <c r="Q80" s="1336">
        <f>IF(AND(_neu3,Kategorie3&gt;3),Entrées!H19,0)</f>
        <v>0</v>
      </c>
      <c r="R80" s="1336">
        <f>IF(AND(_neu4,Kategorie4&gt;3),Entrées!I19,0)</f>
        <v>0</v>
      </c>
      <c r="S80" s="822">
        <f>SUM(O80:R80)</f>
        <v>0</v>
      </c>
      <c r="T80" s="596" t="s">
        <v>321</v>
      </c>
      <c r="U80" s="1700" t="s">
        <v>3369</v>
      </c>
      <c r="V80" s="1716">
        <f>IF(V79&gt;0,V78/V79,V78)</f>
        <v>0</v>
      </c>
      <c r="W80" s="1717">
        <f>IF(W79&gt;0,W78/W79,W78)</f>
        <v>0</v>
      </c>
      <c r="X80" s="1717">
        <f>IF(X79&gt;0,X78/X79,X78)</f>
        <v>0</v>
      </c>
      <c r="Y80" s="1703">
        <f>IF(Y79&gt;0,Y78/Y79,Y78)</f>
        <v>0</v>
      </c>
      <c r="Z80" s="1755">
        <f>IF(Z79&gt;0,Z78/Z79,0)</f>
        <v>0</v>
      </c>
      <c r="AA80" s="1319" t="s">
        <v>3180</v>
      </c>
    </row>
    <row r="81" spans="1:27" s="596" customFormat="1" ht="18" customHeight="1">
      <c r="A81" s="1570"/>
      <c r="B81" s="602"/>
      <c r="C81" s="602"/>
      <c r="D81" s="602"/>
      <c r="E81" s="602"/>
      <c r="F81" s="602"/>
      <c r="G81" s="602"/>
      <c r="H81" s="602"/>
      <c r="I81" s="602"/>
      <c r="J81" s="602"/>
      <c r="K81" s="602"/>
      <c r="L81" s="603"/>
      <c r="M81" s="603"/>
      <c r="N81" s="1494" t="s">
        <v>2625</v>
      </c>
      <c r="O81" s="596" t="b">
        <f>AND($S$80&gt;250,O79)</f>
        <v>0</v>
      </c>
      <c r="P81" s="596" t="b">
        <f>AND($S$80&gt;250,P79)</f>
        <v>0</v>
      </c>
      <c r="Q81" s="596" t="b">
        <f>AND($S$80&gt;250,Q79)</f>
        <v>0</v>
      </c>
      <c r="R81" s="596" t="b">
        <f>AND($S$80&gt;250,R79)</f>
        <v>0</v>
      </c>
      <c r="S81" s="1494"/>
      <c r="T81" s="1319" t="s">
        <v>2637</v>
      </c>
      <c r="U81" s="1704" t="s">
        <v>3178</v>
      </c>
      <c r="V81" s="1713" t="b">
        <f>wohnen1</f>
        <v>0</v>
      </c>
      <c r="W81" s="1715" t="b">
        <f>wohnen2</f>
        <v>0</v>
      </c>
      <c r="X81" s="1715" t="b">
        <f>wohnen3</f>
        <v>0</v>
      </c>
      <c r="Y81" s="1714" t="b">
        <f>wohnen4</f>
        <v>0</v>
      </c>
      <c r="Z81" s="1502" t="b">
        <f>IF(AND(Z80&gt;=69,Z80&lt;=125),TRUE,FALSE)</f>
        <v>0</v>
      </c>
    </row>
    <row r="82" spans="1:27" s="596" customFormat="1" ht="18" customHeight="1">
      <c r="A82" s="1570"/>
      <c r="F82" s="602"/>
      <c r="G82" s="602"/>
      <c r="H82" s="602"/>
      <c r="I82" s="602"/>
      <c r="L82" s="603"/>
      <c r="M82" s="603"/>
      <c r="N82" s="1500" t="s">
        <v>3206</v>
      </c>
      <c r="O82" s="1501" t="b">
        <f>AND(O81,Mieter1=FALSE)</f>
        <v>0</v>
      </c>
      <c r="P82" s="1501" t="b">
        <f>AND(P81,Mieter2=FALSE)</f>
        <v>0</v>
      </c>
      <c r="Q82" s="1501" t="b">
        <f>AND(Q81,Mieter3=FALSE)</f>
        <v>0</v>
      </c>
      <c r="R82" s="1501" t="b">
        <f>AND(R81,Mieter4=FALSE)</f>
        <v>0</v>
      </c>
      <c r="S82" s="1500" t="b">
        <f>OR(O82,P82,Q82,R82)</f>
        <v>0</v>
      </c>
      <c r="U82" s="1707" t="s">
        <v>3182</v>
      </c>
      <c r="V82" s="1141">
        <f>IF(wohnen1,Standardwerte!AE65,0)</f>
        <v>0</v>
      </c>
      <c r="W82" s="1141">
        <f>IF(wohnen2,Standardwerte!AE66,0)</f>
        <v>0</v>
      </c>
      <c r="X82" s="1141">
        <f>IF(wohnen3,Standardwerte!AE67,0)</f>
        <v>0</v>
      </c>
      <c r="Y82" s="1141">
        <f>IF(wohnen4,Standardwerte!AE68,0)</f>
        <v>0</v>
      </c>
      <c r="Z82" s="1708"/>
      <c r="AA82" s="5" t="s">
        <v>524</v>
      </c>
    </row>
    <row r="83" spans="1:27" s="596" customFormat="1" ht="18" customHeight="1">
      <c r="A83" s="1570"/>
      <c r="F83" s="602"/>
      <c r="G83" s="602"/>
      <c r="H83" s="602"/>
      <c r="I83" s="602"/>
      <c r="L83" s="603"/>
      <c r="M83" s="603"/>
      <c r="N83" s="1494" t="s">
        <v>2630</v>
      </c>
      <c r="O83" s="1493" t="b">
        <f>AND(Kategorie1&gt;3,_neu1=FALSE)</f>
        <v>0</v>
      </c>
      <c r="P83" s="1493" t="b">
        <f>AND(Kategorie2&gt;3,_neu2=FALSE)</f>
        <v>0</v>
      </c>
      <c r="Q83" s="1493" t="b">
        <f>AND(Kategorie3&gt;3,_neu3=FALSE)</f>
        <v>0</v>
      </c>
      <c r="R83" s="1493" t="b">
        <f>AND(Kategorie4&gt;3,_neu4=FALSE)</f>
        <v>0</v>
      </c>
      <c r="S83" s="1494"/>
      <c r="U83" s="1339" t="s">
        <v>3183</v>
      </c>
      <c r="V83" s="1705">
        <f>IF(_EBF1&gt;0,IF(wohnen1,O26*(O25*800+O32*20)+O25*100,0)/_EBF1*2,0)</f>
        <v>0</v>
      </c>
      <c r="W83" s="1705">
        <f>IF(_EBF2&gt;0,IF(wohnen2,P26*(P25*800+P32*20)+P25*100,0)/_EBF2*2,0)</f>
        <v>0</v>
      </c>
      <c r="X83" s="1705">
        <f>IF(_EBF3&gt;0,IF(wohnen3,Q26*(Q25*800+Q32*20)+Q25*100,0)/_EBF3*2,0)</f>
        <v>0</v>
      </c>
      <c r="Y83" s="1705">
        <f>IF(_EBF4&gt;0,IF(wohnen4,R26*(R25*800+R32*20)+R25*100,0)/_EBF4*2,0)</f>
        <v>0</v>
      </c>
      <c r="Z83" s="1494"/>
      <c r="AA83" s="5" t="s">
        <v>524</v>
      </c>
    </row>
    <row r="84" spans="1:27" s="596" customFormat="1" ht="18" customHeight="1">
      <c r="A84" s="1570"/>
      <c r="F84" s="602"/>
      <c r="G84" s="602"/>
      <c r="H84" s="602"/>
      <c r="I84" s="602"/>
      <c r="L84" s="603"/>
      <c r="M84" s="603"/>
      <c r="N84" s="1494" t="s">
        <v>3203</v>
      </c>
      <c r="O84" s="1336">
        <f>IF(AND(_neu1=FALSE,Kategorie1&gt;3),Entrées!F19,0)</f>
        <v>0</v>
      </c>
      <c r="P84" s="1336">
        <f>IF(AND(_neu2=FALSE,Kategorie2&gt;3),Entrées!G19,0)</f>
        <v>0</v>
      </c>
      <c r="Q84" s="1336">
        <f>IF(AND(_neu3=FALSE,Kategorie3&gt;3),Entrées!H19,0)</f>
        <v>0</v>
      </c>
      <c r="R84" s="1336">
        <f>IF(AND(_neu4=FALSE,Kategorie4&gt;3),Entrées!I19,0)</f>
        <v>0</v>
      </c>
      <c r="S84" s="822">
        <f>SUM(O84:R84)</f>
        <v>0</v>
      </c>
      <c r="T84" s="596" t="s">
        <v>321</v>
      </c>
      <c r="U84" s="1458" t="s">
        <v>3316</v>
      </c>
      <c r="V84" s="1725">
        <f>IF(minergiea,INDEX(Standardwerte!$AI$71:$AI$83,Kategorie1,1),IF(minergiep,IF(_neu1,INDEX(Standardwerte!$Z$71:$Z$83,Kategorie1,1),INDEX(Standardwerte!$AA$71:$AA$83,Kategorie1,1)),IF(_neu1,INDEX(Standardwerte!$X$71:$X$83,Kategorie1,1),INDEX(Standardwerte!$Y$71:$Y$83,Kategorie1,1))))</f>
        <v>0</v>
      </c>
      <c r="W84" s="1725">
        <f>IF(minergiea,INDEX(Standardwerte!$AI$71:$AI$83,Kategorie2,1),IF(minergiep,IF(_neu2,INDEX(Standardwerte!$Z$71:$Z$83,Kategorie2,1),INDEX(Standardwerte!$AA$71:$AA$83,Kategorie2,1)),IF(_neu2,INDEX(Standardwerte!$X$71:$X$83,Kategorie2,1),INDEX(Standardwerte!$Y$71:$Y$83,Kategorie2,1))))</f>
        <v>0</v>
      </c>
      <c r="X84" s="1725">
        <f>IF(minergiea,INDEX(Standardwerte!$AI$71:$AI$83,Kategorie3,1),IF(minergiep,IF(_neu3,INDEX(Standardwerte!$Z$71:$Z$83,Kategorie3,1),INDEX(Standardwerte!$AA$71:$AA$83,Kategorie3,1)),IF(_neu3,INDEX(Standardwerte!$X$71:$X$83,Kategorie3,1),INDEX(Standardwerte!$Y$71:$Y$83,Kategorie3,1))))</f>
        <v>0</v>
      </c>
      <c r="Y84" s="1725">
        <f>IF(minergiea,INDEX(Standardwerte!$AI$71:$AI$83,Kategorie4,1),IF(minergiep,IF(_neu4,INDEX(Standardwerte!$Z$71:$Z$83,Kategorie4,1),INDEX(Standardwerte!$AA$71:$AA$83,Kategorie4,1)),IF(_neu4,INDEX(Standardwerte!$X$71:$X$83,Kategorie4,1),INDEX(Standardwerte!$Y$71:$Y$83,Kategorie4,1))))</f>
        <v>0</v>
      </c>
      <c r="Z84" s="1494"/>
      <c r="AA84" s="5" t="s">
        <v>3307</v>
      </c>
    </row>
    <row r="85" spans="1:27" s="596" customFormat="1" ht="18" customHeight="1">
      <c r="A85" s="1570"/>
      <c r="F85" s="602"/>
      <c r="G85" s="602"/>
      <c r="H85" s="602"/>
      <c r="I85" s="602"/>
      <c r="L85" s="603"/>
      <c r="M85" s="603"/>
      <c r="N85" s="1494" t="s">
        <v>3204</v>
      </c>
      <c r="O85" s="596" t="b">
        <f>AND($S$84&gt;250,O83)</f>
        <v>0</v>
      </c>
      <c r="P85" s="596" t="b">
        <f>AND($S$84&gt;250,P83)</f>
        <v>0</v>
      </c>
      <c r="Q85" s="596" t="b">
        <f>AND($S$84&gt;250,Q83)</f>
        <v>0</v>
      </c>
      <c r="R85" s="596" t="b">
        <f>AND($S$84&gt;250,R83)</f>
        <v>0</v>
      </c>
      <c r="S85" s="1494" t="b">
        <f>OR(O85,P85,Q85,R85)</f>
        <v>0</v>
      </c>
      <c r="U85" s="1458" t="s">
        <v>3494</v>
      </c>
      <c r="V85" s="1705">
        <f>IF(_EBF1&gt;0,IF(wohnen1,O26*(800/70+16)+100/70,0)*2+V82,0)</f>
        <v>0</v>
      </c>
      <c r="W85" s="1705">
        <f>IF(_EBF2&gt;0,IF(wohnen2,P26*(800/70+16)+100/70,0)*2+W82,0)</f>
        <v>0</v>
      </c>
      <c r="X85" s="1705">
        <f>IF(_EBF3&gt;0,IF(wohnen3,Q26*(800/70+16)+100/70,0)*2+X82,0)</f>
        <v>0</v>
      </c>
      <c r="Y85" s="1705">
        <f>IF(_EBF4&gt;0,IF(wohnen4,R26*(800/70+16)+100/70,0)*2+Y82,0)</f>
        <v>0</v>
      </c>
      <c r="Z85" s="1494"/>
      <c r="AA85" s="1319"/>
    </row>
    <row r="86" spans="1:27" s="596" customFormat="1" ht="18" customHeight="1">
      <c r="A86" s="1570"/>
      <c r="F86" s="602"/>
      <c r="G86" s="602"/>
      <c r="H86" s="602"/>
      <c r="I86" s="602"/>
      <c r="L86" s="603"/>
      <c r="M86" s="603"/>
      <c r="N86" s="1500" t="s">
        <v>2632</v>
      </c>
      <c r="O86" s="1501" t="b">
        <f>AND(O83=TRUE,F44=$N$12)</f>
        <v>0</v>
      </c>
      <c r="P86" s="1501" t="b">
        <f>AND(P83=TRUE,G44=$N$12)</f>
        <v>0</v>
      </c>
      <c r="Q86" s="1501" t="b">
        <f>AND(Q83=TRUE,H44=$N$12)</f>
        <v>0</v>
      </c>
      <c r="R86" s="1501" t="b">
        <f>AND(R83=TRUE,I44=$N$12)</f>
        <v>0</v>
      </c>
      <c r="S86" s="1500" t="b">
        <f>OR(O86,P86,Q86,R86)</f>
        <v>0</v>
      </c>
      <c r="T86" s="1319" t="s">
        <v>2638</v>
      </c>
      <c r="U86" s="1787" t="s">
        <v>3184</v>
      </c>
      <c r="V86" s="1718">
        <f>IF(V80&lt;70,V85,IF(V80&gt;125,V84,MAX(V84,V83+V82)))</f>
        <v>0</v>
      </c>
      <c r="W86" s="1718">
        <f>IF(W80&lt;70,W85,IF(W80&gt;125,W84,MAX(W84,W83+W82)))</f>
        <v>0</v>
      </c>
      <c r="X86" s="1718">
        <f>IF(X80&lt;70,X85,IF(X80&gt;125,X84,MAX(X84,X83+X82)))</f>
        <v>0</v>
      </c>
      <c r="Y86" s="1718">
        <f>IF(Y80&lt;70,Y85,IF(Y80&gt;125,Y84,MAX(Y84,Y83+Y82)))</f>
        <v>0</v>
      </c>
      <c r="Z86" s="1719"/>
      <c r="AA86" s="5" t="s">
        <v>524</v>
      </c>
    </row>
    <row r="87" spans="1:27" s="596" customFormat="1" ht="18" customHeight="1">
      <c r="A87" s="1570"/>
      <c r="F87" s="602"/>
      <c r="G87" s="602"/>
      <c r="H87" s="602"/>
      <c r="I87" s="602"/>
      <c r="L87" s="603"/>
      <c r="M87" s="603"/>
      <c r="N87" s="1494" t="s">
        <v>3206</v>
      </c>
      <c r="O87" s="596" t="b">
        <f>AND(O86,O97)</f>
        <v>0</v>
      </c>
      <c r="P87" s="596" t="b">
        <f>AND(P86,P97)</f>
        <v>0</v>
      </c>
      <c r="Q87" s="596" t="b">
        <f>AND(Q86,Q97)</f>
        <v>0</v>
      </c>
      <c r="R87" s="596" t="b">
        <f>AND(R86,R97)</f>
        <v>0</v>
      </c>
      <c r="S87" s="1494"/>
      <c r="U87" s="1786" t="s">
        <v>3496</v>
      </c>
      <c r="V87" s="1757">
        <f>IF(AND(wohnen1,_EBF1&gt;0),100/125*2,0)</f>
        <v>0</v>
      </c>
      <c r="W87" s="1757">
        <f>IF(AND(wohnen2,_EBF2&gt;0),100/125*2,0)</f>
        <v>0</v>
      </c>
      <c r="X87" s="1757">
        <f>IF(AND(wohnen3,_EBF3&gt;0),100/125*2,0)</f>
        <v>0</v>
      </c>
      <c r="Y87" s="1757">
        <f>IF(AND(wohnen4,_EBF4&gt;0),100/125*2,0)</f>
        <v>0</v>
      </c>
      <c r="Z87" s="1708"/>
      <c r="AA87" s="1319" t="s">
        <v>524</v>
      </c>
    </row>
    <row r="88" spans="1:27" s="596" customFormat="1" ht="18" customHeight="1">
      <c r="A88" s="1570"/>
      <c r="F88" s="602"/>
      <c r="G88" s="602"/>
      <c r="H88" s="602"/>
      <c r="I88" s="602"/>
      <c r="L88" s="603"/>
      <c r="M88" s="603"/>
      <c r="N88" s="1494" t="s">
        <v>3205</v>
      </c>
      <c r="O88" s="596" t="b">
        <f>OR(O82,O86)</f>
        <v>0</v>
      </c>
      <c r="P88" s="596" t="b">
        <f>OR(P82,P86)</f>
        <v>0</v>
      </c>
      <c r="Q88" s="596" t="b">
        <f>OR(Q82,Q86)</f>
        <v>0</v>
      </c>
      <c r="R88" s="596" t="b">
        <f>OR(R82,R86)</f>
        <v>0</v>
      </c>
      <c r="S88" s="1494" t="b">
        <f>OR(O88,P88,Q88,R88)</f>
        <v>0</v>
      </c>
      <c r="U88" s="1788" t="s">
        <v>3497</v>
      </c>
      <c r="V88" s="1705">
        <f>IF(AND(wohnen1,_EBF1&gt;0),100/70*2,0)</f>
        <v>0</v>
      </c>
      <c r="W88" s="1705">
        <f>IF(AND(wohnen2,_EBF2&gt;0),100/70*2,0)</f>
        <v>0</v>
      </c>
      <c r="X88" s="1705">
        <f>IF(AND(wohnen3,_EBF3&gt;0),100/70*2,0)</f>
        <v>0</v>
      </c>
      <c r="Y88" s="1705">
        <f>IF(AND(wohnen4,_EBF4&gt;0),100/70*2,0)</f>
        <v>0</v>
      </c>
      <c r="Z88" s="1494"/>
    </row>
    <row r="89" spans="1:27" s="596" customFormat="1" ht="18" customHeight="1">
      <c r="A89" s="1570"/>
      <c r="F89" s="602"/>
      <c r="G89" s="602"/>
      <c r="H89" s="602"/>
      <c r="I89" s="602"/>
      <c r="L89" s="603"/>
      <c r="M89" s="603"/>
      <c r="N89" s="1494" t="s">
        <v>2628</v>
      </c>
      <c r="O89" s="1493" t="b">
        <f>AND(O78,O82=FALSE,O86=FALSE,O53=TRUE)</f>
        <v>0</v>
      </c>
      <c r="P89" s="1493" t="b">
        <f>AND(P78,P82=FALSE,P86=FALSE,P53=TRUE)</f>
        <v>0</v>
      </c>
      <c r="Q89" s="1493" t="b">
        <f>AND(Q78,Q82=FALSE,Q86=FALSE,Q53=TRUE)</f>
        <v>0</v>
      </c>
      <c r="R89" s="1493" t="b">
        <f>AND(R78,R82=FALSE,R86=FALSE,R53=TRUE)</f>
        <v>0</v>
      </c>
      <c r="S89" s="1494"/>
      <c r="U89" s="1458" t="s">
        <v>3316</v>
      </c>
      <c r="V89" s="1705">
        <f>V84-V87-V82</f>
        <v>0</v>
      </c>
      <c r="W89" s="1705">
        <f>W84-W87-W82</f>
        <v>0</v>
      </c>
      <c r="X89" s="1705">
        <f>X84-X87-X82</f>
        <v>0</v>
      </c>
      <c r="Y89" s="1705">
        <f>Y84-Y87-Y82</f>
        <v>0</v>
      </c>
      <c r="Z89" s="1494"/>
      <c r="AA89" s="596" t="s">
        <v>3495</v>
      </c>
    </row>
    <row r="90" spans="1:27" s="596" customFormat="1" ht="18" customHeight="1">
      <c r="A90" s="1570"/>
      <c r="L90" s="603"/>
      <c r="M90" s="603"/>
      <c r="N90" s="1500" t="s">
        <v>2629</v>
      </c>
      <c r="O90" s="1501" t="b">
        <f>AND(O89,F48&gt;0,F49&gt;0)</f>
        <v>0</v>
      </c>
      <c r="P90" s="1501" t="b">
        <f>AND(P89,G48&gt;0,G49&gt;0)</f>
        <v>0</v>
      </c>
      <c r="Q90" s="1501" t="b">
        <f>AND(Q89,H48&gt;0,H49&gt;0)</f>
        <v>0</v>
      </c>
      <c r="R90" s="1501" t="b">
        <f>AND(R89,I48&gt;0,I49&gt;0)</f>
        <v>0</v>
      </c>
      <c r="S90" s="1500" t="b">
        <f>OR(O90,P90,Q90,R90)</f>
        <v>0</v>
      </c>
      <c r="T90" s="1319" t="s">
        <v>2639</v>
      </c>
      <c r="U90" s="1464" t="s">
        <v>3494</v>
      </c>
      <c r="V90" s="1756">
        <f>V85-V88-V82</f>
        <v>0</v>
      </c>
      <c r="W90" s="1756">
        <f>W85-W88-W82</f>
        <v>0</v>
      </c>
      <c r="X90" s="1756">
        <f>X85-X88-X82</f>
        <v>0</v>
      </c>
      <c r="Y90" s="1756">
        <f>Y85-Y88-Y82</f>
        <v>0</v>
      </c>
      <c r="Z90" s="1492"/>
      <c r="AA90" s="596" t="s">
        <v>3495</v>
      </c>
    </row>
    <row r="91" spans="1:27" s="596" customFormat="1" ht="18" customHeight="1">
      <c r="A91" s="1570"/>
      <c r="L91" s="603"/>
      <c r="M91" s="603"/>
      <c r="N91" s="1494" t="s">
        <v>2633</v>
      </c>
      <c r="O91" s="1336">
        <f>IF(OR(O82,O86,O90),Entrées!F19,0)</f>
        <v>0</v>
      </c>
      <c r="P91" s="1336">
        <f>IF(OR(P82,P86,P90),Entrées!G19,0)</f>
        <v>0</v>
      </c>
      <c r="Q91" s="1336">
        <f>IF(OR(Q82,Q86,Q90),Entrées!H19,0)</f>
        <v>0</v>
      </c>
      <c r="R91" s="1336">
        <f>IF(OR(R82,R86,R90),Entrées!I19,0)</f>
        <v>0</v>
      </c>
      <c r="S91" s="822">
        <f>SUM(O91:R91)</f>
        <v>0</v>
      </c>
      <c r="T91" s="596" t="s">
        <v>321</v>
      </c>
    </row>
    <row r="92" spans="1:27" s="596" customFormat="1" ht="18" customHeight="1">
      <c r="A92" s="1570"/>
      <c r="L92" s="603"/>
      <c r="M92" s="603"/>
      <c r="N92" s="1339" t="s">
        <v>2642</v>
      </c>
      <c r="O92" s="1336">
        <f>IF(O91&gt;0,F48,0)</f>
        <v>0</v>
      </c>
      <c r="P92" s="1336">
        <f>IF(P91&gt;0,G48,0)</f>
        <v>0</v>
      </c>
      <c r="Q92" s="1336">
        <f>IF(Q91&gt;0,H48,0)</f>
        <v>0</v>
      </c>
      <c r="R92" s="1336">
        <f>IF(R91&gt;0,I48,0)</f>
        <v>0</v>
      </c>
      <c r="S92" s="822">
        <f>IF(S91&gt;0,(O91*O92+P91*P92+Q91*Q92+R91*R92)/S91,0)</f>
        <v>0</v>
      </c>
      <c r="T92" s="596" t="s">
        <v>524</v>
      </c>
    </row>
    <row r="93" spans="1:27" s="596" customFormat="1" ht="18" customHeight="1">
      <c r="A93" s="1570"/>
      <c r="L93" s="603"/>
      <c r="M93" s="603"/>
      <c r="N93" s="1504" t="s">
        <v>2643</v>
      </c>
      <c r="O93" s="1490">
        <f>IF(O91&gt;0,F49,0)</f>
        <v>0</v>
      </c>
      <c r="P93" s="1490">
        <f>IF(P91&gt;0,G49,0)</f>
        <v>0</v>
      </c>
      <c r="Q93" s="1490">
        <f>IF(Q91&gt;0,H49,0)</f>
        <v>0</v>
      </c>
      <c r="R93" s="1490">
        <f>IF(R91&gt;0,I49,0)</f>
        <v>0</v>
      </c>
      <c r="S93" s="823">
        <f>IF(S91&gt;0,(O91*O93+P91*P93+Q91*Q93+R91*R93)/S91,0)</f>
        <v>0</v>
      </c>
      <c r="T93" s="596" t="s">
        <v>524</v>
      </c>
    </row>
    <row r="94" spans="1:27" s="596" customFormat="1" ht="18" customHeight="1">
      <c r="A94" s="1570"/>
      <c r="F94" s="602"/>
      <c r="G94" s="602"/>
      <c r="H94" s="602"/>
      <c r="I94" s="602"/>
      <c r="L94" s="603"/>
      <c r="M94" s="603"/>
      <c r="N94" s="1175" t="s">
        <v>1861</v>
      </c>
      <c r="O94" s="1224">
        <f>IF(Kategorie1&lt;&gt;13,IF(OR(O82,O86,O90),O93*2,0),0)</f>
        <v>0</v>
      </c>
      <c r="P94" s="1224">
        <f>IF(Kategorie2&lt;&gt;13,IF(OR(P82,P86,P90),P93*2,0),0)</f>
        <v>0</v>
      </c>
      <c r="Q94" s="1224">
        <f>IF(Kategorie3&lt;&gt;13,IF(OR(Q82,Q86,Q90),Q93*2,0),0)</f>
        <v>0</v>
      </c>
      <c r="R94" s="1224">
        <f>IF(Kategorie4&lt;&gt;13,IF(OR(R82,R86,R90),R93*2,0),0)</f>
        <v>0</v>
      </c>
      <c r="S94" s="1176">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70"/>
      <c r="F95" s="602"/>
      <c r="G95" s="602"/>
      <c r="H95" s="602"/>
      <c r="I95" s="602"/>
      <c r="L95" s="603"/>
      <c r="M95" s="603"/>
      <c r="N95" s="1902" t="s">
        <v>2641</v>
      </c>
      <c r="O95" s="1917">
        <f>INDEX(Standardwerte!$AD$71:$AD$83,Kategorie1,1)/2</f>
        <v>0</v>
      </c>
      <c r="P95" s="1917">
        <f>INDEX(Standardwerte!$AD$71:$AD$83,Kategorie2,1)/2</f>
        <v>0</v>
      </c>
      <c r="Q95" s="1917">
        <f>INDEX(Standardwerte!$AD$71:$AD$83,Kategorie3,1)/2</f>
        <v>0</v>
      </c>
      <c r="R95" s="1917">
        <f>INDEX(Standardwerte!$AD$71:$AD$83,Kategorie4,1)/2</f>
        <v>0</v>
      </c>
      <c r="S95" s="1719"/>
      <c r="T95" s="5" t="s">
        <v>524</v>
      </c>
    </row>
    <row r="96" spans="1:27" s="596" customFormat="1" ht="18" customHeight="1">
      <c r="A96" s="1570"/>
      <c r="F96" s="602"/>
      <c r="G96" s="602"/>
      <c r="H96" s="602"/>
      <c r="I96" s="602"/>
      <c r="L96" s="603"/>
      <c r="M96" s="603"/>
      <c r="N96" s="1343" t="s">
        <v>4004</v>
      </c>
      <c r="O96" s="1916" t="b">
        <f>AND(O78,O86,Mieter1=FALSE)</f>
        <v>0</v>
      </c>
      <c r="P96" s="1916" t="b">
        <f>AND(P78,P86,Mieter2=FALSE)</f>
        <v>0</v>
      </c>
      <c r="Q96" s="1916" t="b">
        <f>AND(Q78,Q86,Mieter3=FALSE)</f>
        <v>0</v>
      </c>
      <c r="R96" s="1916" t="b">
        <f>AND(R78,R86,Mieter4=FALSE)</f>
        <v>0</v>
      </c>
      <c r="S96" s="1343"/>
    </row>
    <row r="97" spans="1:20" s="596" customFormat="1" ht="18" customHeight="1">
      <c r="A97" s="1570"/>
      <c r="F97" s="602"/>
      <c r="G97" s="602"/>
      <c r="H97" s="602"/>
      <c r="I97" s="602"/>
      <c r="L97" s="603"/>
      <c r="M97" s="603"/>
      <c r="N97" s="1709" t="s">
        <v>3207</v>
      </c>
      <c r="O97" s="1501" t="b">
        <f>IF(Mieter1,FALSE,AND(O78,O82=FALSE,O86=FALSE,O90=FALSE))</f>
        <v>0</v>
      </c>
      <c r="P97" s="1501" t="b">
        <f>IF(Mieter2,FALSE,AND(P78,P82=FALSE,P86=FALSE,P90=FALSE))</f>
        <v>0</v>
      </c>
      <c r="Q97" s="1501" t="b">
        <f>IF(Mieter3,FALSE,AND(Q78,Q82=FALSE,Q86=FALSE,Q90=FALSE))</f>
        <v>0</v>
      </c>
      <c r="R97" s="1501" t="b">
        <f>IF(Mieter4,FALSE,AND(R78,R82=FALSE,R86=FALSE,R90=FALSE))</f>
        <v>0</v>
      </c>
      <c r="S97" s="1500"/>
      <c r="T97" s="1319" t="s">
        <v>2640</v>
      </c>
    </row>
    <row r="98" spans="1:20" s="596" customFormat="1" ht="18" customHeight="1">
      <c r="A98" s="1570"/>
      <c r="F98" s="602"/>
      <c r="G98" s="602"/>
      <c r="H98" s="602"/>
      <c r="I98" s="602"/>
      <c r="L98" s="603"/>
      <c r="M98" s="603"/>
      <c r="N98" s="1494" t="s">
        <v>2634</v>
      </c>
      <c r="O98" s="1336">
        <f>IF(OR(O97,AND(O51=FALSE,O56=0)),Entrées!F19,0)</f>
        <v>0</v>
      </c>
      <c r="P98" s="1336">
        <f>IF(OR(P97,AND(P51=FALSE,P56=0)),Entrées!G19,0)</f>
        <v>0</v>
      </c>
      <c r="Q98" s="1336">
        <f>IF(OR(Q97,AND(Q51=FALSE,Q56=0)),Entrées!H19,0)</f>
        <v>0</v>
      </c>
      <c r="R98" s="1336">
        <f>IF(OR(R97,AND(R51=FALSE,R56=0)),Entrées!I19,0)</f>
        <v>0</v>
      </c>
      <c r="S98" s="822">
        <f>SUM(O98:R98)</f>
        <v>0</v>
      </c>
    </row>
    <row r="99" spans="1:20" s="596" customFormat="1" ht="18" customHeight="1">
      <c r="A99" s="1570"/>
      <c r="F99" s="602"/>
      <c r="G99" s="602"/>
      <c r="H99" s="602"/>
      <c r="I99" s="602"/>
      <c r="L99" s="603"/>
      <c r="M99" s="603"/>
      <c r="N99" s="1169" t="s">
        <v>1862</v>
      </c>
      <c r="O99" s="1152">
        <f>IF(O97,IF(F46=$N$12,0.8,1)*IF(F47=$N$12,0.8,1),1)</f>
        <v>1</v>
      </c>
      <c r="P99" s="1152">
        <f>IF(P97,IF(G46=$N$12,0.8,1)*IF(G47=$N$12,0.8,1),1)</f>
        <v>1</v>
      </c>
      <c r="Q99" s="1152">
        <f>IF(Q97,IF(H46=$N$12,0.8,1)*IF(H47=$N$12,0.8,1),1)</f>
        <v>1</v>
      </c>
      <c r="R99" s="1152">
        <f>IF(R97,IF(I46=$N$12,0.8,1)*IF(I47=$N$12,0.8,1),1)</f>
        <v>1</v>
      </c>
      <c r="S99" s="1169"/>
    </row>
    <row r="100" spans="1:20" s="596" customFormat="1" ht="18" customHeight="1">
      <c r="A100" s="1570"/>
      <c r="F100" s="602"/>
      <c r="G100" s="602"/>
      <c r="H100" s="602"/>
      <c r="I100" s="602"/>
      <c r="L100" s="603"/>
      <c r="M100" s="603"/>
      <c r="N100" s="1171" t="s">
        <v>1863</v>
      </c>
      <c r="O100" s="1181">
        <f>IF(O97,O99*O95,0)*2</f>
        <v>0</v>
      </c>
      <c r="P100" s="1182">
        <f>IF(P97,P99*P95,0)*2</f>
        <v>0</v>
      </c>
      <c r="Q100" s="1182">
        <f>IF(Q97,Q99*Q95,0)*2</f>
        <v>0</v>
      </c>
      <c r="R100" s="1144">
        <f>IF(R97,R99*R95,0)*2</f>
        <v>0</v>
      </c>
      <c r="S100" s="1174">
        <f>IF(EBF&gt;0,(IF(O97,O95*O98*O99,0)+IF(P97,P95*P98*P99,0)+IF(Q97,Q95*Q98*Q99,0)+IF(R97,R95*R98*R99,0))*2/(_EBF1+_EBF2+_EBF3+_EBF4),0)</f>
        <v>0</v>
      </c>
      <c r="T100" s="5" t="s">
        <v>524</v>
      </c>
    </row>
    <row r="101" spans="1:20" s="596" customFormat="1" ht="18" customHeight="1">
      <c r="A101" s="1570"/>
      <c r="F101" s="602"/>
      <c r="G101" s="602"/>
      <c r="H101" s="602"/>
      <c r="I101" s="602"/>
      <c r="L101" s="603"/>
      <c r="M101" s="603"/>
      <c r="N101" s="1512" t="s">
        <v>2649</v>
      </c>
    </row>
    <row r="102" spans="1:20" s="596" customFormat="1" ht="18" customHeight="1">
      <c r="A102" s="1570"/>
      <c r="F102" s="602"/>
      <c r="G102" s="602"/>
      <c r="H102" s="602"/>
      <c r="I102" s="602"/>
      <c r="L102" s="603"/>
      <c r="M102" s="603"/>
      <c r="N102" s="1140" t="s">
        <v>1825</v>
      </c>
      <c r="O102" s="725">
        <v>1</v>
      </c>
      <c r="P102" s="789">
        <v>2</v>
      </c>
      <c r="Q102" s="789">
        <v>3</v>
      </c>
      <c r="R102" s="1131">
        <v>4</v>
      </c>
      <c r="S102" s="1487" t="s">
        <v>2627</v>
      </c>
    </row>
    <row r="103" spans="1:20" s="596" customFormat="1" ht="18" customHeight="1">
      <c r="A103" s="1570"/>
      <c r="F103" s="602"/>
      <c r="G103" s="602"/>
      <c r="H103" s="602"/>
      <c r="I103" s="602"/>
      <c r="L103" s="603"/>
      <c r="M103" s="603"/>
      <c r="N103" s="1463" t="s">
        <v>2650</v>
      </c>
      <c r="O103" s="1513">
        <f>IF(Kategorie1&lt;&gt;13,Justificatif!G34*Justificatif!$N$52,0)</f>
        <v>0</v>
      </c>
      <c r="P103" s="1516">
        <f>IF(Kategorie2&lt;&gt;13,Justificatif!H34*Justificatif!$N$52,0)</f>
        <v>0</v>
      </c>
      <c r="Q103" s="1516">
        <f>IF(Kategorie3&lt;&gt;13,Justificatif!I34*Justificatif!$N$52,)</f>
        <v>0</v>
      </c>
      <c r="R103" s="1516">
        <f>IF(Kategorie4&lt;&gt;13,Justificatif!J34*Justificatif!$N$52,0)</f>
        <v>0</v>
      </c>
      <c r="S103" s="1517">
        <f>IF(EBF=0,0,(O103*_EBF1+P103*_EBF2+Q103*_EBF3+R103*_EBF4)/(_EBF1+_EBF2+_EBF3+_EBF4))</f>
        <v>0</v>
      </c>
    </row>
    <row r="104" spans="1:20" s="596" customFormat="1" ht="18" customHeight="1">
      <c r="A104" s="1570"/>
      <c r="F104" s="602"/>
      <c r="G104" s="602"/>
      <c r="H104" s="602"/>
      <c r="I104" s="602"/>
      <c r="L104" s="603"/>
      <c r="M104" s="603"/>
      <c r="N104" s="1458" t="s">
        <v>2651</v>
      </c>
      <c r="O104" s="846">
        <f>IF(Kategorie1&lt;&gt;13,(Justificatif!G39+Justificatif!G40)*2,0)</f>
        <v>0</v>
      </c>
      <c r="P104" s="849">
        <f>IF(Kategorie2&lt;&gt;13,(Justificatif!H39+Justificatif!H40)*2,0)</f>
        <v>0</v>
      </c>
      <c r="Q104" s="849">
        <f>IF(Kategorie3&lt;&gt;13,(Justificatif!I39+Justificatif!I40)*2,0)</f>
        <v>0</v>
      </c>
      <c r="R104" s="849">
        <f>IF(Kategorie4&lt;&gt;13,(Justificatif!J39+Justificatif!J40)*2,0)</f>
        <v>0</v>
      </c>
      <c r="S104" s="1518">
        <f>IF(EBF=0,0,(O104*_EBF1+P104*_EBF2+Q104*_EBF3+R104*_EBF4)/(_EBF1+_EBF2+_EBF3+_EBF4))</f>
        <v>0</v>
      </c>
    </row>
    <row r="105" spans="1:20" s="596" customFormat="1" ht="18" customHeight="1">
      <c r="A105" s="1570"/>
      <c r="F105" s="602"/>
      <c r="G105" s="602"/>
      <c r="H105" s="602"/>
      <c r="I105" s="602"/>
      <c r="L105" s="603"/>
      <c r="M105" s="603"/>
      <c r="N105" s="1464" t="s">
        <v>1824</v>
      </c>
      <c r="O105" s="1514">
        <f>O103+O104</f>
        <v>0</v>
      </c>
      <c r="P105" s="1515">
        <f>P103+P104</f>
        <v>0</v>
      </c>
      <c r="Q105" s="1515">
        <f>Q103+Q104</f>
        <v>0</v>
      </c>
      <c r="R105" s="1515">
        <f>R103+R104</f>
        <v>0</v>
      </c>
      <c r="S105" s="1519">
        <f>IF(EBF=0,0,(O105*_EBF1+P105*_EBF2+Q105*_EBF3+R105*_EBF4)/(_EBF1+_EBF2+_EBF3+_EBF4))</f>
        <v>0</v>
      </c>
    </row>
    <row r="106" spans="1:20" s="596" customFormat="1" ht="18" customHeight="1">
      <c r="A106" s="1570"/>
      <c r="F106" s="602"/>
      <c r="G106" s="602"/>
      <c r="H106" s="602"/>
      <c r="I106" s="602"/>
      <c r="L106" s="603"/>
      <c r="M106" s="603"/>
      <c r="N106" s="1644" t="s">
        <v>3087</v>
      </c>
      <c r="O106" s="1645">
        <f>IF(Kategorie1&lt;&gt;13,(Justificatif!G39)*2,0)</f>
        <v>0</v>
      </c>
      <c r="P106" s="1646">
        <f>IF(Kategorie2&lt;&gt;13,(Justificatif!H39)*2,0)</f>
        <v>0</v>
      </c>
      <c r="Q106" s="1646">
        <f>IF(Kategorie3&lt;&gt;13,(Justificatif!I39)*2,0)</f>
        <v>0</v>
      </c>
      <c r="R106" s="1646">
        <f>IF(Kategorie4&lt;&gt;13,(Justificatif!J39)*2,0)</f>
        <v>0</v>
      </c>
      <c r="S106" s="1507">
        <f>IF(EBF=0,0,(O106*_EBF1+P106*_EBF2+Q106*_EBF3+R106*_EBF4)/(_EBF1+_EBF2+_EBF3+_EBF4))</f>
        <v>0</v>
      </c>
    </row>
    <row r="107" spans="1:20" s="596" customFormat="1" ht="18" customHeight="1">
      <c r="A107" s="1570"/>
      <c r="F107" s="602"/>
      <c r="G107" s="602"/>
      <c r="H107" s="602"/>
      <c r="I107" s="602"/>
      <c r="L107" s="603"/>
      <c r="M107" s="603"/>
    </row>
    <row r="108" spans="1:20" s="596" customFormat="1" ht="18" customHeight="1">
      <c r="A108" s="1570"/>
      <c r="F108" s="602"/>
      <c r="G108" s="602"/>
      <c r="H108" s="602"/>
      <c r="I108" s="602"/>
      <c r="L108" s="603"/>
      <c r="M108" s="603"/>
      <c r="N108" s="1719" t="s">
        <v>3866</v>
      </c>
      <c r="O108" s="1197" t="b">
        <f>OR(Kategorie1=3,Kategorie2=3,Kategorie3=3,Kategorie4=3)</f>
        <v>0</v>
      </c>
      <c r="P108" s="1197" t="s">
        <v>3867</v>
      </c>
      <c r="Q108" s="1197"/>
      <c r="R108" s="1199"/>
    </row>
    <row r="109" spans="1:20" s="596" customFormat="1" ht="18" customHeight="1">
      <c r="A109" s="1570"/>
      <c r="F109" s="602"/>
      <c r="G109" s="602"/>
      <c r="H109" s="602"/>
      <c r="I109" s="602"/>
      <c r="L109" s="603"/>
      <c r="M109" s="603"/>
      <c r="N109" s="1902" t="s">
        <v>3868</v>
      </c>
      <c r="O109" s="1535">
        <f>IF(KategorieEFH,H56,0)</f>
        <v>0</v>
      </c>
      <c r="P109" s="1319" t="s">
        <v>672</v>
      </c>
    </row>
    <row r="110" spans="1:20" s="596" customFormat="1" ht="18" customHeight="1">
      <c r="A110" s="1570"/>
      <c r="F110" s="602"/>
      <c r="G110" s="602"/>
      <c r="H110" s="602"/>
      <c r="I110" s="602"/>
      <c r="L110" s="603"/>
      <c r="M110" s="603"/>
      <c r="N110" s="1902" t="s">
        <v>3869</v>
      </c>
      <c r="O110" s="1719" t="b">
        <v>1</v>
      </c>
    </row>
    <row r="111" spans="1:20" s="596" customFormat="1" ht="18" customHeight="1">
      <c r="A111" s="1570"/>
      <c r="F111" s="602"/>
      <c r="G111" s="602"/>
      <c r="H111" s="602"/>
      <c r="I111" s="602"/>
      <c r="L111" s="603"/>
      <c r="M111" s="603"/>
    </row>
    <row r="112" spans="1:20" s="596" customFormat="1" ht="18" customHeight="1">
      <c r="A112" s="1570"/>
      <c r="F112" s="602"/>
      <c r="G112" s="602"/>
      <c r="H112" s="602"/>
      <c r="I112" s="602"/>
      <c r="L112" s="603"/>
      <c r="M112" s="603"/>
    </row>
    <row r="113" spans="1:13" s="596" customFormat="1" ht="18" customHeight="1">
      <c r="A113" s="1570"/>
      <c r="F113" s="602"/>
      <c r="G113" s="602"/>
      <c r="H113" s="602"/>
      <c r="I113" s="602"/>
      <c r="L113" s="603"/>
      <c r="M113" s="603"/>
    </row>
    <row r="114" spans="1:13" s="596" customFormat="1" ht="18" customHeight="1">
      <c r="A114" s="1570"/>
      <c r="F114" s="602"/>
      <c r="G114" s="602"/>
      <c r="H114" s="602"/>
      <c r="I114" s="602"/>
      <c r="L114" s="603"/>
      <c r="M114" s="603"/>
    </row>
    <row r="115" spans="1:13" s="596" customFormat="1" ht="18" customHeight="1">
      <c r="A115" s="1570"/>
      <c r="F115" s="602"/>
      <c r="G115" s="602"/>
      <c r="H115" s="602"/>
      <c r="I115" s="602"/>
      <c r="L115" s="603"/>
      <c r="M115" s="603"/>
    </row>
    <row r="116" spans="1:13" s="596" customFormat="1" ht="18" customHeight="1">
      <c r="A116" s="1570"/>
      <c r="F116" s="602"/>
      <c r="G116" s="602"/>
      <c r="H116" s="602"/>
      <c r="I116" s="602"/>
      <c r="L116" s="603"/>
      <c r="M116" s="603"/>
    </row>
    <row r="117" spans="1:13" s="596" customFormat="1" ht="18" customHeight="1">
      <c r="A117" s="1570"/>
      <c r="F117" s="602"/>
      <c r="G117" s="602"/>
      <c r="H117" s="602"/>
      <c r="I117" s="602"/>
      <c r="L117" s="603"/>
      <c r="M117" s="603"/>
    </row>
    <row r="118" spans="1:13" s="596" customFormat="1" ht="18" customHeight="1">
      <c r="A118" s="1570"/>
      <c r="F118" s="602"/>
      <c r="G118" s="602"/>
      <c r="H118" s="602"/>
      <c r="I118" s="602"/>
      <c r="L118" s="603"/>
      <c r="M118" s="603"/>
    </row>
    <row r="119" spans="1:13" s="596" customFormat="1" ht="18" customHeight="1">
      <c r="A119" s="1570"/>
      <c r="F119" s="602"/>
      <c r="G119" s="602"/>
      <c r="H119" s="602"/>
      <c r="I119" s="602"/>
      <c r="L119" s="603"/>
      <c r="M119" s="603"/>
    </row>
    <row r="120" spans="1:13" s="596" customFormat="1" ht="18" customHeight="1">
      <c r="A120" s="1570"/>
      <c r="F120" s="602"/>
      <c r="G120" s="602"/>
      <c r="H120" s="602"/>
      <c r="I120" s="602"/>
      <c r="L120" s="603"/>
      <c r="M120" s="603"/>
    </row>
    <row r="121" spans="1:13" s="596" customFormat="1" ht="18" customHeight="1">
      <c r="A121" s="1570"/>
      <c r="F121" s="602"/>
      <c r="G121" s="602"/>
      <c r="H121" s="602"/>
      <c r="I121" s="602"/>
      <c r="L121" s="603"/>
      <c r="M121" s="603"/>
    </row>
    <row r="122" spans="1:13" s="596" customFormat="1" ht="18" customHeight="1">
      <c r="A122" s="1570"/>
      <c r="F122" s="602"/>
      <c r="G122" s="602"/>
      <c r="H122" s="602"/>
      <c r="I122" s="602"/>
      <c r="L122" s="603"/>
      <c r="M122" s="603"/>
    </row>
    <row r="123" spans="1:13" s="596" customFormat="1" ht="18" customHeight="1">
      <c r="A123" s="1570"/>
      <c r="F123" s="602"/>
      <c r="G123" s="602"/>
      <c r="H123" s="602"/>
      <c r="I123" s="602"/>
      <c r="L123" s="603"/>
      <c r="M123" s="603"/>
    </row>
    <row r="124" spans="1:13" s="596" customFormat="1" ht="18" customHeight="1">
      <c r="A124" s="1570"/>
      <c r="F124" s="602"/>
      <c r="G124" s="602"/>
      <c r="H124" s="602"/>
      <c r="I124" s="602"/>
      <c r="L124" s="603"/>
      <c r="M124" s="603"/>
    </row>
    <row r="125" spans="1:13" s="596" customFormat="1" ht="18" customHeight="1">
      <c r="A125" s="1570"/>
      <c r="F125" s="602"/>
      <c r="G125" s="602"/>
      <c r="H125" s="602"/>
      <c r="I125" s="602"/>
      <c r="L125" s="603"/>
      <c r="M125" s="603"/>
    </row>
    <row r="126" spans="1:13" s="596" customFormat="1" ht="18" customHeight="1">
      <c r="A126" s="1570"/>
      <c r="F126" s="602"/>
      <c r="G126" s="602"/>
      <c r="H126" s="602"/>
      <c r="I126" s="602"/>
      <c r="L126" s="603"/>
      <c r="M126" s="603"/>
    </row>
    <row r="127" spans="1:13" s="596" customFormat="1" ht="18" customHeight="1">
      <c r="A127" s="1570"/>
      <c r="F127" s="602"/>
      <c r="G127" s="602"/>
      <c r="H127" s="602"/>
      <c r="I127" s="602"/>
      <c r="L127" s="603"/>
      <c r="M127" s="603"/>
    </row>
    <row r="128" spans="1:13" s="596" customFormat="1" ht="18" customHeight="1">
      <c r="A128" s="1570"/>
      <c r="F128" s="602"/>
      <c r="G128" s="602"/>
      <c r="H128" s="602"/>
      <c r="I128" s="602"/>
      <c r="L128" s="603"/>
      <c r="M128" s="603"/>
    </row>
    <row r="129" spans="1:13" s="596" customFormat="1" ht="18" customHeight="1">
      <c r="A129" s="1570"/>
      <c r="F129" s="602"/>
      <c r="G129" s="602"/>
      <c r="H129" s="602"/>
      <c r="I129" s="602"/>
      <c r="L129" s="603"/>
      <c r="M129" s="603"/>
    </row>
    <row r="130" spans="1:13" s="596" customFormat="1" ht="18" customHeight="1">
      <c r="A130" s="1570"/>
      <c r="F130" s="602"/>
      <c r="G130" s="602"/>
      <c r="H130" s="602"/>
      <c r="I130" s="602"/>
      <c r="L130" s="603"/>
      <c r="M130" s="603"/>
    </row>
    <row r="131" spans="1:13" s="596" customFormat="1" ht="18" customHeight="1">
      <c r="A131" s="1570"/>
      <c r="F131" s="602"/>
      <c r="G131" s="602"/>
      <c r="H131" s="602"/>
      <c r="I131" s="602"/>
      <c r="L131" s="603"/>
      <c r="M131" s="603"/>
    </row>
    <row r="132" spans="1:13" s="596" customFormat="1" ht="18" customHeight="1">
      <c r="A132" s="1570"/>
      <c r="F132" s="602"/>
      <c r="G132" s="602"/>
      <c r="H132" s="602"/>
      <c r="I132" s="602"/>
      <c r="L132" s="603"/>
      <c r="M132" s="603"/>
    </row>
    <row r="133" spans="1:13" s="596" customFormat="1" ht="18" customHeight="1">
      <c r="A133" s="1570"/>
      <c r="F133" s="602"/>
      <c r="G133" s="602"/>
      <c r="H133" s="602"/>
      <c r="I133" s="602"/>
      <c r="L133" s="603"/>
      <c r="M133" s="603"/>
    </row>
    <row r="134" spans="1:13" s="596" customFormat="1" ht="18" customHeight="1">
      <c r="A134" s="1570"/>
      <c r="F134" s="602"/>
      <c r="G134" s="602"/>
      <c r="H134" s="602"/>
      <c r="I134" s="602"/>
      <c r="L134" s="603"/>
      <c r="M134" s="603"/>
    </row>
    <row r="135" spans="1:13" s="596" customFormat="1" ht="18" customHeight="1">
      <c r="A135" s="1570"/>
      <c r="F135" s="602"/>
      <c r="G135" s="602"/>
      <c r="H135" s="602"/>
      <c r="I135" s="602"/>
      <c r="L135" s="603"/>
      <c r="M135" s="603"/>
    </row>
    <row r="136" spans="1:13" s="596" customFormat="1" ht="18" customHeight="1">
      <c r="A136" s="1570"/>
      <c r="F136" s="602"/>
      <c r="G136" s="602"/>
      <c r="H136" s="602"/>
      <c r="I136" s="602"/>
      <c r="L136" s="603"/>
      <c r="M136" s="603"/>
    </row>
    <row r="137" spans="1:13" s="596" customFormat="1" ht="18" customHeight="1">
      <c r="A137" s="1570"/>
      <c r="F137" s="602"/>
      <c r="G137" s="602"/>
      <c r="H137" s="602"/>
      <c r="I137" s="602"/>
      <c r="L137" s="603"/>
      <c r="M137" s="603"/>
    </row>
    <row r="138" spans="1:13" s="596" customFormat="1" ht="18" customHeight="1">
      <c r="A138" s="1570"/>
      <c r="F138" s="602"/>
      <c r="G138" s="602"/>
      <c r="H138" s="602"/>
      <c r="I138" s="602"/>
      <c r="L138" s="603"/>
      <c r="M138" s="603"/>
    </row>
    <row r="139" spans="1:13" s="596" customFormat="1" ht="18" customHeight="1">
      <c r="A139" s="1570"/>
      <c r="F139" s="602"/>
      <c r="G139" s="602"/>
      <c r="H139" s="602"/>
      <c r="I139" s="602"/>
      <c r="L139" s="603"/>
      <c r="M139" s="603"/>
    </row>
    <row r="140" spans="1:13" s="596" customFormat="1" ht="18" customHeight="1">
      <c r="A140" s="1570"/>
      <c r="F140" s="602"/>
      <c r="G140" s="602"/>
      <c r="H140" s="602"/>
      <c r="I140" s="602"/>
      <c r="L140" s="603"/>
      <c r="M140" s="603"/>
    </row>
    <row r="141" spans="1:13" s="596" customFormat="1" ht="18" customHeight="1">
      <c r="A141" s="1570"/>
      <c r="F141" s="602"/>
      <c r="G141" s="602"/>
      <c r="H141" s="602"/>
      <c r="I141" s="602"/>
      <c r="L141" s="603"/>
      <c r="M141" s="603"/>
    </row>
    <row r="142" spans="1:13" s="596" customFormat="1" ht="18" customHeight="1">
      <c r="A142" s="1570"/>
      <c r="F142" s="602"/>
      <c r="G142" s="602"/>
      <c r="H142" s="602"/>
      <c r="I142" s="602"/>
      <c r="L142" s="603"/>
      <c r="M142" s="603"/>
    </row>
    <row r="143" spans="1:13" s="596" customFormat="1" ht="18" customHeight="1">
      <c r="A143" s="1570"/>
      <c r="F143" s="602"/>
      <c r="G143" s="602"/>
      <c r="H143" s="602"/>
      <c r="I143" s="602"/>
      <c r="L143" s="603"/>
      <c r="M143" s="603"/>
    </row>
    <row r="144" spans="1:13" s="596" customFormat="1" ht="18" customHeight="1">
      <c r="A144" s="1570"/>
      <c r="F144" s="602"/>
      <c r="G144" s="602"/>
      <c r="H144" s="602"/>
      <c r="I144" s="602"/>
      <c r="L144" s="603"/>
      <c r="M144" s="603"/>
    </row>
    <row r="145" spans="1:13" s="596" customFormat="1" ht="18" customHeight="1">
      <c r="A145" s="1570"/>
      <c r="F145" s="602"/>
      <c r="G145" s="602"/>
      <c r="H145" s="602"/>
      <c r="I145" s="602"/>
      <c r="L145" s="603"/>
      <c r="M145" s="603"/>
    </row>
    <row r="146" spans="1:13" s="596" customFormat="1" ht="18" customHeight="1">
      <c r="A146" s="1570"/>
      <c r="F146" s="602"/>
      <c r="G146" s="602"/>
      <c r="H146" s="602"/>
      <c r="I146" s="602"/>
      <c r="L146" s="603"/>
      <c r="M146" s="603"/>
    </row>
    <row r="147" spans="1:13" s="596" customFormat="1" ht="18" customHeight="1">
      <c r="A147" s="1570"/>
      <c r="F147" s="602"/>
      <c r="G147" s="602"/>
      <c r="H147" s="602"/>
      <c r="I147" s="602"/>
      <c r="L147" s="603"/>
      <c r="M147" s="603"/>
    </row>
    <row r="148" spans="1:13" s="596" customFormat="1" ht="18" customHeight="1">
      <c r="A148" s="1570"/>
      <c r="F148" s="602"/>
      <c r="G148" s="602"/>
      <c r="H148" s="602"/>
      <c r="I148" s="602"/>
      <c r="L148" s="603"/>
      <c r="M148" s="603"/>
    </row>
    <row r="149" spans="1:13" s="596" customFormat="1" ht="18" customHeight="1">
      <c r="A149" s="1570"/>
      <c r="F149" s="602"/>
      <c r="G149" s="602"/>
      <c r="H149" s="602"/>
      <c r="I149" s="602"/>
      <c r="L149" s="603"/>
      <c r="M149" s="603"/>
    </row>
    <row r="150" spans="1:13" s="596" customFormat="1" ht="18" customHeight="1">
      <c r="A150" s="1570"/>
      <c r="F150" s="602"/>
      <c r="G150" s="602"/>
      <c r="H150" s="602"/>
      <c r="I150" s="602"/>
      <c r="L150" s="603"/>
      <c r="M150" s="603"/>
    </row>
    <row r="151" spans="1:13" s="596" customFormat="1" ht="18" customHeight="1">
      <c r="A151" s="1570"/>
      <c r="F151" s="602"/>
      <c r="G151" s="602"/>
      <c r="H151" s="602"/>
      <c r="I151" s="602"/>
      <c r="L151" s="603"/>
      <c r="M151" s="603"/>
    </row>
    <row r="152" spans="1:13" s="596" customFormat="1" ht="18" customHeight="1">
      <c r="A152" s="1570"/>
      <c r="F152" s="602"/>
      <c r="G152" s="602"/>
      <c r="H152" s="602"/>
      <c r="I152" s="602"/>
      <c r="L152" s="603"/>
      <c r="M152" s="603"/>
    </row>
    <row r="153" spans="1:13" s="596" customFormat="1" ht="18" customHeight="1">
      <c r="A153" s="1570"/>
      <c r="F153" s="602"/>
      <c r="G153" s="602"/>
      <c r="H153" s="602"/>
      <c r="I153" s="602"/>
      <c r="L153" s="603"/>
      <c r="M153" s="603"/>
    </row>
    <row r="154" spans="1:13" s="596" customFormat="1" ht="18" customHeight="1">
      <c r="A154" s="1570"/>
      <c r="F154" s="602"/>
      <c r="G154" s="602"/>
      <c r="H154" s="602"/>
      <c r="I154" s="602"/>
      <c r="L154" s="603"/>
      <c r="M154" s="603"/>
    </row>
    <row r="155" spans="1:13" s="596" customFormat="1" ht="18" customHeight="1">
      <c r="A155" s="1570"/>
      <c r="F155" s="602"/>
      <c r="G155" s="602"/>
      <c r="H155" s="602"/>
      <c r="I155" s="602"/>
      <c r="L155" s="603"/>
      <c r="M155" s="603"/>
    </row>
    <row r="156" spans="1:13" s="596" customFormat="1" ht="18" customHeight="1">
      <c r="A156" s="1570"/>
      <c r="F156" s="602"/>
      <c r="G156" s="602"/>
      <c r="H156" s="602"/>
      <c r="I156" s="602"/>
      <c r="L156" s="603"/>
      <c r="M156" s="603"/>
    </row>
    <row r="157" spans="1:13" s="596" customFormat="1" ht="18" customHeight="1">
      <c r="A157" s="1570"/>
      <c r="F157" s="602"/>
      <c r="G157" s="602"/>
      <c r="H157" s="602"/>
      <c r="I157" s="602"/>
      <c r="L157" s="603"/>
      <c r="M157" s="603"/>
    </row>
    <row r="158" spans="1:13" s="596" customFormat="1" ht="18" customHeight="1">
      <c r="A158" s="1570"/>
      <c r="F158" s="602"/>
      <c r="G158" s="602"/>
      <c r="H158" s="602"/>
      <c r="I158" s="602"/>
      <c r="L158" s="603"/>
      <c r="M158" s="603"/>
    </row>
    <row r="159" spans="1:13" s="596" customFormat="1" ht="18" customHeight="1">
      <c r="A159" s="1570"/>
      <c r="F159" s="602"/>
      <c r="G159" s="602"/>
      <c r="H159" s="602"/>
      <c r="I159" s="602"/>
      <c r="L159" s="603"/>
      <c r="M159" s="603"/>
    </row>
    <row r="160" spans="1:13" s="596" customFormat="1" ht="18" customHeight="1">
      <c r="A160" s="1570"/>
      <c r="F160" s="602"/>
      <c r="G160" s="602"/>
      <c r="H160" s="602"/>
      <c r="I160" s="602"/>
      <c r="L160" s="603"/>
      <c r="M160" s="603"/>
    </row>
    <row r="161" spans="1:13" s="596" customFormat="1" ht="18" customHeight="1">
      <c r="A161" s="1570"/>
      <c r="F161" s="602"/>
      <c r="G161" s="602"/>
      <c r="H161" s="602"/>
      <c r="I161" s="602"/>
      <c r="L161" s="603"/>
      <c r="M161" s="603"/>
    </row>
    <row r="162" spans="1:13" s="596" customFormat="1" ht="18" customHeight="1">
      <c r="A162" s="1570"/>
      <c r="F162" s="602"/>
      <c r="G162" s="602"/>
      <c r="H162" s="602"/>
      <c r="I162" s="602"/>
      <c r="L162" s="603"/>
      <c r="M162" s="603"/>
    </row>
    <row r="163" spans="1:13" s="596" customFormat="1" ht="18" customHeight="1">
      <c r="A163" s="1570"/>
      <c r="F163" s="602"/>
      <c r="G163" s="602"/>
      <c r="H163" s="602"/>
      <c r="I163" s="602"/>
      <c r="L163" s="603"/>
      <c r="M163" s="603"/>
    </row>
    <row r="164" spans="1:13" s="596" customFormat="1" ht="18" customHeight="1">
      <c r="A164" s="1570"/>
      <c r="F164" s="602"/>
      <c r="G164" s="602"/>
      <c r="H164" s="602"/>
      <c r="I164" s="602"/>
      <c r="L164" s="603"/>
      <c r="M164" s="603"/>
    </row>
    <row r="165" spans="1:13" s="596" customFormat="1" ht="18" customHeight="1">
      <c r="A165" s="1570"/>
      <c r="F165" s="602"/>
      <c r="G165" s="602"/>
      <c r="H165" s="602"/>
      <c r="I165" s="602"/>
      <c r="L165" s="603"/>
      <c r="M165" s="603"/>
    </row>
    <row r="166" spans="1:13" s="596" customFormat="1" ht="18" customHeight="1">
      <c r="A166" s="1570"/>
      <c r="F166" s="602"/>
      <c r="G166" s="602"/>
      <c r="H166" s="602"/>
      <c r="I166" s="602"/>
      <c r="L166" s="603"/>
      <c r="M166" s="603"/>
    </row>
    <row r="167" spans="1:13" s="596" customFormat="1" ht="18" customHeight="1">
      <c r="A167" s="1570"/>
      <c r="F167" s="602"/>
      <c r="G167" s="602"/>
      <c r="H167" s="602"/>
      <c r="I167" s="602"/>
      <c r="L167" s="603"/>
      <c r="M167" s="603"/>
    </row>
    <row r="168" spans="1:13" s="596" customFormat="1" ht="18" customHeight="1">
      <c r="A168" s="1570"/>
      <c r="F168" s="602"/>
      <c r="G168" s="602"/>
      <c r="H168" s="602"/>
      <c r="I168" s="602"/>
      <c r="L168" s="603"/>
      <c r="M168" s="603"/>
    </row>
    <row r="169" spans="1:13" s="596" customFormat="1" ht="18" customHeight="1">
      <c r="A169" s="1570"/>
      <c r="F169" s="602"/>
      <c r="G169" s="602"/>
      <c r="H169" s="602"/>
      <c r="I169" s="602"/>
      <c r="L169" s="603"/>
      <c r="M169" s="603"/>
    </row>
    <row r="170" spans="1:13" s="596" customFormat="1" ht="18" customHeight="1">
      <c r="A170" s="1570"/>
      <c r="F170" s="602"/>
      <c r="G170" s="602"/>
      <c r="H170" s="602"/>
      <c r="I170" s="602"/>
      <c r="L170" s="603"/>
      <c r="M170" s="603"/>
    </row>
    <row r="171" spans="1:13" s="596" customFormat="1" ht="18" customHeight="1">
      <c r="A171" s="1570"/>
      <c r="F171" s="602"/>
      <c r="G171" s="602"/>
      <c r="H171" s="602"/>
      <c r="I171" s="602"/>
      <c r="L171" s="603"/>
      <c r="M171" s="603"/>
    </row>
    <row r="172" spans="1:13" s="596" customFormat="1" ht="18" customHeight="1">
      <c r="A172" s="1570"/>
      <c r="F172" s="602"/>
      <c r="G172" s="602"/>
      <c r="H172" s="602"/>
      <c r="I172" s="602"/>
      <c r="L172" s="603"/>
      <c r="M172" s="603"/>
    </row>
    <row r="173" spans="1:13" s="596" customFormat="1" ht="18" customHeight="1">
      <c r="A173" s="1570"/>
      <c r="F173" s="602"/>
      <c r="G173" s="602"/>
      <c r="H173" s="602"/>
      <c r="I173" s="602"/>
      <c r="L173" s="603"/>
      <c r="M173" s="603"/>
    </row>
    <row r="174" spans="1:13" s="596" customFormat="1" ht="18" customHeight="1">
      <c r="A174" s="1570"/>
      <c r="F174" s="602"/>
      <c r="G174" s="602"/>
      <c r="H174" s="602"/>
      <c r="I174" s="602"/>
      <c r="L174" s="603"/>
      <c r="M174" s="603"/>
    </row>
    <row r="175" spans="1:13" s="596" customFormat="1" ht="18" customHeight="1">
      <c r="A175" s="1570"/>
      <c r="F175" s="602"/>
      <c r="G175" s="602"/>
      <c r="H175" s="602"/>
      <c r="I175" s="602"/>
      <c r="L175" s="603"/>
      <c r="M175" s="603"/>
    </row>
    <row r="176" spans="1:13" s="596" customFormat="1" ht="18" customHeight="1">
      <c r="A176" s="1570"/>
      <c r="F176" s="602"/>
      <c r="G176" s="602"/>
      <c r="H176" s="602"/>
      <c r="I176" s="602"/>
      <c r="L176" s="603"/>
      <c r="M176" s="603"/>
    </row>
    <row r="177" spans="1:13" s="596" customFormat="1" ht="18" customHeight="1">
      <c r="A177" s="1570"/>
      <c r="F177" s="602"/>
      <c r="G177" s="602"/>
      <c r="H177" s="602"/>
      <c r="I177" s="602"/>
      <c r="L177" s="603"/>
      <c r="M177" s="603"/>
    </row>
    <row r="178" spans="1:13" s="596" customFormat="1" ht="18" customHeight="1">
      <c r="A178" s="1570"/>
      <c r="F178" s="602"/>
      <c r="G178" s="602"/>
      <c r="H178" s="602"/>
      <c r="I178" s="602"/>
      <c r="L178" s="603"/>
      <c r="M178" s="603"/>
    </row>
    <row r="179" spans="1:13" s="596" customFormat="1" ht="18" customHeight="1">
      <c r="A179" s="1570"/>
      <c r="F179" s="602"/>
      <c r="G179" s="602"/>
      <c r="H179" s="602"/>
      <c r="I179" s="602"/>
      <c r="L179" s="603"/>
      <c r="M179" s="603"/>
    </row>
    <row r="180" spans="1:13" s="596" customFormat="1" ht="18" customHeight="1">
      <c r="A180" s="1570"/>
      <c r="F180" s="602"/>
      <c r="G180" s="602"/>
      <c r="H180" s="602"/>
      <c r="I180" s="602"/>
      <c r="L180" s="603"/>
      <c r="M180" s="603"/>
    </row>
    <row r="181" spans="1:13" s="596" customFormat="1" ht="18" customHeight="1">
      <c r="A181" s="1570"/>
      <c r="F181" s="602"/>
      <c r="G181" s="602"/>
      <c r="H181" s="602"/>
      <c r="I181" s="602"/>
      <c r="L181" s="603"/>
      <c r="M181" s="603"/>
    </row>
    <row r="182" spans="1:13" s="596" customFormat="1" ht="18" customHeight="1">
      <c r="A182" s="1570"/>
      <c r="F182" s="602"/>
      <c r="G182" s="602"/>
      <c r="H182" s="602"/>
      <c r="I182" s="602"/>
      <c r="L182" s="603"/>
      <c r="M182" s="603"/>
    </row>
    <row r="183" spans="1:13" s="596" customFormat="1" ht="18" customHeight="1">
      <c r="A183" s="1570"/>
      <c r="F183" s="602"/>
      <c r="G183" s="602"/>
      <c r="H183" s="602"/>
      <c r="I183" s="602"/>
      <c r="L183" s="603"/>
      <c r="M183" s="603"/>
    </row>
    <row r="184" spans="1:13" s="596" customFormat="1" ht="18" customHeight="1">
      <c r="A184" s="1570"/>
      <c r="F184" s="602"/>
      <c r="G184" s="602"/>
      <c r="H184" s="602"/>
      <c r="I184" s="602"/>
      <c r="L184" s="603"/>
      <c r="M184" s="603"/>
    </row>
    <row r="185" spans="1:13" s="596" customFormat="1" ht="18" customHeight="1">
      <c r="A185" s="1570"/>
      <c r="F185" s="602"/>
      <c r="G185" s="602"/>
      <c r="H185" s="602"/>
      <c r="I185" s="602"/>
      <c r="L185" s="603"/>
      <c r="M185" s="603"/>
    </row>
    <row r="186" spans="1:13" s="596" customFormat="1" ht="18" customHeight="1">
      <c r="A186" s="1570"/>
      <c r="F186" s="602"/>
      <c r="G186" s="602"/>
      <c r="H186" s="602"/>
      <c r="I186" s="602"/>
      <c r="L186" s="603"/>
      <c r="M186" s="603"/>
    </row>
    <row r="187" spans="1:13" s="596" customFormat="1" ht="18" customHeight="1">
      <c r="A187" s="1570"/>
      <c r="F187" s="602"/>
      <c r="G187" s="602"/>
      <c r="H187" s="602"/>
      <c r="I187" s="602"/>
      <c r="L187" s="603"/>
      <c r="M187" s="603"/>
    </row>
    <row r="188" spans="1:13" s="596" customFormat="1" ht="18" customHeight="1">
      <c r="A188" s="1570"/>
      <c r="F188" s="602"/>
      <c r="G188" s="602"/>
      <c r="H188" s="602"/>
      <c r="I188" s="602"/>
      <c r="L188" s="603"/>
      <c r="M188" s="603"/>
    </row>
    <row r="189" spans="1:13" s="596" customFormat="1" ht="18" customHeight="1">
      <c r="A189" s="1570"/>
      <c r="F189" s="602"/>
      <c r="G189" s="602"/>
      <c r="H189" s="602"/>
      <c r="I189" s="602"/>
      <c r="L189" s="603"/>
      <c r="M189" s="603"/>
    </row>
    <row r="190" spans="1:13" s="596" customFormat="1" ht="18" customHeight="1">
      <c r="A190" s="1570"/>
      <c r="F190" s="602"/>
      <c r="G190" s="602"/>
      <c r="H190" s="602"/>
      <c r="I190" s="602"/>
      <c r="L190" s="603"/>
      <c r="M190" s="603"/>
    </row>
    <row r="191" spans="1:13" s="596" customFormat="1" ht="18" customHeight="1">
      <c r="A191" s="1570"/>
      <c r="F191" s="602"/>
      <c r="G191" s="602"/>
      <c r="H191" s="602"/>
      <c r="I191" s="602"/>
      <c r="L191" s="603"/>
      <c r="M191" s="603"/>
    </row>
    <row r="192" spans="1:13" s="596" customFormat="1" ht="18" customHeight="1">
      <c r="A192" s="1570"/>
      <c r="F192" s="602"/>
      <c r="G192" s="602"/>
      <c r="H192" s="602"/>
      <c r="I192" s="602"/>
      <c r="L192" s="603"/>
      <c r="M192" s="603"/>
    </row>
    <row r="193" spans="1:13" s="596" customFormat="1" ht="18" customHeight="1">
      <c r="A193" s="1570"/>
      <c r="F193" s="602"/>
      <c r="G193" s="602"/>
      <c r="H193" s="602"/>
      <c r="I193" s="602"/>
      <c r="L193" s="603"/>
      <c r="M193" s="603"/>
    </row>
    <row r="194" spans="1:13" s="596" customFormat="1" ht="18" customHeight="1">
      <c r="A194" s="1570"/>
      <c r="F194" s="602"/>
      <c r="G194" s="602"/>
      <c r="H194" s="602"/>
      <c r="I194" s="602"/>
      <c r="L194" s="603"/>
      <c r="M194" s="603"/>
    </row>
    <row r="195" spans="1:13" s="596" customFormat="1" ht="18" customHeight="1">
      <c r="A195" s="1570"/>
      <c r="F195" s="602"/>
      <c r="G195" s="602"/>
      <c r="H195" s="602"/>
      <c r="I195" s="602"/>
      <c r="L195" s="603"/>
      <c r="M195" s="603"/>
    </row>
    <row r="196" spans="1:13" s="596" customFormat="1" ht="18" customHeight="1">
      <c r="A196" s="1570"/>
      <c r="F196" s="602"/>
      <c r="G196" s="602"/>
      <c r="H196" s="602"/>
      <c r="I196" s="602"/>
      <c r="L196" s="603"/>
      <c r="M196" s="603"/>
    </row>
    <row r="197" spans="1:13" s="596" customFormat="1" ht="18" customHeight="1">
      <c r="A197" s="1570"/>
      <c r="F197" s="602"/>
      <c r="G197" s="602"/>
      <c r="H197" s="602"/>
      <c r="I197" s="602"/>
      <c r="L197" s="603"/>
      <c r="M197" s="603"/>
    </row>
    <row r="198" spans="1:13" s="596" customFormat="1" ht="18" customHeight="1">
      <c r="A198" s="1570"/>
      <c r="F198" s="602"/>
      <c r="G198" s="602"/>
      <c r="H198" s="602"/>
      <c r="I198" s="602"/>
      <c r="L198" s="603"/>
      <c r="M198" s="603"/>
    </row>
    <row r="199" spans="1:13" s="596" customFormat="1" ht="18" customHeight="1">
      <c r="A199" s="1570"/>
      <c r="F199" s="602"/>
      <c r="G199" s="602"/>
      <c r="H199" s="602"/>
      <c r="I199" s="602"/>
      <c r="L199" s="603"/>
      <c r="M199" s="603"/>
    </row>
    <row r="200" spans="1:13" s="596" customFormat="1" ht="18" customHeight="1">
      <c r="A200" s="1570"/>
      <c r="F200" s="602"/>
      <c r="G200" s="602"/>
      <c r="H200" s="602"/>
      <c r="I200" s="602"/>
      <c r="L200" s="603"/>
      <c r="M200" s="603"/>
    </row>
    <row r="201" spans="1:13" s="596" customFormat="1" ht="18" customHeight="1">
      <c r="A201" s="1570"/>
      <c r="F201" s="602"/>
      <c r="G201" s="602"/>
      <c r="H201" s="602"/>
      <c r="I201" s="602"/>
      <c r="L201" s="603"/>
      <c r="M201" s="603"/>
    </row>
    <row r="202" spans="1:13" s="596" customFormat="1" ht="18" customHeight="1">
      <c r="A202" s="1570"/>
      <c r="F202" s="602"/>
      <c r="G202" s="602"/>
      <c r="H202" s="602"/>
      <c r="I202" s="602"/>
      <c r="L202" s="603"/>
      <c r="M202" s="603"/>
    </row>
    <row r="203" spans="1:13" s="596" customFormat="1" ht="18" customHeight="1">
      <c r="A203" s="1570"/>
      <c r="F203" s="602"/>
      <c r="G203" s="602"/>
      <c r="H203" s="602"/>
      <c r="I203" s="602"/>
      <c r="L203" s="603"/>
      <c r="M203" s="603"/>
    </row>
    <row r="204" spans="1:13" s="596" customFormat="1" ht="18" customHeight="1">
      <c r="A204" s="1570"/>
      <c r="F204" s="602"/>
      <c r="G204" s="602"/>
      <c r="H204" s="602"/>
      <c r="I204" s="602"/>
      <c r="L204" s="603"/>
      <c r="M204" s="603"/>
    </row>
    <row r="205" spans="1:13" s="596" customFormat="1" ht="18" customHeight="1">
      <c r="A205" s="1570"/>
      <c r="F205" s="602"/>
      <c r="G205" s="602"/>
      <c r="H205" s="602"/>
      <c r="I205" s="602"/>
      <c r="L205" s="603"/>
      <c r="M205" s="603"/>
    </row>
    <row r="206" spans="1:13" s="596" customFormat="1" ht="18" customHeight="1">
      <c r="A206" s="1570"/>
      <c r="F206" s="602"/>
      <c r="G206" s="602"/>
      <c r="H206" s="602"/>
      <c r="I206" s="602"/>
      <c r="L206" s="603"/>
      <c r="M206" s="603"/>
    </row>
    <row r="207" spans="1:13" s="596" customFormat="1" ht="18" customHeight="1">
      <c r="A207" s="1570"/>
      <c r="F207" s="602"/>
      <c r="G207" s="602"/>
      <c r="H207" s="602"/>
      <c r="I207" s="602"/>
      <c r="L207" s="603"/>
      <c r="M207" s="603"/>
    </row>
    <row r="208" spans="1:13" s="596" customFormat="1" ht="18" customHeight="1">
      <c r="A208" s="1570"/>
      <c r="F208" s="602"/>
      <c r="G208" s="602"/>
      <c r="H208" s="602"/>
      <c r="I208" s="602"/>
      <c r="L208" s="603"/>
      <c r="M208" s="603"/>
    </row>
    <row r="209" spans="1:13" s="596" customFormat="1" ht="18" customHeight="1">
      <c r="A209" s="1570"/>
      <c r="F209" s="602"/>
      <c r="G209" s="602"/>
      <c r="H209" s="602"/>
      <c r="I209" s="602"/>
      <c r="L209" s="603"/>
      <c r="M209" s="603"/>
    </row>
    <row r="210" spans="1:13" s="596" customFormat="1" ht="18" customHeight="1">
      <c r="A210" s="1570"/>
      <c r="F210" s="602"/>
      <c r="G210" s="602"/>
      <c r="H210" s="602"/>
      <c r="I210" s="602"/>
      <c r="L210" s="603"/>
      <c r="M210" s="603"/>
    </row>
    <row r="211" spans="1:13" s="596" customFormat="1" ht="18" customHeight="1">
      <c r="A211" s="1570"/>
      <c r="F211" s="602"/>
      <c r="G211" s="602"/>
      <c r="H211" s="602"/>
      <c r="I211" s="602"/>
      <c r="L211" s="603"/>
      <c r="M211" s="603"/>
    </row>
    <row r="212" spans="1:13" s="596" customFormat="1" ht="18" customHeight="1">
      <c r="A212" s="1570"/>
      <c r="F212" s="602"/>
      <c r="G212" s="602"/>
      <c r="H212" s="602"/>
      <c r="I212" s="602"/>
      <c r="L212" s="603"/>
      <c r="M212" s="603"/>
    </row>
    <row r="213" spans="1:13" s="596" customFormat="1" ht="18" customHeight="1">
      <c r="A213" s="1570"/>
      <c r="F213" s="602"/>
      <c r="G213" s="602"/>
      <c r="H213" s="602"/>
      <c r="I213" s="602"/>
      <c r="L213" s="603"/>
      <c r="M213" s="603"/>
    </row>
    <row r="214" spans="1:13" s="596" customFormat="1" ht="18" customHeight="1">
      <c r="A214" s="1570"/>
      <c r="F214" s="602"/>
      <c r="G214" s="602"/>
      <c r="H214" s="602"/>
      <c r="I214" s="602"/>
      <c r="L214" s="603"/>
      <c r="M214" s="603"/>
    </row>
    <row r="215" spans="1:13" s="596" customFormat="1" ht="18" customHeight="1">
      <c r="A215" s="1570"/>
      <c r="F215" s="602"/>
      <c r="G215" s="602"/>
      <c r="H215" s="602"/>
      <c r="I215" s="602"/>
      <c r="L215" s="603"/>
      <c r="M215" s="603"/>
    </row>
    <row r="216" spans="1:13" s="596" customFormat="1" ht="18" customHeight="1">
      <c r="A216" s="1570"/>
      <c r="F216" s="602"/>
      <c r="G216" s="602"/>
      <c r="H216" s="602"/>
      <c r="I216" s="602"/>
      <c r="L216" s="603"/>
      <c r="M216" s="603"/>
    </row>
    <row r="217" spans="1:13" s="596" customFormat="1" ht="18" customHeight="1">
      <c r="A217" s="1570"/>
      <c r="F217" s="602"/>
      <c r="G217" s="602"/>
      <c r="H217" s="602"/>
      <c r="I217" s="602"/>
      <c r="L217" s="603"/>
      <c r="M217" s="603"/>
    </row>
    <row r="218" spans="1:13" s="596" customFormat="1" ht="18" customHeight="1">
      <c r="A218" s="1570"/>
      <c r="F218" s="602"/>
      <c r="G218" s="602"/>
      <c r="H218" s="602"/>
      <c r="I218" s="602"/>
      <c r="L218" s="603"/>
      <c r="M218" s="603"/>
    </row>
    <row r="219" spans="1:13" s="596" customFormat="1" ht="18" customHeight="1">
      <c r="A219" s="1570"/>
      <c r="F219" s="602"/>
      <c r="G219" s="602"/>
      <c r="H219" s="602"/>
      <c r="I219" s="602"/>
      <c r="L219" s="603"/>
      <c r="M219" s="603"/>
    </row>
    <row r="220" spans="1:13" s="596" customFormat="1" ht="18" customHeight="1">
      <c r="A220" s="1570"/>
      <c r="F220" s="602"/>
      <c r="G220" s="602"/>
      <c r="H220" s="602"/>
      <c r="I220" s="602"/>
      <c r="L220" s="603"/>
      <c r="M220" s="603"/>
    </row>
    <row r="221" spans="1:13" s="596" customFormat="1" ht="18" customHeight="1">
      <c r="A221" s="1570"/>
      <c r="F221" s="602"/>
      <c r="G221" s="602"/>
      <c r="H221" s="602"/>
      <c r="I221" s="602"/>
      <c r="L221" s="603"/>
      <c r="M221" s="603"/>
    </row>
    <row r="222" spans="1:13" s="596" customFormat="1" ht="18" customHeight="1">
      <c r="A222" s="1570"/>
      <c r="F222" s="602"/>
      <c r="G222" s="602"/>
      <c r="H222" s="602"/>
      <c r="I222" s="602"/>
      <c r="L222" s="603"/>
      <c r="M222" s="603"/>
    </row>
    <row r="223" spans="1:13" s="596" customFormat="1" ht="18" customHeight="1">
      <c r="A223" s="1570"/>
      <c r="F223" s="602"/>
      <c r="G223" s="602"/>
      <c r="H223" s="602"/>
      <c r="I223" s="602"/>
      <c r="L223" s="603"/>
      <c r="M223" s="603"/>
    </row>
    <row r="224" spans="1:13" s="596" customFormat="1" ht="18" customHeight="1">
      <c r="A224" s="1570"/>
      <c r="F224" s="602"/>
      <c r="G224" s="602"/>
      <c r="H224" s="602"/>
      <c r="I224" s="602"/>
      <c r="L224" s="603"/>
      <c r="M224" s="603"/>
    </row>
    <row r="225" spans="1:13" s="596" customFormat="1" ht="18" customHeight="1">
      <c r="A225" s="1570"/>
      <c r="F225" s="602"/>
      <c r="G225" s="602"/>
      <c r="H225" s="602"/>
      <c r="I225" s="602"/>
      <c r="L225" s="603"/>
      <c r="M225" s="603"/>
    </row>
    <row r="226" spans="1:13" s="596" customFormat="1" ht="18" customHeight="1">
      <c r="A226" s="1570"/>
      <c r="F226" s="602"/>
      <c r="G226" s="602"/>
      <c r="H226" s="602"/>
      <c r="I226" s="602"/>
      <c r="L226" s="603"/>
      <c r="M226" s="603"/>
    </row>
    <row r="227" spans="1:13" s="596" customFormat="1" ht="18" customHeight="1">
      <c r="A227" s="1570"/>
      <c r="F227" s="602"/>
      <c r="G227" s="602"/>
      <c r="H227" s="602"/>
      <c r="I227" s="602"/>
      <c r="L227" s="603"/>
      <c r="M227" s="603"/>
    </row>
    <row r="228" spans="1:13" s="596" customFormat="1" ht="18" customHeight="1">
      <c r="A228" s="1570"/>
      <c r="F228" s="602"/>
      <c r="G228" s="602"/>
      <c r="H228" s="602"/>
      <c r="I228" s="602"/>
      <c r="L228" s="603"/>
      <c r="M228" s="603"/>
    </row>
    <row r="229" spans="1:13" s="596" customFormat="1" ht="18" customHeight="1">
      <c r="A229" s="1570"/>
      <c r="F229" s="602"/>
      <c r="G229" s="602"/>
      <c r="H229" s="602"/>
      <c r="I229" s="602"/>
      <c r="L229" s="603"/>
      <c r="M229" s="603"/>
    </row>
    <row r="230" spans="1:13" s="596" customFormat="1" ht="18" customHeight="1">
      <c r="A230" s="1570"/>
      <c r="F230" s="602"/>
      <c r="G230" s="602"/>
      <c r="H230" s="602"/>
      <c r="I230" s="602"/>
      <c r="L230" s="603"/>
      <c r="M230" s="603"/>
    </row>
    <row r="231" spans="1:13" s="596" customFormat="1" ht="18" customHeight="1">
      <c r="A231" s="1570"/>
      <c r="F231" s="602"/>
      <c r="G231" s="602"/>
      <c r="H231" s="602"/>
      <c r="I231" s="602"/>
      <c r="L231" s="603"/>
      <c r="M231" s="603"/>
    </row>
    <row r="232" spans="1:13" s="596" customFormat="1" ht="18" customHeight="1">
      <c r="A232" s="1570"/>
      <c r="F232" s="602"/>
      <c r="G232" s="602"/>
      <c r="H232" s="602"/>
      <c r="I232" s="602"/>
      <c r="L232" s="603"/>
      <c r="M232" s="603"/>
    </row>
    <row r="233" spans="1:13" s="596" customFormat="1" ht="18" customHeight="1">
      <c r="A233" s="1570"/>
      <c r="F233" s="602"/>
      <c r="G233" s="602"/>
      <c r="H233" s="602"/>
      <c r="I233" s="602"/>
      <c r="L233" s="603"/>
      <c r="M233" s="603"/>
    </row>
    <row r="234" spans="1:13" s="596" customFormat="1" ht="18" customHeight="1">
      <c r="A234" s="1570"/>
      <c r="F234" s="602"/>
      <c r="G234" s="602"/>
      <c r="H234" s="602"/>
      <c r="I234" s="602"/>
      <c r="L234" s="603"/>
      <c r="M234" s="603"/>
    </row>
    <row r="235" spans="1:13" s="596" customFormat="1" ht="18" customHeight="1">
      <c r="A235" s="1570"/>
      <c r="F235" s="602"/>
      <c r="G235" s="602"/>
      <c r="H235" s="602"/>
      <c r="I235" s="602"/>
      <c r="L235" s="603"/>
      <c r="M235" s="603"/>
    </row>
    <row r="236" spans="1:13" s="596" customFormat="1" ht="18" customHeight="1">
      <c r="A236" s="1570"/>
      <c r="F236" s="602"/>
      <c r="G236" s="602"/>
      <c r="H236" s="602"/>
      <c r="I236" s="602"/>
      <c r="L236" s="603"/>
      <c r="M236" s="603"/>
    </row>
    <row r="237" spans="1:13" s="596" customFormat="1" ht="18" customHeight="1">
      <c r="A237" s="1570"/>
      <c r="F237" s="602"/>
      <c r="G237" s="602"/>
      <c r="H237" s="602"/>
      <c r="I237" s="602"/>
      <c r="L237" s="603"/>
      <c r="M237" s="603"/>
    </row>
    <row r="238" spans="1:13" s="596" customFormat="1" ht="18" customHeight="1">
      <c r="A238" s="1570"/>
      <c r="F238" s="602"/>
      <c r="G238" s="602"/>
      <c r="H238" s="602"/>
      <c r="I238" s="602"/>
      <c r="L238" s="603"/>
      <c r="M238" s="603"/>
    </row>
    <row r="239" spans="1:13" s="596" customFormat="1" ht="18" customHeight="1">
      <c r="A239" s="1570"/>
      <c r="F239" s="602"/>
      <c r="G239" s="602"/>
      <c r="H239" s="602"/>
      <c r="I239" s="602"/>
      <c r="L239" s="603"/>
      <c r="M239" s="603"/>
    </row>
    <row r="240" spans="1:13" s="596" customFormat="1" ht="18" customHeight="1">
      <c r="A240" s="1570"/>
      <c r="F240" s="602"/>
      <c r="G240" s="602"/>
      <c r="H240" s="602"/>
      <c r="I240" s="602"/>
      <c r="L240" s="603"/>
      <c r="M240" s="603"/>
    </row>
    <row r="241" spans="1:13" s="596" customFormat="1" ht="18" customHeight="1">
      <c r="A241" s="1570"/>
      <c r="F241" s="602"/>
      <c r="G241" s="602"/>
      <c r="H241" s="602"/>
      <c r="I241" s="602"/>
      <c r="L241" s="603"/>
      <c r="M241" s="603"/>
    </row>
    <row r="242" spans="1:13" s="596" customFormat="1" ht="18" customHeight="1">
      <c r="A242" s="1570"/>
      <c r="F242" s="602"/>
      <c r="G242" s="602"/>
      <c r="H242" s="602"/>
      <c r="I242" s="602"/>
      <c r="L242" s="603"/>
      <c r="M242" s="603"/>
    </row>
    <row r="243" spans="1:13" s="596" customFormat="1" ht="18" customHeight="1">
      <c r="A243" s="1570"/>
      <c r="F243" s="602"/>
      <c r="G243" s="602"/>
      <c r="H243" s="602"/>
      <c r="I243" s="602"/>
      <c r="L243" s="603"/>
      <c r="M243" s="603"/>
    </row>
    <row r="244" spans="1:13" s="596" customFormat="1" ht="18" customHeight="1">
      <c r="A244" s="1570"/>
      <c r="F244" s="602"/>
      <c r="G244" s="602"/>
      <c r="H244" s="602"/>
      <c r="I244" s="602"/>
      <c r="L244" s="603"/>
      <c r="M244" s="603"/>
    </row>
    <row r="245" spans="1:13" s="596" customFormat="1" ht="18" customHeight="1">
      <c r="A245" s="1570"/>
      <c r="F245" s="602"/>
      <c r="G245" s="602"/>
      <c r="H245" s="602"/>
      <c r="I245" s="602"/>
      <c r="L245" s="603"/>
      <c r="M245" s="603"/>
    </row>
    <row r="246" spans="1:13" s="596" customFormat="1" ht="18" customHeight="1">
      <c r="A246" s="1570"/>
      <c r="F246" s="602"/>
      <c r="G246" s="602"/>
      <c r="H246" s="602"/>
      <c r="I246" s="602"/>
      <c r="L246" s="603"/>
      <c r="M246" s="603"/>
    </row>
    <row r="247" spans="1:13" s="596" customFormat="1" ht="18" customHeight="1">
      <c r="A247" s="1570"/>
      <c r="F247" s="602"/>
      <c r="G247" s="602"/>
      <c r="H247" s="602"/>
      <c r="I247" s="602"/>
      <c r="L247" s="603"/>
      <c r="M247" s="603"/>
    </row>
    <row r="248" spans="1:13" s="596" customFormat="1" ht="18" customHeight="1">
      <c r="A248" s="1570"/>
      <c r="F248" s="602"/>
      <c r="G248" s="602"/>
      <c r="H248" s="602"/>
      <c r="I248" s="602"/>
      <c r="L248" s="603"/>
      <c r="M248" s="603"/>
    </row>
    <row r="249" spans="1:13" s="596" customFormat="1" ht="18" customHeight="1">
      <c r="A249" s="1570"/>
      <c r="F249" s="602"/>
      <c r="G249" s="602"/>
      <c r="H249" s="602"/>
      <c r="I249" s="602"/>
      <c r="L249" s="603"/>
      <c r="M249" s="603"/>
    </row>
    <row r="250" spans="1:13" s="596" customFormat="1" ht="18" customHeight="1">
      <c r="A250" s="1570"/>
      <c r="F250" s="602"/>
      <c r="G250" s="602"/>
      <c r="H250" s="602"/>
      <c r="I250" s="602"/>
      <c r="L250" s="603"/>
      <c r="M250" s="603"/>
    </row>
    <row r="251" spans="1:13" s="596" customFormat="1" ht="18" customHeight="1">
      <c r="A251" s="1570"/>
      <c r="F251" s="602"/>
      <c r="G251" s="602"/>
      <c r="H251" s="602"/>
      <c r="I251" s="602"/>
      <c r="L251" s="603"/>
      <c r="M251" s="603"/>
    </row>
    <row r="252" spans="1:13" s="596" customFormat="1" ht="18" customHeight="1">
      <c r="A252" s="1570"/>
      <c r="F252" s="602"/>
      <c r="G252" s="602"/>
      <c r="H252" s="602"/>
      <c r="I252" s="602"/>
      <c r="L252" s="603"/>
      <c r="M252" s="603"/>
    </row>
    <row r="253" spans="1:13" s="596" customFormat="1" ht="18" customHeight="1">
      <c r="A253" s="1570"/>
      <c r="F253" s="602"/>
      <c r="G253" s="602"/>
      <c r="H253" s="602"/>
      <c r="I253" s="602"/>
      <c r="L253" s="603"/>
      <c r="M253" s="603"/>
    </row>
    <row r="254" spans="1:13" s="596" customFormat="1" ht="18" customHeight="1">
      <c r="A254" s="1570"/>
      <c r="F254" s="602"/>
      <c r="G254" s="602"/>
      <c r="H254" s="602"/>
      <c r="I254" s="602"/>
      <c r="L254" s="603"/>
      <c r="M254" s="603"/>
    </row>
    <row r="255" spans="1:13" s="596" customFormat="1" ht="18" customHeight="1">
      <c r="A255" s="1570"/>
      <c r="F255" s="602"/>
      <c r="G255" s="602"/>
      <c r="H255" s="602"/>
      <c r="I255" s="602"/>
      <c r="L255" s="603"/>
      <c r="M255" s="603"/>
    </row>
    <row r="256" spans="1:13" s="596" customFormat="1" ht="18" customHeight="1">
      <c r="A256" s="1570"/>
      <c r="F256" s="602"/>
      <c r="G256" s="602"/>
      <c r="H256" s="602"/>
      <c r="I256" s="602"/>
      <c r="L256" s="603"/>
      <c r="M256" s="603"/>
    </row>
    <row r="257" spans="1:13" s="596" customFormat="1" ht="18" customHeight="1">
      <c r="A257" s="1570"/>
      <c r="F257" s="602"/>
      <c r="G257" s="602"/>
      <c r="H257" s="602"/>
      <c r="I257" s="602"/>
      <c r="L257" s="603"/>
      <c r="M257" s="603"/>
    </row>
    <row r="258" spans="1:13" s="596" customFormat="1" ht="18" customHeight="1">
      <c r="A258" s="1570"/>
      <c r="F258" s="602"/>
      <c r="G258" s="602"/>
      <c r="H258" s="602"/>
      <c r="I258" s="602"/>
      <c r="L258" s="603"/>
      <c r="M258" s="603"/>
    </row>
    <row r="259" spans="1:13" s="596" customFormat="1" ht="18" customHeight="1">
      <c r="A259" s="1570"/>
      <c r="F259" s="602"/>
      <c r="G259" s="602"/>
      <c r="H259" s="602"/>
      <c r="I259" s="602"/>
      <c r="L259" s="603"/>
      <c r="M259" s="603"/>
    </row>
    <row r="260" spans="1:13" s="596" customFormat="1" ht="18" customHeight="1">
      <c r="A260" s="1570"/>
      <c r="F260" s="602"/>
      <c r="G260" s="602"/>
      <c r="H260" s="602"/>
      <c r="I260" s="602"/>
      <c r="L260" s="603"/>
      <c r="M260" s="603"/>
    </row>
    <row r="261" spans="1:13" s="596" customFormat="1" ht="18" customHeight="1">
      <c r="A261" s="1570"/>
      <c r="F261" s="602"/>
      <c r="G261" s="602"/>
      <c r="H261" s="602"/>
      <c r="I261" s="602"/>
      <c r="L261" s="603"/>
      <c r="M261" s="603"/>
    </row>
    <row r="262" spans="1:13" s="596" customFormat="1" ht="18" customHeight="1">
      <c r="A262" s="1570"/>
      <c r="F262" s="602"/>
      <c r="G262" s="602"/>
      <c r="H262" s="602"/>
      <c r="I262" s="602"/>
      <c r="L262" s="603"/>
      <c r="M262" s="603"/>
    </row>
    <row r="263" spans="1:13" s="596" customFormat="1" ht="18" customHeight="1">
      <c r="A263" s="1570"/>
      <c r="F263" s="602"/>
      <c r="G263" s="602"/>
      <c r="H263" s="602"/>
      <c r="I263" s="602"/>
      <c r="L263" s="603"/>
      <c r="M263" s="603"/>
    </row>
    <row r="264" spans="1:13" s="596" customFormat="1" ht="18" customHeight="1">
      <c r="A264" s="1570"/>
      <c r="F264" s="602"/>
      <c r="G264" s="602"/>
      <c r="H264" s="602"/>
      <c r="I264" s="602"/>
      <c r="L264" s="603"/>
      <c r="M264" s="603"/>
    </row>
    <row r="265" spans="1:13" s="596" customFormat="1" ht="18" customHeight="1">
      <c r="A265" s="1570"/>
      <c r="F265" s="602"/>
      <c r="G265" s="602"/>
      <c r="H265" s="602"/>
      <c r="I265" s="602"/>
      <c r="L265" s="603"/>
      <c r="M265" s="603"/>
    </row>
    <row r="266" spans="1:13" s="596" customFormat="1" ht="18" customHeight="1">
      <c r="A266" s="1570"/>
      <c r="F266" s="602"/>
      <c r="G266" s="602"/>
      <c r="H266" s="602"/>
      <c r="I266" s="602"/>
      <c r="L266" s="603"/>
      <c r="M266" s="603"/>
    </row>
    <row r="267" spans="1:13" s="596" customFormat="1" ht="18" customHeight="1">
      <c r="A267" s="1570"/>
      <c r="F267" s="602"/>
      <c r="G267" s="602"/>
      <c r="H267" s="602"/>
      <c r="I267" s="602"/>
      <c r="L267" s="603"/>
      <c r="M267" s="603"/>
    </row>
    <row r="268" spans="1:13" s="596" customFormat="1" ht="18" customHeight="1">
      <c r="A268" s="1570"/>
      <c r="F268" s="602"/>
      <c r="G268" s="602"/>
      <c r="H268" s="602"/>
      <c r="I268" s="602"/>
      <c r="L268" s="603"/>
      <c r="M268" s="603"/>
    </row>
    <row r="269" spans="1:13" s="596" customFormat="1" ht="18" customHeight="1">
      <c r="A269" s="1570"/>
      <c r="F269" s="602"/>
      <c r="G269" s="602"/>
      <c r="H269" s="602"/>
      <c r="I269" s="602"/>
      <c r="L269" s="603"/>
      <c r="M269" s="603"/>
    </row>
    <row r="270" spans="1:13" s="596" customFormat="1" ht="18" customHeight="1">
      <c r="A270" s="1570"/>
      <c r="F270" s="602"/>
      <c r="G270" s="602"/>
      <c r="H270" s="602"/>
      <c r="I270" s="602"/>
      <c r="L270" s="603"/>
      <c r="M270" s="603"/>
    </row>
    <row r="271" spans="1:13" s="596" customFormat="1" ht="18" customHeight="1">
      <c r="A271" s="1570"/>
      <c r="F271" s="602"/>
      <c r="G271" s="602"/>
      <c r="H271" s="602"/>
      <c r="I271" s="602"/>
      <c r="L271" s="603"/>
      <c r="M271" s="603"/>
    </row>
    <row r="272" spans="1:13" s="596" customFormat="1" ht="18" customHeight="1">
      <c r="A272" s="1570"/>
      <c r="F272" s="602"/>
      <c r="G272" s="602"/>
      <c r="H272" s="602"/>
      <c r="I272" s="602"/>
      <c r="L272" s="603"/>
      <c r="M272" s="603"/>
    </row>
    <row r="273" spans="1:13" s="596" customFormat="1" ht="18" customHeight="1">
      <c r="A273" s="1570"/>
      <c r="F273" s="602"/>
      <c r="G273" s="602"/>
      <c r="H273" s="602"/>
      <c r="I273" s="602"/>
      <c r="L273" s="603"/>
      <c r="M273" s="603"/>
    </row>
    <row r="274" spans="1:13" s="596" customFormat="1" ht="18" customHeight="1">
      <c r="A274" s="1570"/>
      <c r="F274" s="602"/>
      <c r="G274" s="602"/>
      <c r="H274" s="602"/>
      <c r="I274" s="602"/>
      <c r="L274" s="603"/>
      <c r="M274" s="603"/>
    </row>
    <row r="275" spans="1:13" s="596" customFormat="1" ht="18" customHeight="1">
      <c r="A275" s="1570"/>
      <c r="F275" s="602"/>
      <c r="G275" s="602"/>
      <c r="H275" s="602"/>
      <c r="I275" s="602"/>
      <c r="L275" s="603"/>
      <c r="M275" s="603"/>
    </row>
    <row r="276" spans="1:13" s="596" customFormat="1" ht="18" customHeight="1">
      <c r="A276" s="1570"/>
      <c r="F276" s="602"/>
      <c r="G276" s="602"/>
      <c r="H276" s="602"/>
      <c r="I276" s="602"/>
      <c r="L276" s="603"/>
      <c r="M276" s="603"/>
    </row>
    <row r="277" spans="1:13" s="596" customFormat="1" ht="18" customHeight="1">
      <c r="A277" s="1570"/>
      <c r="F277" s="602"/>
      <c r="G277" s="602"/>
      <c r="H277" s="602"/>
      <c r="I277" s="602"/>
      <c r="L277" s="603"/>
      <c r="M277" s="603"/>
    </row>
    <row r="278" spans="1:13" s="596" customFormat="1" ht="18" customHeight="1">
      <c r="A278" s="1570"/>
      <c r="F278" s="602"/>
      <c r="G278" s="602"/>
      <c r="H278" s="602"/>
      <c r="I278" s="602"/>
      <c r="L278" s="603"/>
      <c r="M278" s="603"/>
    </row>
    <row r="279" spans="1:13" s="596" customFormat="1" ht="18" customHeight="1">
      <c r="A279" s="1570"/>
      <c r="F279" s="602"/>
      <c r="G279" s="602"/>
      <c r="H279" s="602"/>
      <c r="I279" s="602"/>
      <c r="L279" s="603"/>
      <c r="M279" s="603"/>
    </row>
    <row r="280" spans="1:13" s="596" customFormat="1" ht="18" customHeight="1">
      <c r="A280" s="1570"/>
      <c r="F280" s="602"/>
      <c r="G280" s="602"/>
      <c r="H280" s="602"/>
      <c r="I280" s="602"/>
      <c r="L280" s="603"/>
      <c r="M280" s="603"/>
    </row>
    <row r="281" spans="1:13" s="596" customFormat="1" ht="18" customHeight="1">
      <c r="A281" s="1570"/>
      <c r="F281" s="602"/>
      <c r="G281" s="602"/>
      <c r="H281" s="602"/>
      <c r="I281" s="602"/>
      <c r="L281" s="603"/>
      <c r="M281" s="603"/>
    </row>
    <row r="282" spans="1:13" s="596" customFormat="1" ht="18" customHeight="1">
      <c r="A282" s="1570"/>
      <c r="F282" s="602"/>
      <c r="G282" s="602"/>
      <c r="H282" s="602"/>
      <c r="I282" s="602"/>
      <c r="L282" s="603"/>
      <c r="M282" s="603"/>
    </row>
    <row r="283" spans="1:13" s="596" customFormat="1" ht="18" customHeight="1">
      <c r="A283" s="1570"/>
      <c r="F283" s="602"/>
      <c r="G283" s="602"/>
      <c r="H283" s="602"/>
      <c r="I283" s="602"/>
      <c r="L283" s="603"/>
      <c r="M283" s="603"/>
    </row>
    <row r="284" spans="1:13" s="596" customFormat="1" ht="18" customHeight="1">
      <c r="A284" s="1570"/>
      <c r="F284" s="602"/>
      <c r="G284" s="602"/>
      <c r="H284" s="602"/>
      <c r="I284" s="602"/>
      <c r="L284" s="603"/>
      <c r="M284" s="603"/>
    </row>
    <row r="285" spans="1:13" s="596" customFormat="1" ht="18" customHeight="1">
      <c r="A285" s="1570"/>
      <c r="F285" s="602"/>
      <c r="G285" s="602"/>
      <c r="H285" s="602"/>
      <c r="I285" s="602"/>
      <c r="L285" s="603"/>
      <c r="M285" s="603"/>
    </row>
    <row r="286" spans="1:13" s="596" customFormat="1" ht="18" customHeight="1">
      <c r="A286" s="1570"/>
      <c r="F286" s="602"/>
      <c r="G286" s="602"/>
      <c r="H286" s="602"/>
      <c r="I286" s="602"/>
      <c r="L286" s="603"/>
      <c r="M286" s="603"/>
    </row>
    <row r="287" spans="1:13" s="596" customFormat="1" ht="18" customHeight="1">
      <c r="A287" s="1570"/>
      <c r="F287" s="602"/>
      <c r="G287" s="602"/>
      <c r="H287" s="602"/>
      <c r="I287" s="602"/>
      <c r="L287" s="603"/>
      <c r="M287" s="603"/>
    </row>
    <row r="288" spans="1:13" s="596" customFormat="1" ht="18" customHeight="1">
      <c r="A288" s="1570"/>
      <c r="F288" s="602"/>
      <c r="G288" s="602"/>
      <c r="H288" s="602"/>
      <c r="I288" s="602"/>
      <c r="L288" s="603"/>
      <c r="M288" s="603"/>
    </row>
    <row r="289" spans="1:13" s="596" customFormat="1" ht="18" customHeight="1">
      <c r="A289" s="1570"/>
      <c r="F289" s="602"/>
      <c r="G289" s="602"/>
      <c r="H289" s="602"/>
      <c r="I289" s="602"/>
      <c r="L289" s="603"/>
      <c r="M289" s="603"/>
    </row>
    <row r="290" spans="1:13" s="596" customFormat="1" ht="18" customHeight="1">
      <c r="A290" s="1570"/>
      <c r="F290" s="602"/>
      <c r="G290" s="602"/>
      <c r="H290" s="602"/>
      <c r="I290" s="602"/>
      <c r="L290" s="603"/>
      <c r="M290" s="603"/>
    </row>
    <row r="291" spans="1:13" s="596" customFormat="1" ht="18" customHeight="1">
      <c r="A291" s="1570"/>
      <c r="F291" s="602"/>
      <c r="G291" s="602"/>
      <c r="H291" s="602"/>
      <c r="I291" s="602"/>
      <c r="L291" s="603"/>
      <c r="M291" s="603"/>
    </row>
    <row r="292" spans="1:13" s="596" customFormat="1" ht="18" customHeight="1">
      <c r="A292" s="1570"/>
      <c r="F292" s="602"/>
      <c r="G292" s="602"/>
      <c r="H292" s="602"/>
      <c r="I292" s="602"/>
      <c r="L292" s="603"/>
      <c r="M292" s="603"/>
    </row>
    <row r="293" spans="1:13" s="596" customFormat="1" ht="18" customHeight="1">
      <c r="A293" s="1570"/>
      <c r="F293" s="602"/>
      <c r="G293" s="602"/>
      <c r="H293" s="602"/>
      <c r="I293" s="602"/>
      <c r="L293" s="603"/>
      <c r="M293" s="603"/>
    </row>
    <row r="294" spans="1:13" s="596" customFormat="1" ht="18" customHeight="1">
      <c r="A294" s="1570"/>
      <c r="F294" s="602"/>
      <c r="G294" s="602"/>
      <c r="H294" s="602"/>
      <c r="I294" s="602"/>
      <c r="L294" s="603"/>
      <c r="M294" s="603"/>
    </row>
    <row r="295" spans="1:13" s="596" customFormat="1" ht="18" customHeight="1">
      <c r="A295" s="1570"/>
      <c r="F295" s="602"/>
      <c r="G295" s="602"/>
      <c r="H295" s="602"/>
      <c r="I295" s="602"/>
      <c r="L295" s="603"/>
      <c r="M295" s="603"/>
    </row>
    <row r="296" spans="1:13" s="596" customFormat="1" ht="18" customHeight="1">
      <c r="A296" s="1570"/>
      <c r="F296" s="602"/>
      <c r="G296" s="602"/>
      <c r="H296" s="602"/>
      <c r="I296" s="602"/>
      <c r="L296" s="603"/>
      <c r="M296" s="603"/>
    </row>
    <row r="297" spans="1:13" s="596" customFormat="1" ht="18" customHeight="1">
      <c r="A297" s="1570"/>
      <c r="F297" s="602"/>
      <c r="G297" s="602"/>
      <c r="H297" s="602"/>
      <c r="I297" s="602"/>
      <c r="L297" s="603"/>
      <c r="M297" s="603"/>
    </row>
    <row r="298" spans="1:13" s="596" customFormat="1" ht="12.75">
      <c r="A298" s="1570"/>
      <c r="F298" s="602"/>
      <c r="G298" s="602"/>
      <c r="H298" s="602"/>
      <c r="I298" s="602"/>
      <c r="L298" s="603"/>
      <c r="M298" s="603"/>
    </row>
    <row r="299" spans="1:13" s="596" customFormat="1" ht="12.75">
      <c r="A299" s="1570"/>
      <c r="F299" s="602"/>
      <c r="G299" s="602"/>
      <c r="H299" s="602"/>
      <c r="I299" s="602"/>
      <c r="L299" s="603"/>
      <c r="M299" s="603"/>
    </row>
    <row r="300" spans="1:13" s="596" customFormat="1" ht="12.75">
      <c r="A300" s="1570"/>
      <c r="F300" s="602"/>
      <c r="G300" s="602"/>
      <c r="H300" s="602"/>
      <c r="I300" s="602"/>
      <c r="L300" s="603"/>
      <c r="M300" s="603"/>
    </row>
    <row r="301" spans="1:13" s="596" customFormat="1" ht="12.75">
      <c r="A301" s="1570"/>
      <c r="F301" s="602"/>
      <c r="G301" s="602"/>
      <c r="H301" s="602"/>
      <c r="I301" s="602"/>
      <c r="L301" s="603"/>
      <c r="M301" s="603"/>
    </row>
    <row r="302" spans="1:13" s="596" customFormat="1" ht="12.75">
      <c r="A302" s="1570"/>
      <c r="F302" s="602"/>
      <c r="G302" s="602"/>
      <c r="H302" s="602"/>
      <c r="I302" s="602"/>
      <c r="L302" s="603"/>
      <c r="M302" s="603"/>
    </row>
    <row r="303" spans="1:13" s="596" customFormat="1" ht="12.75">
      <c r="A303" s="1570"/>
      <c r="F303" s="602"/>
      <c r="G303" s="602"/>
      <c r="H303" s="602"/>
      <c r="I303" s="602"/>
      <c r="L303" s="603"/>
      <c r="M303" s="603"/>
    </row>
    <row r="304" spans="1:13" s="596" customFormat="1" ht="12.75">
      <c r="A304" s="1570"/>
      <c r="F304" s="602"/>
      <c r="G304" s="602"/>
      <c r="H304" s="602"/>
      <c r="I304" s="602"/>
      <c r="L304" s="603"/>
      <c r="M304" s="603"/>
    </row>
    <row r="305" spans="1:13" s="596" customFormat="1" ht="12.75">
      <c r="A305" s="1570"/>
      <c r="F305" s="602"/>
      <c r="G305" s="602"/>
      <c r="H305" s="602"/>
      <c r="I305" s="602"/>
      <c r="L305" s="603"/>
      <c r="M305" s="603"/>
    </row>
    <row r="306" spans="1:13" s="596" customFormat="1" ht="12.75">
      <c r="A306" s="1570"/>
      <c r="F306" s="602"/>
      <c r="G306" s="602"/>
      <c r="H306" s="602"/>
      <c r="I306" s="602"/>
      <c r="L306" s="603"/>
      <c r="M306" s="603"/>
    </row>
    <row r="307" spans="1:13" s="596" customFormat="1" ht="12.75">
      <c r="A307" s="1570"/>
      <c r="F307" s="602"/>
      <c r="G307" s="602"/>
      <c r="H307" s="602"/>
      <c r="I307" s="602"/>
      <c r="L307" s="603"/>
      <c r="M307" s="603"/>
    </row>
    <row r="308" spans="1:13" s="596" customFormat="1" ht="12.75">
      <c r="A308" s="1570"/>
      <c r="F308" s="602"/>
      <c r="G308" s="602"/>
      <c r="H308" s="602"/>
      <c r="I308" s="602"/>
      <c r="L308" s="603"/>
      <c r="M308" s="603"/>
    </row>
    <row r="309" spans="1:13" s="596" customFormat="1" ht="12.75">
      <c r="A309" s="1570"/>
      <c r="F309" s="602"/>
      <c r="G309" s="602"/>
      <c r="H309" s="602"/>
      <c r="I309" s="602"/>
      <c r="L309" s="603"/>
      <c r="M309" s="603"/>
    </row>
    <row r="310" spans="1:13" s="596" customFormat="1" ht="12.75">
      <c r="A310" s="1570"/>
      <c r="F310" s="602"/>
      <c r="G310" s="602"/>
      <c r="H310" s="602"/>
      <c r="I310" s="602"/>
      <c r="L310" s="603"/>
      <c r="M310" s="603"/>
    </row>
    <row r="311" spans="1:13" customFormat="1" ht="12.75">
      <c r="A311" s="1571"/>
      <c r="F311" s="1"/>
      <c r="G311" s="1"/>
      <c r="H311" s="1"/>
      <c r="I311" s="1"/>
      <c r="L311" s="302"/>
      <c r="M311" s="302"/>
    </row>
    <row r="312" spans="1:13" customFormat="1" ht="12.75">
      <c r="A312" s="1571"/>
      <c r="F312" s="1"/>
      <c r="G312" s="1"/>
      <c r="H312" s="1"/>
      <c r="I312" s="1"/>
      <c r="L312" s="302"/>
      <c r="M312" s="302"/>
    </row>
    <row r="313" spans="1:13" customFormat="1" ht="12.75">
      <c r="A313" s="1571"/>
      <c r="F313" s="1"/>
      <c r="G313" s="1"/>
      <c r="H313" s="1"/>
      <c r="I313" s="1"/>
      <c r="L313" s="302"/>
      <c r="M313" s="302"/>
    </row>
    <row r="314" spans="1:13" customFormat="1" ht="12.75">
      <c r="A314" s="1571"/>
      <c r="F314" s="1"/>
      <c r="G314" s="1"/>
      <c r="H314" s="1"/>
      <c r="I314" s="1"/>
      <c r="L314" s="302"/>
      <c r="M314" s="302"/>
    </row>
    <row r="315" spans="1:13" customFormat="1" ht="12.75">
      <c r="A315" s="1571"/>
      <c r="F315" s="1"/>
      <c r="G315" s="1"/>
      <c r="H315" s="1"/>
      <c r="I315" s="1"/>
      <c r="L315" s="302"/>
      <c r="M315" s="302"/>
    </row>
    <row r="316" spans="1:13" customFormat="1" ht="12.75">
      <c r="A316" s="1571"/>
      <c r="F316" s="1"/>
      <c r="G316" s="1"/>
      <c r="H316" s="1"/>
      <c r="I316" s="1"/>
      <c r="L316" s="302"/>
      <c r="M316" s="302"/>
    </row>
    <row r="317" spans="1:13" customFormat="1" ht="12.75">
      <c r="A317" s="1571"/>
      <c r="F317" s="1"/>
      <c r="G317" s="1"/>
      <c r="H317" s="1"/>
      <c r="I317" s="1"/>
      <c r="L317" s="302"/>
      <c r="M317" s="302"/>
    </row>
    <row r="318" spans="1:13" customFormat="1" ht="12.75">
      <c r="A318" s="1571"/>
      <c r="F318" s="1"/>
      <c r="G318" s="1"/>
      <c r="H318" s="1"/>
      <c r="I318" s="1"/>
      <c r="L318" s="302"/>
      <c r="M318" s="302"/>
    </row>
    <row r="319" spans="1:13" customFormat="1" ht="12.75">
      <c r="A319" s="1571"/>
      <c r="F319" s="1"/>
      <c r="G319" s="1"/>
      <c r="H319" s="1"/>
      <c r="I319" s="1"/>
      <c r="L319" s="302"/>
      <c r="M319" s="302"/>
    </row>
    <row r="320" spans="1:13" customFormat="1" ht="12.75">
      <c r="A320" s="1571"/>
      <c r="F320" s="1"/>
      <c r="G320" s="1"/>
      <c r="H320" s="1"/>
      <c r="I320" s="1"/>
      <c r="L320" s="302"/>
      <c r="M320" s="302"/>
    </row>
    <row r="321" spans="1:13" customFormat="1" ht="12.75">
      <c r="A321" s="1571"/>
      <c r="F321" s="1"/>
      <c r="G321" s="1"/>
      <c r="H321" s="1"/>
      <c r="I321" s="1"/>
      <c r="L321" s="302"/>
      <c r="M321" s="302"/>
    </row>
    <row r="322" spans="1:13" customFormat="1" ht="12.75">
      <c r="A322" s="1571"/>
      <c r="F322" s="1"/>
      <c r="G322" s="1"/>
      <c r="H322" s="1"/>
      <c r="I322" s="1"/>
      <c r="L322" s="302"/>
      <c r="M322" s="302"/>
    </row>
    <row r="323" spans="1:13" customFormat="1" ht="12.75">
      <c r="A323" s="1571"/>
      <c r="F323" s="1"/>
      <c r="G323" s="1"/>
      <c r="H323" s="1"/>
      <c r="I323" s="1"/>
      <c r="L323" s="302"/>
      <c r="M323" s="302"/>
    </row>
    <row r="324" spans="1:13" customFormat="1" ht="12.75">
      <c r="A324" s="1571"/>
      <c r="F324" s="1"/>
      <c r="G324" s="1"/>
      <c r="H324" s="1"/>
      <c r="I324" s="1"/>
      <c r="L324" s="302"/>
      <c r="M324" s="302"/>
    </row>
    <row r="325" spans="1:13" customFormat="1" ht="12.75">
      <c r="A325" s="1571"/>
      <c r="F325" s="1"/>
      <c r="G325" s="1"/>
      <c r="H325" s="1"/>
      <c r="I325" s="1"/>
      <c r="L325" s="302"/>
      <c r="M325" s="302"/>
    </row>
    <row r="326" spans="1:13" customFormat="1" ht="12.75">
      <c r="A326" s="1571"/>
      <c r="F326" s="1"/>
      <c r="G326" s="1"/>
      <c r="H326" s="1"/>
      <c r="I326" s="1"/>
      <c r="L326" s="302"/>
      <c r="M326" s="302"/>
    </row>
    <row r="327" spans="1:13" customFormat="1" ht="12.75">
      <c r="A327" s="1571"/>
      <c r="F327" s="1"/>
      <c r="G327" s="1"/>
      <c r="H327" s="1"/>
      <c r="I327" s="1"/>
      <c r="L327" s="302"/>
      <c r="M327" s="302"/>
    </row>
    <row r="328" spans="1:13" customFormat="1" ht="12.75">
      <c r="A328" s="1571"/>
      <c r="F328" s="1"/>
      <c r="G328" s="1"/>
      <c r="H328" s="1"/>
      <c r="I328" s="1"/>
      <c r="L328" s="302"/>
      <c r="M328" s="302"/>
    </row>
    <row r="329" spans="1:13" customFormat="1" ht="12.75">
      <c r="A329" s="1571"/>
      <c r="F329" s="1"/>
      <c r="G329" s="1"/>
      <c r="H329" s="1"/>
      <c r="I329" s="1"/>
      <c r="L329" s="302"/>
      <c r="M329" s="302"/>
    </row>
    <row r="330" spans="1:13" customFormat="1" ht="12.75">
      <c r="A330" s="1571"/>
      <c r="F330" s="1"/>
      <c r="G330" s="1"/>
      <c r="H330" s="1"/>
      <c r="I330" s="1"/>
      <c r="L330" s="302"/>
      <c r="M330" s="302"/>
    </row>
    <row r="331" spans="1:13" customFormat="1" ht="12.75">
      <c r="A331" s="1571"/>
      <c r="F331" s="1"/>
      <c r="G331" s="1"/>
      <c r="H331" s="1"/>
      <c r="I331" s="1"/>
      <c r="L331" s="302"/>
      <c r="M331" s="302"/>
    </row>
    <row r="332" spans="1:13" customFormat="1" ht="12.75">
      <c r="A332" s="1571"/>
      <c r="F332" s="1"/>
      <c r="G332" s="1"/>
      <c r="H332" s="1"/>
      <c r="I332" s="1"/>
      <c r="L332" s="302"/>
      <c r="M332" s="302"/>
    </row>
    <row r="333" spans="1:13" customFormat="1" ht="12.75">
      <c r="A333" s="1571"/>
      <c r="F333" s="1"/>
      <c r="G333" s="1"/>
      <c r="H333" s="1"/>
      <c r="I333" s="1"/>
      <c r="L333" s="302"/>
      <c r="M333" s="302"/>
    </row>
    <row r="334" spans="1:13" customFormat="1" ht="12.75">
      <c r="A334" s="1571"/>
      <c r="F334" s="1"/>
      <c r="G334" s="1"/>
      <c r="H334" s="1"/>
      <c r="I334" s="1"/>
      <c r="L334" s="302"/>
      <c r="M334" s="302"/>
    </row>
    <row r="335" spans="1:13" customFormat="1" ht="12.75">
      <c r="A335" s="1571"/>
      <c r="F335" s="1"/>
      <c r="G335" s="1"/>
      <c r="H335" s="1"/>
      <c r="I335" s="1"/>
      <c r="L335" s="302"/>
      <c r="M335" s="302"/>
    </row>
    <row r="336" spans="1:13" customFormat="1" ht="12.75">
      <c r="A336" s="1571"/>
      <c r="F336" s="1"/>
      <c r="G336" s="1"/>
      <c r="H336" s="1"/>
      <c r="I336" s="1"/>
      <c r="L336" s="302"/>
      <c r="M336" s="302"/>
    </row>
    <row r="337" spans="1:13" customFormat="1" ht="12.75">
      <c r="A337" s="1571"/>
      <c r="F337" s="1"/>
      <c r="G337" s="1"/>
      <c r="H337" s="1"/>
      <c r="I337" s="1"/>
      <c r="L337" s="302"/>
      <c r="M337" s="302"/>
    </row>
    <row r="338" spans="1:13" customFormat="1" ht="12.75">
      <c r="A338" s="1571"/>
      <c r="F338" s="1"/>
      <c r="G338" s="1"/>
      <c r="H338" s="1"/>
      <c r="I338" s="1"/>
      <c r="L338" s="302"/>
      <c r="M338" s="302"/>
    </row>
    <row r="339" spans="1:13" customFormat="1" ht="12.75">
      <c r="A339" s="1571"/>
      <c r="F339" s="1"/>
      <c r="G339" s="1"/>
      <c r="H339" s="1"/>
      <c r="I339" s="1"/>
      <c r="L339" s="302"/>
      <c r="M339" s="302"/>
    </row>
    <row r="340" spans="1:13" customFormat="1" ht="12.75">
      <c r="A340" s="1571"/>
      <c r="F340" s="1"/>
      <c r="G340" s="1"/>
      <c r="H340" s="1"/>
      <c r="I340" s="1"/>
      <c r="L340" s="302"/>
      <c r="M340" s="302"/>
    </row>
    <row r="341" spans="1:13" customFormat="1" ht="12.75">
      <c r="A341" s="1571"/>
      <c r="F341" s="1"/>
      <c r="G341" s="1"/>
      <c r="H341" s="1"/>
      <c r="I341" s="1"/>
      <c r="L341" s="302"/>
      <c r="M341" s="302"/>
    </row>
    <row r="342" spans="1:13" customFormat="1" ht="12.75">
      <c r="A342" s="1571"/>
      <c r="F342" s="1"/>
      <c r="G342" s="1"/>
      <c r="H342" s="1"/>
      <c r="I342" s="1"/>
      <c r="L342" s="302"/>
      <c r="M342" s="302"/>
    </row>
    <row r="343" spans="1:13" customFormat="1" ht="12.75">
      <c r="A343" s="1571"/>
      <c r="F343" s="1"/>
      <c r="G343" s="1"/>
      <c r="H343" s="1"/>
      <c r="I343" s="1"/>
      <c r="L343" s="302"/>
      <c r="M343" s="302"/>
    </row>
    <row r="344" spans="1:13" customFormat="1" ht="12.75">
      <c r="A344" s="1571"/>
      <c r="F344" s="1"/>
      <c r="G344" s="1"/>
      <c r="H344" s="1"/>
      <c r="I344" s="1"/>
      <c r="L344" s="302"/>
      <c r="M344" s="302"/>
    </row>
    <row r="345" spans="1:13" customFormat="1" ht="12.75">
      <c r="A345" s="1571"/>
      <c r="F345" s="1"/>
      <c r="G345" s="1"/>
      <c r="H345" s="1"/>
      <c r="I345" s="1"/>
      <c r="L345" s="302"/>
      <c r="M345" s="302"/>
    </row>
    <row r="346" spans="1:13" customFormat="1" ht="12.75">
      <c r="A346" s="1571"/>
      <c r="F346" s="1"/>
      <c r="G346" s="1"/>
      <c r="H346" s="1"/>
      <c r="I346" s="1"/>
      <c r="L346" s="302"/>
      <c r="M346" s="302"/>
    </row>
    <row r="347" spans="1:13" customFormat="1" ht="12.75">
      <c r="A347" s="1571"/>
      <c r="F347" s="1"/>
      <c r="G347" s="1"/>
      <c r="H347" s="1"/>
      <c r="I347" s="1"/>
      <c r="L347" s="302"/>
      <c r="M347" s="302"/>
    </row>
    <row r="348" spans="1:13" customFormat="1" ht="12.75">
      <c r="A348" s="1571"/>
      <c r="F348" s="1"/>
      <c r="G348" s="1"/>
      <c r="H348" s="1"/>
      <c r="I348" s="1"/>
      <c r="L348" s="302"/>
      <c r="M348" s="302"/>
    </row>
    <row r="349" spans="1:13" customFormat="1" ht="12.75">
      <c r="A349" s="1571"/>
      <c r="F349" s="1"/>
      <c r="G349" s="1"/>
      <c r="H349" s="1"/>
      <c r="I349" s="1"/>
      <c r="L349" s="302"/>
      <c r="M349" s="302"/>
    </row>
    <row r="350" spans="1:13" customFormat="1" ht="12.75">
      <c r="A350" s="1571"/>
      <c r="F350" s="1"/>
      <c r="G350" s="1"/>
      <c r="H350" s="1"/>
      <c r="I350" s="1"/>
      <c r="L350" s="302"/>
      <c r="M350" s="302"/>
    </row>
    <row r="351" spans="1:13" customFormat="1" ht="12.75">
      <c r="A351" s="1571"/>
      <c r="F351" s="1"/>
      <c r="G351" s="1"/>
      <c r="H351" s="1"/>
      <c r="I351" s="1"/>
      <c r="L351" s="302"/>
      <c r="M351" s="302"/>
    </row>
    <row r="352" spans="1:13" customFormat="1" ht="12.75">
      <c r="A352" s="1571"/>
      <c r="F352" s="1"/>
      <c r="G352" s="1"/>
      <c r="H352" s="1"/>
      <c r="I352" s="1"/>
      <c r="L352" s="302"/>
      <c r="M352" s="302"/>
    </row>
    <row r="353" spans="1:13" customFormat="1" ht="12.75">
      <c r="A353" s="1571"/>
      <c r="F353" s="1"/>
      <c r="G353" s="1"/>
      <c r="H353" s="1"/>
      <c r="I353" s="1"/>
      <c r="L353" s="302"/>
      <c r="M353" s="302"/>
    </row>
    <row r="354" spans="1:13" customFormat="1" ht="12.75">
      <c r="A354" s="1571"/>
      <c r="F354" s="1"/>
      <c r="G354" s="1"/>
      <c r="H354" s="1"/>
      <c r="I354" s="1"/>
      <c r="L354" s="302"/>
      <c r="M354" s="302"/>
    </row>
    <row r="355" spans="1:13" customFormat="1" ht="12.75">
      <c r="A355" s="1571"/>
      <c r="F355" s="1"/>
      <c r="G355" s="1"/>
      <c r="H355" s="1"/>
      <c r="I355" s="1"/>
      <c r="L355" s="302"/>
      <c r="M355" s="302"/>
    </row>
    <row r="356" spans="1:13" customFormat="1" ht="12.75">
      <c r="A356" s="1571"/>
      <c r="F356" s="1"/>
      <c r="G356" s="1"/>
      <c r="H356" s="1"/>
      <c r="I356" s="1"/>
      <c r="L356" s="302"/>
      <c r="M356" s="302"/>
    </row>
    <row r="357" spans="1:13" customFormat="1" ht="12.75">
      <c r="A357" s="1571"/>
      <c r="F357" s="1"/>
      <c r="G357" s="1"/>
      <c r="H357" s="1"/>
      <c r="I357" s="1"/>
      <c r="L357" s="302"/>
      <c r="M357" s="302"/>
    </row>
    <row r="358" spans="1:13" customFormat="1" ht="12.75">
      <c r="A358" s="1571"/>
      <c r="F358" s="1"/>
      <c r="G358" s="1"/>
      <c r="H358" s="1"/>
      <c r="I358" s="1"/>
      <c r="L358" s="302"/>
      <c r="M358" s="302"/>
    </row>
    <row r="359" spans="1:13" customFormat="1" ht="12.75">
      <c r="A359" s="1571"/>
      <c r="F359" s="1"/>
      <c r="G359" s="1"/>
      <c r="H359" s="1"/>
      <c r="I359" s="1"/>
      <c r="L359" s="302"/>
      <c r="M359" s="302"/>
    </row>
    <row r="360" spans="1:13" customFormat="1" ht="12.75">
      <c r="A360" s="1571"/>
      <c r="F360" s="1"/>
      <c r="G360" s="1"/>
      <c r="H360" s="1"/>
      <c r="I360" s="1"/>
      <c r="L360" s="302"/>
      <c r="M360" s="302"/>
    </row>
    <row r="361" spans="1:13" customFormat="1" ht="12.75">
      <c r="A361" s="1571"/>
      <c r="F361" s="1"/>
      <c r="G361" s="1"/>
      <c r="H361" s="1"/>
      <c r="I361" s="1"/>
      <c r="L361" s="302"/>
      <c r="M361" s="302"/>
    </row>
    <row r="362" spans="1:13" customFormat="1" ht="12.75">
      <c r="A362" s="1571"/>
      <c r="F362" s="1"/>
      <c r="G362" s="1"/>
      <c r="H362" s="1"/>
      <c r="I362" s="1"/>
      <c r="L362" s="302"/>
      <c r="M362" s="302"/>
    </row>
    <row r="363" spans="1:13" customFormat="1" ht="12.75">
      <c r="A363" s="1571"/>
      <c r="F363" s="1"/>
      <c r="G363" s="1"/>
      <c r="H363" s="1"/>
      <c r="I363" s="1"/>
      <c r="L363" s="302"/>
      <c r="M363" s="302"/>
    </row>
    <row r="364" spans="1:13" customFormat="1" ht="12.75">
      <c r="A364" s="1571"/>
      <c r="F364" s="1"/>
      <c r="G364" s="1"/>
      <c r="H364" s="1"/>
      <c r="I364" s="1"/>
      <c r="L364" s="302"/>
      <c r="M364" s="302"/>
    </row>
    <row r="365" spans="1:13" customFormat="1" ht="12.75">
      <c r="A365" s="1571"/>
      <c r="F365" s="1"/>
      <c r="G365" s="1"/>
      <c r="H365" s="1"/>
      <c r="I365" s="1"/>
      <c r="L365" s="302"/>
      <c r="M365" s="302"/>
    </row>
    <row r="366" spans="1:13" customFormat="1" ht="12.75">
      <c r="A366" s="1571"/>
      <c r="F366" s="1"/>
      <c r="G366" s="1"/>
      <c r="H366" s="1"/>
      <c r="I366" s="1"/>
      <c r="L366" s="302"/>
      <c r="M366" s="302"/>
    </row>
    <row r="367" spans="1:13" customFormat="1" ht="12.75">
      <c r="A367" s="1571"/>
      <c r="F367" s="1"/>
      <c r="G367" s="1"/>
      <c r="H367" s="1"/>
      <c r="I367" s="1"/>
      <c r="L367" s="302"/>
      <c r="M367" s="302"/>
    </row>
    <row r="368" spans="1:13" customFormat="1" ht="12.75">
      <c r="A368" s="1571"/>
      <c r="F368" s="1"/>
      <c r="G368" s="1"/>
      <c r="H368" s="1"/>
      <c r="I368" s="1"/>
      <c r="L368" s="302"/>
      <c r="M368" s="302"/>
    </row>
    <row r="369" spans="1:13" customFormat="1" ht="12.75">
      <c r="A369" s="1571"/>
      <c r="F369" s="1"/>
      <c r="G369" s="1"/>
      <c r="H369" s="1"/>
      <c r="I369" s="1"/>
      <c r="L369" s="302"/>
      <c r="M369" s="302"/>
    </row>
    <row r="370" spans="1:13" customFormat="1" ht="12.75">
      <c r="A370" s="1571"/>
      <c r="F370" s="1"/>
      <c r="G370" s="1"/>
      <c r="H370" s="1"/>
      <c r="I370" s="1"/>
      <c r="L370" s="302"/>
      <c r="M370" s="302"/>
    </row>
    <row r="371" spans="1:13" customFormat="1" ht="12.75">
      <c r="A371" s="1571"/>
      <c r="F371" s="1"/>
      <c r="G371" s="1"/>
      <c r="H371" s="1"/>
      <c r="I371" s="1"/>
      <c r="L371" s="302"/>
      <c r="M371" s="302"/>
    </row>
    <row r="372" spans="1:13" customFormat="1" ht="12.75">
      <c r="A372" s="1571"/>
      <c r="F372" s="1"/>
      <c r="G372" s="1"/>
      <c r="H372" s="1"/>
      <c r="I372" s="1"/>
      <c r="L372" s="302"/>
      <c r="M372" s="302"/>
    </row>
    <row r="373" spans="1:13" customFormat="1" ht="12.75">
      <c r="A373" s="1571"/>
      <c r="F373" s="1"/>
      <c r="G373" s="1"/>
      <c r="H373" s="1"/>
      <c r="I373" s="1"/>
      <c r="L373" s="302"/>
      <c r="M373" s="302"/>
    </row>
    <row r="374" spans="1:13" customFormat="1" ht="12.75">
      <c r="A374" s="1571"/>
      <c r="F374" s="1"/>
      <c r="G374" s="1"/>
      <c r="H374" s="1"/>
      <c r="I374" s="1"/>
      <c r="L374" s="302"/>
      <c r="M374" s="302"/>
    </row>
    <row r="375" spans="1:13" customFormat="1" ht="12.75">
      <c r="A375" s="1571"/>
      <c r="F375" s="1"/>
      <c r="G375" s="1"/>
      <c r="H375" s="1"/>
      <c r="I375" s="1"/>
      <c r="L375" s="302"/>
      <c r="M375" s="302"/>
    </row>
    <row r="376" spans="1:13" customFormat="1" ht="12.75">
      <c r="A376" s="1571"/>
      <c r="F376" s="1"/>
      <c r="G376" s="1"/>
      <c r="H376" s="1"/>
      <c r="I376" s="1"/>
      <c r="L376" s="302"/>
      <c r="M376" s="302"/>
    </row>
    <row r="377" spans="1:13" customFormat="1" ht="12.75">
      <c r="A377" s="1571"/>
      <c r="F377" s="1"/>
      <c r="G377" s="1"/>
      <c r="H377" s="1"/>
      <c r="I377" s="1"/>
      <c r="L377" s="302"/>
      <c r="M377" s="302"/>
    </row>
    <row r="378" spans="1:13" customFormat="1" ht="12.75">
      <c r="A378" s="1571"/>
      <c r="F378" s="1"/>
      <c r="G378" s="1"/>
      <c r="H378" s="1"/>
      <c r="I378" s="1"/>
      <c r="L378" s="302"/>
      <c r="M378" s="302"/>
    </row>
    <row r="379" spans="1:13" customFormat="1" ht="12.75">
      <c r="A379" s="1571"/>
      <c r="F379" s="1"/>
      <c r="G379" s="1"/>
      <c r="H379" s="1"/>
      <c r="I379" s="1"/>
      <c r="L379" s="302"/>
      <c r="M379" s="302"/>
    </row>
    <row r="380" spans="1:13" customFormat="1" ht="12.75">
      <c r="A380" s="1571"/>
      <c r="F380" s="1"/>
      <c r="G380" s="1"/>
      <c r="H380" s="1"/>
      <c r="I380" s="1"/>
      <c r="L380" s="302"/>
      <c r="M380" s="302"/>
    </row>
    <row r="381" spans="1:13" customFormat="1" ht="12.75">
      <c r="A381" s="1571"/>
      <c r="F381" s="1"/>
      <c r="G381" s="1"/>
      <c r="H381" s="1"/>
      <c r="I381" s="1"/>
      <c r="L381" s="302"/>
      <c r="M381" s="302"/>
    </row>
    <row r="382" spans="1:13" customFormat="1" ht="12.75">
      <c r="A382" s="1571"/>
      <c r="F382" s="1"/>
      <c r="G382" s="1"/>
      <c r="H382" s="1"/>
      <c r="I382" s="1"/>
      <c r="L382" s="302"/>
      <c r="M382" s="302"/>
    </row>
    <row r="383" spans="1:13" customFormat="1" ht="12.75">
      <c r="A383" s="1571"/>
      <c r="F383" s="1"/>
      <c r="G383" s="1"/>
      <c r="H383" s="1"/>
      <c r="I383" s="1"/>
      <c r="L383" s="302"/>
      <c r="M383" s="302"/>
    </row>
    <row r="384" spans="1:13" customFormat="1" ht="12.75">
      <c r="A384" s="1571"/>
      <c r="F384" s="1"/>
      <c r="G384" s="1"/>
      <c r="H384" s="1"/>
      <c r="I384" s="1"/>
      <c r="L384" s="302"/>
      <c r="M384" s="302"/>
    </row>
    <row r="385" spans="1:13" customFormat="1" ht="12.75">
      <c r="A385" s="1571"/>
      <c r="F385" s="1"/>
      <c r="G385" s="1"/>
      <c r="H385" s="1"/>
      <c r="I385" s="1"/>
      <c r="L385" s="302"/>
      <c r="M385" s="302"/>
    </row>
    <row r="386" spans="1:13" customFormat="1" ht="12.75">
      <c r="A386" s="1571"/>
      <c r="F386" s="1"/>
      <c r="G386" s="1"/>
      <c r="H386" s="1"/>
      <c r="I386" s="1"/>
      <c r="L386" s="302"/>
      <c r="M386" s="302"/>
    </row>
    <row r="387" spans="1:13" customFormat="1" ht="12.75">
      <c r="A387" s="1571"/>
      <c r="F387" s="1"/>
      <c r="G387" s="1"/>
      <c r="H387" s="1"/>
      <c r="I387" s="1"/>
      <c r="L387" s="302"/>
      <c r="M387" s="302"/>
    </row>
    <row r="388" spans="1:13" customFormat="1" ht="12.75">
      <c r="A388" s="1571"/>
      <c r="F388" s="1"/>
      <c r="G388" s="1"/>
      <c r="H388" s="1"/>
      <c r="I388" s="1"/>
      <c r="L388" s="302"/>
      <c r="M388" s="302"/>
    </row>
    <row r="389" spans="1:13" customFormat="1" ht="12.75">
      <c r="A389" s="1571"/>
      <c r="F389" s="1"/>
      <c r="G389" s="1"/>
      <c r="H389" s="1"/>
      <c r="I389" s="1"/>
      <c r="L389" s="302"/>
      <c r="M389" s="302"/>
    </row>
    <row r="390" spans="1:13" customFormat="1" ht="12.75">
      <c r="A390" s="1571"/>
      <c r="F390" s="1"/>
      <c r="G390" s="1"/>
      <c r="H390" s="1"/>
      <c r="I390" s="1"/>
      <c r="L390" s="302"/>
      <c r="M390" s="302"/>
    </row>
    <row r="391" spans="1:13" customFormat="1" ht="12.75">
      <c r="A391" s="1571"/>
      <c r="F391" s="1"/>
      <c r="G391" s="1"/>
      <c r="H391" s="1"/>
      <c r="I391" s="1"/>
      <c r="L391" s="302"/>
      <c r="M391" s="302"/>
    </row>
    <row r="392" spans="1:13" customFormat="1" ht="12.75">
      <c r="A392" s="1571"/>
      <c r="F392" s="1"/>
      <c r="G392" s="1"/>
      <c r="H392" s="1"/>
      <c r="I392" s="1"/>
      <c r="L392" s="302"/>
      <c r="M392" s="302"/>
    </row>
    <row r="393" spans="1:13" customFormat="1" ht="12.75">
      <c r="A393" s="1571"/>
      <c r="F393" s="1"/>
      <c r="G393" s="1"/>
      <c r="H393" s="1"/>
      <c r="I393" s="1"/>
      <c r="L393" s="302"/>
      <c r="M393" s="302"/>
    </row>
    <row r="394" spans="1:13" customFormat="1" ht="12.75">
      <c r="A394" s="1571"/>
      <c r="F394" s="1"/>
      <c r="G394" s="1"/>
      <c r="H394" s="1"/>
      <c r="I394" s="1"/>
      <c r="L394" s="302"/>
      <c r="M394" s="302"/>
    </row>
    <row r="395" spans="1:13" customFormat="1" ht="12.75">
      <c r="A395" s="1571"/>
      <c r="F395" s="1"/>
      <c r="G395" s="1"/>
      <c r="H395" s="1"/>
      <c r="I395" s="1"/>
      <c r="L395" s="302"/>
      <c r="M395" s="302"/>
    </row>
    <row r="396" spans="1:13" customFormat="1" ht="12.75">
      <c r="A396" s="1571"/>
      <c r="F396" s="1"/>
      <c r="G396" s="1"/>
      <c r="H396" s="1"/>
      <c r="I396" s="1"/>
      <c r="L396" s="302"/>
      <c r="M396" s="302"/>
    </row>
    <row r="397" spans="1:13" customFormat="1" ht="12.75">
      <c r="A397" s="1571"/>
      <c r="F397" s="1"/>
      <c r="G397" s="1"/>
      <c r="H397" s="1"/>
      <c r="I397" s="1"/>
      <c r="L397" s="302"/>
      <c r="M397" s="302"/>
    </row>
    <row r="398" spans="1:13" customFormat="1" ht="12.75">
      <c r="A398" s="1571"/>
      <c r="F398" s="1"/>
      <c r="G398" s="1"/>
      <c r="H398" s="1"/>
      <c r="I398" s="1"/>
      <c r="L398" s="302"/>
      <c r="M398" s="302"/>
    </row>
    <row r="399" spans="1:13" customFormat="1" ht="12.75">
      <c r="A399" s="1571"/>
      <c r="F399" s="1"/>
      <c r="G399" s="1"/>
      <c r="H399" s="1"/>
      <c r="I399" s="1"/>
      <c r="L399" s="302"/>
      <c r="M399" s="302"/>
    </row>
    <row r="400" spans="1:13" customFormat="1" ht="12.75">
      <c r="A400" s="1571"/>
      <c r="F400" s="1"/>
      <c r="G400" s="1"/>
      <c r="H400" s="1"/>
      <c r="I400" s="1"/>
      <c r="L400" s="302"/>
      <c r="M400" s="302"/>
    </row>
    <row r="401" spans="1:13" customFormat="1" ht="12.75">
      <c r="A401" s="1571"/>
      <c r="F401" s="1"/>
      <c r="G401" s="1"/>
      <c r="H401" s="1"/>
      <c r="I401" s="1"/>
      <c r="L401" s="302"/>
      <c r="M401" s="302"/>
    </row>
    <row r="402" spans="1:13" customFormat="1" ht="12.75">
      <c r="A402" s="1571"/>
      <c r="F402" s="1"/>
      <c r="G402" s="1"/>
      <c r="H402" s="1"/>
      <c r="I402" s="1"/>
      <c r="L402" s="302"/>
      <c r="M402" s="302"/>
    </row>
    <row r="403" spans="1:13" customFormat="1" ht="12.75">
      <c r="A403" s="1571"/>
      <c r="F403" s="1"/>
      <c r="G403" s="1"/>
      <c r="H403" s="1"/>
      <c r="I403" s="1"/>
      <c r="L403" s="302"/>
      <c r="M403" s="302"/>
    </row>
    <row r="404" spans="1:13" customFormat="1" ht="12.75">
      <c r="A404" s="1571"/>
      <c r="F404" s="1"/>
      <c r="G404" s="1"/>
      <c r="H404" s="1"/>
      <c r="I404" s="1"/>
      <c r="L404" s="302"/>
      <c r="M404" s="302"/>
    </row>
    <row r="405" spans="1:13" customFormat="1" ht="12.75">
      <c r="A405" s="1571"/>
      <c r="F405" s="1"/>
      <c r="G405" s="1"/>
      <c r="H405" s="1"/>
      <c r="I405" s="1"/>
      <c r="L405" s="302"/>
      <c r="M405" s="302"/>
    </row>
    <row r="406" spans="1:13" customFormat="1" ht="12.75">
      <c r="A406" s="1571"/>
      <c r="F406" s="1"/>
      <c r="G406" s="1"/>
      <c r="H406" s="1"/>
      <c r="I406" s="1"/>
      <c r="L406" s="302"/>
      <c r="M406" s="302"/>
    </row>
    <row r="407" spans="1:13" customFormat="1" ht="12.75">
      <c r="A407" s="1571"/>
      <c r="F407" s="1"/>
      <c r="G407" s="1"/>
      <c r="H407" s="1"/>
      <c r="I407" s="1"/>
      <c r="L407" s="302"/>
      <c r="M407" s="302"/>
    </row>
    <row r="408" spans="1:13" customFormat="1" ht="12.75">
      <c r="A408" s="1571"/>
      <c r="F408" s="1"/>
      <c r="G408" s="1"/>
      <c r="H408" s="1"/>
      <c r="I408" s="1"/>
      <c r="L408" s="302"/>
      <c r="M408" s="302"/>
    </row>
    <row r="409" spans="1:13" customFormat="1" ht="12.75">
      <c r="A409" s="1571"/>
      <c r="F409" s="1"/>
      <c r="G409" s="1"/>
      <c r="H409" s="1"/>
      <c r="I409" s="1"/>
      <c r="L409" s="302"/>
      <c r="M409" s="302"/>
    </row>
    <row r="410" spans="1:13" customFormat="1" ht="12.75">
      <c r="A410" s="1571"/>
      <c r="F410" s="1"/>
      <c r="G410" s="1"/>
      <c r="H410" s="1"/>
      <c r="I410" s="1"/>
      <c r="L410" s="302"/>
      <c r="M410" s="302"/>
    </row>
    <row r="411" spans="1:13" customFormat="1" ht="12.75">
      <c r="A411" s="1571"/>
      <c r="F411" s="1"/>
      <c r="G411" s="1"/>
      <c r="H411" s="1"/>
      <c r="I411" s="1"/>
      <c r="L411" s="302"/>
      <c r="M411" s="302"/>
    </row>
    <row r="412" spans="1:13" customFormat="1" ht="12.75">
      <c r="A412" s="1571"/>
      <c r="F412" s="1"/>
      <c r="G412" s="1"/>
      <c r="H412" s="1"/>
      <c r="I412" s="1"/>
      <c r="L412" s="302"/>
      <c r="M412" s="302"/>
    </row>
    <row r="413" spans="1:13" customFormat="1" ht="12.75">
      <c r="A413" s="1571"/>
      <c r="F413" s="1"/>
      <c r="G413" s="1"/>
      <c r="H413" s="1"/>
      <c r="I413" s="1"/>
      <c r="L413" s="302"/>
      <c r="M413" s="302"/>
    </row>
    <row r="414" spans="1:13" customFormat="1" ht="12.75">
      <c r="A414" s="1571"/>
      <c r="F414" s="1"/>
      <c r="G414" s="1"/>
      <c r="H414" s="1"/>
      <c r="I414" s="1"/>
      <c r="L414" s="302"/>
      <c r="M414" s="302"/>
    </row>
    <row r="415" spans="1:13" customFormat="1" ht="12.75">
      <c r="A415" s="1571"/>
      <c r="F415" s="1"/>
      <c r="G415" s="1"/>
      <c r="H415" s="1"/>
      <c r="I415" s="1"/>
      <c r="L415" s="302"/>
      <c r="M415" s="302"/>
    </row>
    <row r="416" spans="1:13" customFormat="1" ht="12.75">
      <c r="A416" s="1571"/>
      <c r="F416" s="1"/>
      <c r="G416" s="1"/>
      <c r="H416" s="1"/>
      <c r="I416" s="1"/>
      <c r="L416" s="302"/>
      <c r="M416" s="302"/>
    </row>
    <row r="417" spans="1:13" customFormat="1" ht="12.75">
      <c r="A417" s="1571"/>
      <c r="F417" s="1"/>
      <c r="G417" s="1"/>
      <c r="H417" s="1"/>
      <c r="I417" s="1"/>
      <c r="L417" s="302"/>
      <c r="M417" s="302"/>
    </row>
    <row r="418" spans="1:13" customFormat="1" ht="12.75">
      <c r="A418" s="1571"/>
      <c r="F418" s="1"/>
      <c r="G418" s="1"/>
      <c r="H418" s="1"/>
      <c r="I418" s="1"/>
      <c r="L418" s="302"/>
      <c r="M418" s="302"/>
    </row>
    <row r="419" spans="1:13" customFormat="1" ht="12.75">
      <c r="A419" s="1571"/>
      <c r="F419" s="1"/>
      <c r="G419" s="1"/>
      <c r="H419" s="1"/>
      <c r="I419" s="1"/>
      <c r="L419" s="302"/>
      <c r="M419" s="302"/>
    </row>
    <row r="420" spans="1:13" customFormat="1" ht="12.75">
      <c r="A420" s="1571"/>
      <c r="F420" s="1"/>
      <c r="G420" s="1"/>
      <c r="H420" s="1"/>
      <c r="I420" s="1"/>
      <c r="L420" s="302"/>
      <c r="M420" s="302"/>
    </row>
    <row r="421" spans="1:13" customFormat="1" ht="12.75">
      <c r="A421" s="1571"/>
      <c r="F421" s="1"/>
      <c r="G421" s="1"/>
      <c r="H421" s="1"/>
      <c r="I421" s="1"/>
      <c r="L421" s="302"/>
      <c r="M421" s="302"/>
    </row>
    <row r="422" spans="1:13" customFormat="1" ht="12.75">
      <c r="A422" s="1571"/>
      <c r="F422" s="1"/>
      <c r="G422" s="1"/>
      <c r="H422" s="1"/>
      <c r="I422" s="1"/>
      <c r="L422" s="302"/>
      <c r="M422" s="302"/>
    </row>
    <row r="423" spans="1:13" customFormat="1" ht="12.75">
      <c r="A423" s="1571"/>
      <c r="F423" s="1"/>
      <c r="G423" s="1"/>
      <c r="H423" s="1"/>
      <c r="I423" s="1"/>
      <c r="L423" s="302"/>
      <c r="M423" s="302"/>
    </row>
    <row r="424" spans="1:13" customFormat="1" ht="12.75">
      <c r="A424" s="1571"/>
      <c r="F424" s="1"/>
      <c r="G424" s="1"/>
      <c r="H424" s="1"/>
      <c r="I424" s="1"/>
      <c r="L424" s="302"/>
      <c r="M424" s="302"/>
    </row>
    <row r="425" spans="1:13" customFormat="1" ht="12.75">
      <c r="A425" s="1571"/>
      <c r="F425" s="1"/>
      <c r="G425" s="1"/>
      <c r="H425" s="1"/>
      <c r="I425" s="1"/>
      <c r="L425" s="302"/>
      <c r="M425" s="302"/>
    </row>
    <row r="426" spans="1:13" customFormat="1" ht="12.75">
      <c r="A426" s="1571"/>
      <c r="F426" s="1"/>
      <c r="G426" s="1"/>
      <c r="H426" s="1"/>
      <c r="I426" s="1"/>
      <c r="L426" s="302"/>
      <c r="M426" s="302"/>
    </row>
    <row r="427" spans="1:13" customFormat="1" ht="12.75">
      <c r="A427" s="1571"/>
      <c r="F427" s="1"/>
      <c r="G427" s="1"/>
      <c r="H427" s="1"/>
      <c r="I427" s="1"/>
      <c r="L427" s="302"/>
      <c r="M427" s="302"/>
    </row>
    <row r="428" spans="1:13" customFormat="1" ht="12.75">
      <c r="A428" s="1571"/>
      <c r="F428" s="1"/>
      <c r="G428" s="1"/>
      <c r="H428" s="1"/>
      <c r="I428" s="1"/>
      <c r="L428" s="302"/>
      <c r="M428" s="302"/>
    </row>
    <row r="429" spans="1:13" customFormat="1" ht="12.75">
      <c r="A429" s="1571"/>
      <c r="F429" s="1"/>
      <c r="G429" s="1"/>
      <c r="H429" s="1"/>
      <c r="I429" s="1"/>
      <c r="L429" s="302"/>
      <c r="M429" s="302"/>
    </row>
    <row r="430" spans="1:13" customFormat="1" ht="12.75">
      <c r="A430" s="1571"/>
      <c r="F430" s="1"/>
      <c r="G430" s="1"/>
      <c r="H430" s="1"/>
      <c r="I430" s="1"/>
      <c r="L430" s="302"/>
      <c r="M430" s="302"/>
    </row>
    <row r="431" spans="1:13" customFormat="1" ht="12.75">
      <c r="A431" s="1571"/>
      <c r="F431" s="1"/>
      <c r="G431" s="1"/>
      <c r="H431" s="1"/>
      <c r="I431" s="1"/>
      <c r="L431" s="302"/>
      <c r="M431" s="302"/>
    </row>
    <row r="432" spans="1:13" customFormat="1" ht="12.75">
      <c r="A432" s="1571"/>
      <c r="F432" s="1"/>
      <c r="G432" s="1"/>
      <c r="H432" s="1"/>
      <c r="I432" s="1"/>
      <c r="L432" s="302"/>
      <c r="M432" s="302"/>
    </row>
    <row r="433" spans="1:13" customFormat="1" ht="12.75">
      <c r="A433" s="1571"/>
      <c r="F433" s="1"/>
      <c r="G433" s="1"/>
      <c r="H433" s="1"/>
      <c r="I433" s="1"/>
      <c r="L433" s="302"/>
      <c r="M433" s="302"/>
    </row>
    <row r="434" spans="1:13" customFormat="1" ht="12.75">
      <c r="A434" s="1571"/>
      <c r="F434" s="1"/>
      <c r="G434" s="1"/>
      <c r="H434" s="1"/>
      <c r="I434" s="1"/>
      <c r="L434" s="302"/>
      <c r="M434" s="302"/>
    </row>
    <row r="435" spans="1:13" customFormat="1" ht="12.75">
      <c r="A435" s="1571"/>
      <c r="F435" s="1"/>
      <c r="G435" s="1"/>
      <c r="H435" s="1"/>
      <c r="I435" s="1"/>
      <c r="L435" s="302"/>
      <c r="M435" s="302"/>
    </row>
    <row r="436" spans="1:13" customFormat="1" ht="12.75">
      <c r="A436" s="1571"/>
      <c r="F436" s="1"/>
      <c r="G436" s="1"/>
      <c r="H436" s="1"/>
      <c r="I436" s="1"/>
      <c r="L436" s="302"/>
      <c r="M436" s="302"/>
    </row>
    <row r="437" spans="1:13" customFormat="1" ht="12.75">
      <c r="A437" s="1571"/>
      <c r="F437" s="1"/>
      <c r="G437" s="1"/>
      <c r="H437" s="1"/>
      <c r="I437" s="1"/>
      <c r="L437" s="302"/>
      <c r="M437" s="302"/>
    </row>
    <row r="438" spans="1:13" customFormat="1" ht="12.75">
      <c r="A438" s="1571"/>
      <c r="F438" s="1"/>
      <c r="G438" s="1"/>
      <c r="H438" s="1"/>
      <c r="I438" s="1"/>
      <c r="L438" s="302"/>
      <c r="M438" s="302"/>
    </row>
    <row r="439" spans="1:13" customFormat="1" ht="12.75">
      <c r="A439" s="1571"/>
      <c r="F439" s="1"/>
      <c r="G439" s="1"/>
      <c r="H439" s="1"/>
      <c r="I439" s="1"/>
      <c r="L439" s="302"/>
      <c r="M439" s="302"/>
    </row>
    <row r="440" spans="1:13" customFormat="1" ht="12.75">
      <c r="A440" s="1571"/>
      <c r="F440" s="1"/>
      <c r="G440" s="1"/>
      <c r="H440" s="1"/>
      <c r="I440" s="1"/>
      <c r="L440" s="302"/>
      <c r="M440" s="302"/>
    </row>
    <row r="441" spans="1:13" customFormat="1" ht="12.75">
      <c r="A441" s="1571"/>
      <c r="F441" s="1"/>
      <c r="G441" s="1"/>
      <c r="H441" s="1"/>
      <c r="I441" s="1"/>
      <c r="L441" s="302"/>
      <c r="M441" s="302"/>
    </row>
    <row r="442" spans="1:13" customFormat="1" ht="12.75">
      <c r="A442" s="1571"/>
      <c r="F442" s="1"/>
      <c r="G442" s="1"/>
      <c r="H442" s="1"/>
      <c r="I442" s="1"/>
      <c r="L442" s="302"/>
      <c r="M442" s="302"/>
    </row>
    <row r="443" spans="1:13" customFormat="1" ht="12.75">
      <c r="A443" s="1571"/>
      <c r="F443" s="1"/>
      <c r="G443" s="1"/>
      <c r="H443" s="1"/>
      <c r="I443" s="1"/>
      <c r="L443" s="302"/>
      <c r="M443" s="302"/>
    </row>
    <row r="444" spans="1:13" customFormat="1" ht="12.75">
      <c r="A444" s="1571"/>
      <c r="F444" s="1"/>
      <c r="G444" s="1"/>
      <c r="H444" s="1"/>
      <c r="I444" s="1"/>
      <c r="L444" s="302"/>
      <c r="M444" s="302"/>
    </row>
    <row r="445" spans="1:13" customFormat="1" ht="12.75">
      <c r="A445" s="1571"/>
      <c r="F445" s="1"/>
      <c r="G445" s="1"/>
      <c r="H445" s="1"/>
      <c r="I445" s="1"/>
      <c r="L445" s="302"/>
      <c r="M445" s="302"/>
    </row>
    <row r="446" spans="1:13" customFormat="1" ht="12.75">
      <c r="A446" s="1571"/>
      <c r="F446" s="1"/>
      <c r="G446" s="1"/>
      <c r="H446" s="1"/>
      <c r="I446" s="1"/>
      <c r="L446" s="302"/>
      <c r="M446" s="302"/>
    </row>
    <row r="447" spans="1:13" customFormat="1" ht="12.75">
      <c r="A447" s="1571"/>
      <c r="F447" s="1"/>
      <c r="G447" s="1"/>
      <c r="H447" s="1"/>
      <c r="I447" s="1"/>
      <c r="L447" s="302"/>
      <c r="M447" s="302"/>
    </row>
    <row r="448" spans="1:13" customFormat="1" ht="12.75">
      <c r="A448" s="1571"/>
      <c r="F448" s="1"/>
      <c r="G448" s="1"/>
      <c r="H448" s="1"/>
      <c r="I448" s="1"/>
      <c r="L448" s="302"/>
      <c r="M448" s="302"/>
    </row>
    <row r="449" spans="1:13" customFormat="1" ht="12.75">
      <c r="A449" s="1571"/>
      <c r="F449" s="1"/>
      <c r="G449" s="1"/>
      <c r="H449" s="1"/>
      <c r="I449" s="1"/>
      <c r="L449" s="302"/>
      <c r="M449" s="302"/>
    </row>
    <row r="450" spans="1:13" customFormat="1" ht="12.75">
      <c r="A450" s="1571"/>
      <c r="F450" s="1"/>
      <c r="G450" s="1"/>
      <c r="H450" s="1"/>
      <c r="I450" s="1"/>
      <c r="L450" s="302"/>
      <c r="M450" s="302"/>
    </row>
    <row r="451" spans="1:13" customFormat="1" ht="12.75">
      <c r="A451" s="1571"/>
      <c r="F451" s="1"/>
      <c r="G451" s="1"/>
      <c r="H451" s="1"/>
      <c r="I451" s="1"/>
      <c r="L451" s="302"/>
      <c r="M451" s="302"/>
    </row>
    <row r="452" spans="1:13" customFormat="1" ht="12.75">
      <c r="A452" s="1571"/>
      <c r="F452" s="1"/>
      <c r="G452" s="1"/>
      <c r="H452" s="1"/>
      <c r="I452" s="1"/>
      <c r="L452" s="302"/>
      <c r="M452" s="302"/>
    </row>
    <row r="453" spans="1:13" customFormat="1" ht="12.75">
      <c r="A453" s="1571"/>
      <c r="F453" s="1"/>
      <c r="G453" s="1"/>
      <c r="H453" s="1"/>
      <c r="I453" s="1"/>
      <c r="L453" s="302"/>
      <c r="M453" s="302"/>
    </row>
    <row r="454" spans="1:13" customFormat="1" ht="12.75">
      <c r="A454" s="1571"/>
      <c r="F454" s="1"/>
      <c r="G454" s="1"/>
      <c r="H454" s="1"/>
      <c r="I454" s="1"/>
      <c r="L454" s="302"/>
      <c r="M454" s="302"/>
    </row>
    <row r="455" spans="1:13" customFormat="1" ht="12.75">
      <c r="A455" s="1571"/>
      <c r="F455" s="1"/>
      <c r="G455" s="1"/>
      <c r="H455" s="1"/>
      <c r="I455" s="1"/>
      <c r="L455" s="302"/>
      <c r="M455" s="302"/>
    </row>
    <row r="456" spans="1:13" customFormat="1" ht="12.75">
      <c r="A456" s="1571"/>
      <c r="F456" s="1"/>
      <c r="G456" s="1"/>
      <c r="H456" s="1"/>
      <c r="I456" s="1"/>
      <c r="L456" s="302"/>
      <c r="M456" s="302"/>
    </row>
    <row r="457" spans="1:13" customFormat="1" ht="12.75">
      <c r="A457" s="1571"/>
      <c r="F457" s="1"/>
      <c r="G457" s="1"/>
      <c r="H457" s="1"/>
      <c r="I457" s="1"/>
      <c r="L457" s="302"/>
      <c r="M457" s="302"/>
    </row>
    <row r="458" spans="1:13" customFormat="1" ht="12.75">
      <c r="A458" s="1571"/>
      <c r="F458" s="1"/>
      <c r="G458" s="1"/>
      <c r="H458" s="1"/>
      <c r="I458" s="1"/>
      <c r="L458" s="302"/>
      <c r="M458" s="302"/>
    </row>
    <row r="459" spans="1:13" customFormat="1" ht="12.75">
      <c r="A459" s="1571"/>
      <c r="F459" s="1"/>
      <c r="G459" s="1"/>
      <c r="H459" s="1"/>
      <c r="I459" s="1"/>
      <c r="L459" s="302"/>
      <c r="M459" s="302"/>
    </row>
    <row r="460" spans="1:13" customFormat="1" ht="12.75">
      <c r="A460" s="1571"/>
      <c r="F460" s="1"/>
      <c r="G460" s="1"/>
      <c r="H460" s="1"/>
      <c r="I460" s="1"/>
      <c r="L460" s="302"/>
      <c r="M460" s="302"/>
    </row>
    <row r="461" spans="1:13" customFormat="1" ht="12.75">
      <c r="A461" s="1571"/>
      <c r="F461" s="1"/>
      <c r="G461" s="1"/>
      <c r="H461" s="1"/>
      <c r="I461" s="1"/>
      <c r="L461" s="302"/>
      <c r="M461" s="302"/>
    </row>
    <row r="462" spans="1:13" customFormat="1" ht="12.75">
      <c r="A462" s="1571"/>
      <c r="F462" s="1"/>
      <c r="G462" s="1"/>
      <c r="H462" s="1"/>
      <c r="I462" s="1"/>
      <c r="L462" s="302"/>
      <c r="M462" s="302"/>
    </row>
    <row r="463" spans="1:13" customFormat="1" ht="12.75">
      <c r="A463" s="1571"/>
      <c r="F463" s="1"/>
      <c r="G463" s="1"/>
      <c r="H463" s="1"/>
      <c r="I463" s="1"/>
      <c r="L463" s="302"/>
      <c r="M463" s="302"/>
    </row>
    <row r="464" spans="1:13" customFormat="1" ht="12.75">
      <c r="A464" s="1571"/>
      <c r="F464" s="1"/>
      <c r="G464" s="1"/>
      <c r="H464" s="1"/>
      <c r="I464" s="1"/>
      <c r="L464" s="302"/>
      <c r="M464" s="302"/>
    </row>
    <row r="465" spans="1:13" customFormat="1" ht="12.75">
      <c r="A465" s="1571"/>
      <c r="F465" s="1"/>
      <c r="G465" s="1"/>
      <c r="H465" s="1"/>
      <c r="I465" s="1"/>
      <c r="L465" s="302"/>
      <c r="M465" s="302"/>
    </row>
    <row r="466" spans="1:13" customFormat="1" ht="12.75">
      <c r="A466" s="1571"/>
      <c r="F466" s="1"/>
      <c r="G466" s="1"/>
      <c r="H466" s="1"/>
      <c r="I466" s="1"/>
      <c r="L466" s="302"/>
      <c r="M466" s="302"/>
    </row>
    <row r="467" spans="1:13" customFormat="1" ht="12.75">
      <c r="A467" s="1571"/>
      <c r="F467" s="1"/>
      <c r="G467" s="1"/>
      <c r="H467" s="1"/>
      <c r="I467" s="1"/>
      <c r="L467" s="302"/>
      <c r="M467" s="302"/>
    </row>
    <row r="468" spans="1:13" customFormat="1" ht="12.75">
      <c r="A468" s="1571"/>
      <c r="F468" s="1"/>
      <c r="G468" s="1"/>
      <c r="H468" s="1"/>
      <c r="I468" s="1"/>
      <c r="L468" s="302"/>
      <c r="M468" s="302"/>
    </row>
    <row r="469" spans="1:13" customFormat="1" ht="12.75">
      <c r="A469" s="1571"/>
      <c r="F469" s="1"/>
      <c r="G469" s="1"/>
      <c r="H469" s="1"/>
      <c r="I469" s="1"/>
      <c r="L469" s="302"/>
      <c r="M469" s="302"/>
    </row>
    <row r="470" spans="1:13" customFormat="1" ht="12.75">
      <c r="A470" s="1571"/>
      <c r="F470" s="1"/>
      <c r="G470" s="1"/>
      <c r="H470" s="1"/>
      <c r="I470" s="1"/>
      <c r="L470" s="302"/>
      <c r="M470" s="302"/>
    </row>
    <row r="471" spans="1:13" customFormat="1" ht="12.75">
      <c r="A471" s="1571"/>
      <c r="F471" s="1"/>
      <c r="G471" s="1"/>
      <c r="H471" s="1"/>
      <c r="I471" s="1"/>
      <c r="L471" s="302"/>
      <c r="M471" s="302"/>
    </row>
    <row r="472" spans="1:13" customFormat="1" ht="12.75">
      <c r="A472" s="1571"/>
      <c r="F472" s="1"/>
      <c r="G472" s="1"/>
      <c r="H472" s="1"/>
      <c r="I472" s="1"/>
      <c r="L472" s="302"/>
      <c r="M472" s="302"/>
    </row>
    <row r="473" spans="1:13" customFormat="1" ht="12.75">
      <c r="A473" s="1571"/>
      <c r="F473" s="1"/>
      <c r="G473" s="1"/>
      <c r="H473" s="1"/>
      <c r="I473" s="1"/>
      <c r="L473" s="302"/>
      <c r="M473" s="302"/>
    </row>
    <row r="474" spans="1:13" customFormat="1" ht="12.75">
      <c r="A474" s="1571"/>
      <c r="F474" s="1"/>
      <c r="G474" s="1"/>
      <c r="H474" s="1"/>
      <c r="I474" s="1"/>
      <c r="L474" s="302"/>
      <c r="M474" s="302"/>
    </row>
    <row r="475" spans="1:13" customFormat="1" ht="12.75">
      <c r="A475" s="1571"/>
      <c r="F475" s="1"/>
      <c r="G475" s="1"/>
      <c r="H475" s="1"/>
      <c r="I475" s="1"/>
      <c r="L475" s="302"/>
      <c r="M475" s="302"/>
    </row>
    <row r="476" spans="1:13" customFormat="1" ht="12.75">
      <c r="A476" s="1571"/>
      <c r="F476" s="1"/>
      <c r="G476" s="1"/>
      <c r="H476" s="1"/>
      <c r="I476" s="1"/>
      <c r="L476" s="302"/>
      <c r="M476" s="302"/>
    </row>
    <row r="477" spans="1:13" customFormat="1" ht="12.75">
      <c r="A477" s="1571"/>
      <c r="F477" s="1"/>
      <c r="G477" s="1"/>
      <c r="H477" s="1"/>
      <c r="I477" s="1"/>
      <c r="L477" s="302"/>
      <c r="M477" s="302"/>
    </row>
    <row r="478" spans="1:13" customFormat="1" ht="12.75">
      <c r="A478" s="1571"/>
      <c r="F478" s="1"/>
      <c r="G478" s="1"/>
      <c r="H478" s="1"/>
      <c r="I478" s="1"/>
      <c r="L478" s="302"/>
      <c r="M478" s="302"/>
    </row>
    <row r="479" spans="1:13" customFormat="1" ht="12.75">
      <c r="A479" s="1571"/>
      <c r="F479" s="1"/>
      <c r="G479" s="1"/>
      <c r="H479" s="1"/>
      <c r="I479" s="1"/>
      <c r="L479" s="302"/>
      <c r="M479" s="302"/>
    </row>
    <row r="480" spans="1:13" customFormat="1" ht="12.75">
      <c r="A480" s="1571"/>
      <c r="F480" s="1"/>
      <c r="G480" s="1"/>
      <c r="H480" s="1"/>
      <c r="I480" s="1"/>
      <c r="L480" s="302"/>
      <c r="M480" s="302"/>
    </row>
    <row r="481" spans="1:13" customFormat="1" ht="12.75">
      <c r="A481" s="1571"/>
      <c r="F481" s="1"/>
      <c r="G481" s="1"/>
      <c r="H481" s="1"/>
      <c r="I481" s="1"/>
      <c r="L481" s="302"/>
      <c r="M481" s="302"/>
    </row>
    <row r="482" spans="1:13" customFormat="1" ht="12.75">
      <c r="A482" s="1571"/>
      <c r="F482" s="1"/>
      <c r="G482" s="1"/>
      <c r="H482" s="1"/>
      <c r="I482" s="1"/>
      <c r="L482" s="302"/>
      <c r="M482" s="302"/>
    </row>
    <row r="483" spans="1:13" customFormat="1" ht="12.75">
      <c r="A483" s="1571"/>
      <c r="F483" s="1"/>
      <c r="G483" s="1"/>
      <c r="H483" s="1"/>
      <c r="I483" s="1"/>
      <c r="L483" s="302"/>
      <c r="M483" s="302"/>
    </row>
    <row r="484" spans="1:13" customFormat="1" ht="12.75">
      <c r="A484" s="1571"/>
      <c r="F484" s="1"/>
      <c r="G484" s="1"/>
      <c r="H484" s="1"/>
      <c r="I484" s="1"/>
      <c r="L484" s="302"/>
      <c r="M484" s="302"/>
    </row>
    <row r="485" spans="1:13" customFormat="1" ht="12.75">
      <c r="A485" s="1571"/>
      <c r="F485" s="1"/>
      <c r="G485" s="1"/>
      <c r="H485" s="1"/>
      <c r="I485" s="1"/>
      <c r="L485" s="302"/>
      <c r="M485" s="302"/>
    </row>
    <row r="486" spans="1:13" customFormat="1" ht="12.75">
      <c r="A486" s="1571"/>
      <c r="F486" s="1"/>
      <c r="G486" s="1"/>
      <c r="H486" s="1"/>
      <c r="I486" s="1"/>
      <c r="L486" s="302"/>
      <c r="M486" s="302"/>
    </row>
    <row r="487" spans="1:13" customFormat="1" ht="12.75">
      <c r="A487" s="1571"/>
      <c r="F487" s="1"/>
      <c r="G487" s="1"/>
      <c r="H487" s="1"/>
      <c r="I487" s="1"/>
      <c r="L487" s="302"/>
      <c r="M487" s="302"/>
    </row>
    <row r="488" spans="1:13" customFormat="1" ht="12.75">
      <c r="A488" s="1571"/>
      <c r="F488" s="1"/>
      <c r="G488" s="1"/>
      <c r="H488" s="1"/>
      <c r="I488" s="1"/>
      <c r="L488" s="302"/>
      <c r="M488" s="302"/>
    </row>
    <row r="489" spans="1:13" customFormat="1" ht="12.75">
      <c r="A489" s="1571"/>
      <c r="F489" s="1"/>
      <c r="G489" s="1"/>
      <c r="H489" s="1"/>
      <c r="I489" s="1"/>
      <c r="L489" s="302"/>
      <c r="M489" s="302"/>
    </row>
    <row r="490" spans="1:13" customFormat="1" ht="12.75">
      <c r="A490" s="1571"/>
      <c r="F490" s="1"/>
      <c r="G490" s="1"/>
      <c r="H490" s="1"/>
      <c r="I490" s="1"/>
      <c r="L490" s="302"/>
      <c r="M490" s="302"/>
    </row>
    <row r="491" spans="1:13" customFormat="1" ht="12.75">
      <c r="A491" s="1571"/>
      <c r="F491" s="1"/>
      <c r="G491" s="1"/>
      <c r="H491" s="1"/>
      <c r="I491" s="1"/>
      <c r="L491" s="302"/>
      <c r="M491" s="302"/>
    </row>
    <row r="492" spans="1:13" customFormat="1" ht="12.75">
      <c r="A492" s="1571"/>
      <c r="F492" s="1"/>
      <c r="G492" s="1"/>
      <c r="H492" s="1"/>
      <c r="I492" s="1"/>
      <c r="L492" s="302"/>
      <c r="M492" s="302"/>
    </row>
    <row r="493" spans="1:13" customFormat="1" ht="12.75">
      <c r="A493" s="1571"/>
      <c r="F493" s="1"/>
      <c r="G493" s="1"/>
      <c r="H493" s="1"/>
      <c r="I493" s="1"/>
      <c r="L493" s="302"/>
      <c r="M493" s="302"/>
    </row>
    <row r="494" spans="1:13" customFormat="1" ht="12.75">
      <c r="A494" s="1571"/>
      <c r="F494" s="1"/>
      <c r="G494" s="1"/>
      <c r="H494" s="1"/>
      <c r="I494" s="1"/>
      <c r="L494" s="302"/>
      <c r="M494" s="302"/>
    </row>
    <row r="495" spans="1:13" customFormat="1" ht="12.75">
      <c r="A495" s="1571"/>
      <c r="F495" s="1"/>
      <c r="G495" s="1"/>
      <c r="H495" s="1"/>
      <c r="I495" s="1"/>
      <c r="L495" s="302"/>
      <c r="M495" s="302"/>
    </row>
    <row r="496" spans="1:13" customFormat="1" ht="12.75">
      <c r="A496" s="1571"/>
      <c r="F496" s="1"/>
      <c r="G496" s="1"/>
      <c r="H496" s="1"/>
      <c r="I496" s="1"/>
      <c r="L496" s="302"/>
      <c r="M496" s="302"/>
    </row>
    <row r="497" spans="1:13" customFormat="1" ht="12.75">
      <c r="A497" s="1571"/>
      <c r="F497" s="1"/>
      <c r="G497" s="1"/>
      <c r="H497" s="1"/>
      <c r="I497" s="1"/>
      <c r="L497" s="302"/>
      <c r="M497" s="302"/>
    </row>
    <row r="498" spans="1:13" customFormat="1" ht="12.75">
      <c r="A498" s="1571"/>
      <c r="F498" s="1"/>
      <c r="G498" s="1"/>
      <c r="H498" s="1"/>
      <c r="I498" s="1"/>
      <c r="L498" s="302"/>
      <c r="M498" s="302"/>
    </row>
    <row r="499" spans="1:13" customFormat="1" ht="12.75">
      <c r="A499" s="1571"/>
      <c r="F499" s="1"/>
      <c r="G499" s="1"/>
      <c r="H499" s="1"/>
      <c r="I499" s="1"/>
      <c r="L499" s="302"/>
      <c r="M499" s="302"/>
    </row>
    <row r="500" spans="1:13" customFormat="1" ht="12.75">
      <c r="A500" s="1571"/>
      <c r="F500" s="1"/>
      <c r="G500" s="1"/>
      <c r="H500" s="1"/>
      <c r="I500" s="1"/>
      <c r="L500" s="302"/>
      <c r="M500" s="302"/>
    </row>
    <row r="501" spans="1:13" customFormat="1" ht="12.75">
      <c r="A501" s="1571"/>
      <c r="F501" s="1"/>
      <c r="G501" s="1"/>
      <c r="H501" s="1"/>
      <c r="I501" s="1"/>
      <c r="L501" s="302"/>
      <c r="M501" s="302"/>
    </row>
    <row r="502" spans="1:13" customFormat="1" ht="12.75">
      <c r="A502" s="1571"/>
      <c r="F502" s="1"/>
      <c r="G502" s="1"/>
      <c r="H502" s="1"/>
      <c r="I502" s="1"/>
      <c r="L502" s="302"/>
      <c r="M502" s="302"/>
    </row>
    <row r="503" spans="1:13" customFormat="1" ht="12.75">
      <c r="A503" s="1571"/>
      <c r="F503" s="1"/>
      <c r="G503" s="1"/>
      <c r="H503" s="1"/>
      <c r="I503" s="1"/>
      <c r="L503" s="302"/>
      <c r="M503" s="302"/>
    </row>
    <row r="504" spans="1:13" customFormat="1" ht="12.75">
      <c r="A504" s="1571"/>
      <c r="F504" s="1"/>
      <c r="G504" s="1"/>
      <c r="H504" s="1"/>
      <c r="I504" s="1"/>
      <c r="L504" s="302"/>
      <c r="M504" s="302"/>
    </row>
    <row r="505" spans="1:13" customFormat="1" ht="12.75">
      <c r="A505" s="1571"/>
      <c r="F505" s="1"/>
      <c r="G505" s="1"/>
      <c r="H505" s="1"/>
      <c r="I505" s="1"/>
      <c r="L505" s="302"/>
      <c r="M505" s="302"/>
    </row>
    <row r="506" spans="1:13" customFormat="1" ht="12.75">
      <c r="A506" s="1571"/>
      <c r="F506" s="1"/>
      <c r="G506" s="1"/>
      <c r="H506" s="1"/>
      <c r="I506" s="1"/>
      <c r="L506" s="302"/>
      <c r="M506" s="302"/>
    </row>
    <row r="507" spans="1:13" customFormat="1" ht="12.75">
      <c r="A507" s="1571"/>
      <c r="F507" s="1"/>
      <c r="G507" s="1"/>
      <c r="H507" s="1"/>
      <c r="I507" s="1"/>
      <c r="L507" s="302"/>
      <c r="M507" s="302"/>
    </row>
    <row r="508" spans="1:13" customFormat="1" ht="12.75">
      <c r="A508" s="1571"/>
      <c r="F508" s="1"/>
      <c r="G508" s="1"/>
      <c r="H508" s="1"/>
      <c r="I508" s="1"/>
      <c r="L508" s="302"/>
      <c r="M508" s="302"/>
    </row>
    <row r="509" spans="1:13" customFormat="1" ht="12.75">
      <c r="A509" s="1571"/>
      <c r="F509" s="1"/>
      <c r="G509" s="1"/>
      <c r="H509" s="1"/>
      <c r="I509" s="1"/>
      <c r="L509" s="302"/>
      <c r="M509" s="302"/>
    </row>
    <row r="510" spans="1:13" customFormat="1" ht="12.75">
      <c r="A510" s="1571"/>
      <c r="F510" s="1"/>
      <c r="G510" s="1"/>
      <c r="H510" s="1"/>
      <c r="I510" s="1"/>
      <c r="L510" s="302"/>
      <c r="M510" s="302"/>
    </row>
    <row r="511" spans="1:13" customFormat="1" ht="12.75">
      <c r="A511" s="1571"/>
      <c r="F511" s="1"/>
      <c r="G511" s="1"/>
      <c r="H511" s="1"/>
      <c r="I511" s="1"/>
      <c r="L511" s="302"/>
      <c r="M511" s="302"/>
    </row>
    <row r="512" spans="1:13" customFormat="1" ht="12.75">
      <c r="A512" s="1571"/>
      <c r="F512" s="1"/>
      <c r="G512" s="1"/>
      <c r="H512" s="1"/>
      <c r="I512" s="1"/>
      <c r="L512" s="302"/>
      <c r="M512" s="302"/>
    </row>
    <row r="513" spans="1:13" customFormat="1" ht="12.75">
      <c r="A513" s="1571"/>
      <c r="F513" s="1"/>
      <c r="G513" s="1"/>
      <c r="H513" s="1"/>
      <c r="I513" s="1"/>
      <c r="L513" s="302"/>
      <c r="M513" s="302"/>
    </row>
    <row r="514" spans="1:13" customFormat="1" ht="12.75">
      <c r="A514" s="1571"/>
      <c r="F514" s="1"/>
      <c r="G514" s="1"/>
      <c r="H514" s="1"/>
      <c r="I514" s="1"/>
      <c r="L514" s="302"/>
      <c r="M514" s="302"/>
    </row>
    <row r="515" spans="1:13" customFormat="1" ht="12.75">
      <c r="A515" s="1571"/>
      <c r="F515" s="1"/>
      <c r="G515" s="1"/>
      <c r="H515" s="1"/>
      <c r="I515" s="1"/>
      <c r="L515" s="302"/>
      <c r="M515" s="302"/>
    </row>
    <row r="516" spans="1:13" customFormat="1" ht="12.75">
      <c r="A516" s="1571"/>
      <c r="F516" s="1"/>
      <c r="G516" s="1"/>
      <c r="H516" s="1"/>
      <c r="I516" s="1"/>
      <c r="L516" s="302"/>
      <c r="M516" s="302"/>
    </row>
    <row r="517" spans="1:13" customFormat="1" ht="12.75">
      <c r="A517" s="1571"/>
      <c r="F517" s="1"/>
      <c r="G517" s="1"/>
      <c r="H517" s="1"/>
      <c r="I517" s="1"/>
      <c r="L517" s="302"/>
      <c r="M517" s="302"/>
    </row>
    <row r="518" spans="1:13" customFormat="1" ht="12.75">
      <c r="A518" s="1571"/>
      <c r="F518" s="1"/>
      <c r="G518" s="1"/>
      <c r="H518" s="1"/>
      <c r="I518" s="1"/>
      <c r="L518" s="302"/>
      <c r="M518" s="302"/>
    </row>
    <row r="519" spans="1:13" customFormat="1" ht="12.75">
      <c r="A519" s="1571"/>
      <c r="F519" s="1"/>
      <c r="G519" s="1"/>
      <c r="H519" s="1"/>
      <c r="I519" s="1"/>
      <c r="L519" s="302"/>
      <c r="M519" s="302"/>
    </row>
    <row r="520" spans="1:13" customFormat="1" ht="12.75">
      <c r="A520" s="1571"/>
      <c r="F520" s="1"/>
      <c r="G520" s="1"/>
      <c r="H520" s="1"/>
      <c r="I520" s="1"/>
      <c r="L520" s="302"/>
      <c r="M520" s="302"/>
    </row>
    <row r="521" spans="1:13" customFormat="1" ht="12.75">
      <c r="A521" s="1571"/>
      <c r="F521" s="1"/>
      <c r="G521" s="1"/>
      <c r="H521" s="1"/>
      <c r="I521" s="1"/>
      <c r="L521" s="302"/>
      <c r="M521" s="302"/>
    </row>
    <row r="522" spans="1:13" customFormat="1" ht="12.75">
      <c r="A522" s="1571"/>
      <c r="F522" s="1"/>
      <c r="G522" s="1"/>
      <c r="H522" s="1"/>
      <c r="I522" s="1"/>
      <c r="L522" s="302"/>
      <c r="M522" s="302"/>
    </row>
    <row r="523" spans="1:13" customFormat="1" ht="12.75">
      <c r="A523" s="1571"/>
      <c r="F523" s="1"/>
      <c r="G523" s="1"/>
      <c r="H523" s="1"/>
      <c r="I523" s="1"/>
      <c r="L523" s="302"/>
      <c r="M523" s="302"/>
    </row>
    <row r="524" spans="1:13" customFormat="1" ht="12.75">
      <c r="A524" s="1571"/>
      <c r="F524" s="1"/>
      <c r="G524" s="1"/>
      <c r="H524" s="1"/>
      <c r="I524" s="1"/>
      <c r="L524" s="302"/>
      <c r="M524" s="302"/>
    </row>
    <row r="525" spans="1:13" customFormat="1" ht="12.75">
      <c r="A525" s="1571"/>
      <c r="F525" s="1"/>
      <c r="G525" s="1"/>
      <c r="H525" s="1"/>
      <c r="I525" s="1"/>
      <c r="L525" s="302"/>
      <c r="M525" s="302"/>
    </row>
    <row r="526" spans="1:13" customFormat="1" ht="12.75">
      <c r="A526" s="1571"/>
      <c r="F526" s="1"/>
      <c r="G526" s="1"/>
      <c r="H526" s="1"/>
      <c r="I526" s="1"/>
      <c r="L526" s="302"/>
      <c r="M526" s="302"/>
    </row>
    <row r="527" spans="1:13" customFormat="1" ht="12.75">
      <c r="A527" s="1571"/>
      <c r="F527" s="1"/>
      <c r="G527" s="1"/>
      <c r="H527" s="1"/>
      <c r="I527" s="1"/>
      <c r="L527" s="302"/>
      <c r="M527" s="302"/>
    </row>
    <row r="528" spans="1:13" customFormat="1" ht="12.75">
      <c r="A528" s="1571"/>
      <c r="F528" s="1"/>
      <c r="G528" s="1"/>
      <c r="H528" s="1"/>
      <c r="I528" s="1"/>
      <c r="L528" s="302"/>
      <c r="M528" s="302"/>
    </row>
    <row r="529" spans="1:13" customFormat="1" ht="12.75">
      <c r="A529" s="1571"/>
      <c r="F529" s="1"/>
      <c r="G529" s="1"/>
      <c r="H529" s="1"/>
      <c r="I529" s="1"/>
      <c r="L529" s="302"/>
      <c r="M529" s="302"/>
    </row>
    <row r="530" spans="1:13" customFormat="1" ht="12.75">
      <c r="A530" s="1571"/>
      <c r="F530" s="1"/>
      <c r="G530" s="1"/>
      <c r="H530" s="1"/>
      <c r="I530" s="1"/>
      <c r="L530" s="302"/>
      <c r="M530" s="302"/>
    </row>
    <row r="531" spans="1:13" customFormat="1" ht="12.75">
      <c r="A531" s="1571"/>
      <c r="F531" s="1"/>
      <c r="G531" s="1"/>
      <c r="H531" s="1"/>
      <c r="I531" s="1"/>
      <c r="L531" s="302"/>
      <c r="M531" s="302"/>
    </row>
    <row r="532" spans="1:13" customFormat="1" ht="12.75">
      <c r="A532" s="1571"/>
      <c r="F532" s="1"/>
      <c r="G532" s="1"/>
      <c r="H532" s="1"/>
      <c r="I532" s="1"/>
      <c r="L532" s="302"/>
      <c r="M532" s="302"/>
    </row>
    <row r="533" spans="1:13" customFormat="1" ht="12.75">
      <c r="A533" s="1571"/>
      <c r="F533" s="1"/>
      <c r="G533" s="1"/>
      <c r="H533" s="1"/>
      <c r="I533" s="1"/>
      <c r="L533" s="302"/>
      <c r="M533" s="302"/>
    </row>
    <row r="534" spans="1:13" customFormat="1" ht="12.75">
      <c r="A534" s="1571"/>
      <c r="F534" s="1"/>
      <c r="G534" s="1"/>
      <c r="H534" s="1"/>
      <c r="I534" s="1"/>
      <c r="L534" s="302"/>
      <c r="M534" s="302"/>
    </row>
    <row r="535" spans="1:13" customFormat="1" ht="12.75">
      <c r="A535" s="1571"/>
      <c r="F535" s="1"/>
      <c r="G535" s="1"/>
      <c r="H535" s="1"/>
      <c r="I535" s="1"/>
      <c r="L535" s="302"/>
      <c r="M535" s="302"/>
    </row>
    <row r="536" spans="1:13" customFormat="1" ht="12.75">
      <c r="A536" s="1571"/>
      <c r="F536" s="1"/>
      <c r="G536" s="1"/>
      <c r="H536" s="1"/>
      <c r="I536" s="1"/>
      <c r="L536" s="302"/>
      <c r="M536" s="302"/>
    </row>
    <row r="537" spans="1:13" customFormat="1" ht="12.75">
      <c r="A537" s="1571"/>
      <c r="F537" s="1"/>
      <c r="G537" s="1"/>
      <c r="H537" s="1"/>
      <c r="I537" s="1"/>
      <c r="L537" s="302"/>
      <c r="M537" s="302"/>
    </row>
    <row r="538" spans="1:13" customFormat="1" ht="12.75">
      <c r="A538" s="1571"/>
      <c r="F538" s="1"/>
      <c r="G538" s="1"/>
      <c r="H538" s="1"/>
      <c r="I538" s="1"/>
      <c r="L538" s="302"/>
      <c r="M538" s="302"/>
    </row>
    <row r="539" spans="1:13" customFormat="1" ht="12.75">
      <c r="A539" s="1571"/>
      <c r="F539" s="1"/>
      <c r="G539" s="1"/>
      <c r="H539" s="1"/>
      <c r="I539" s="1"/>
      <c r="L539" s="302"/>
      <c r="M539" s="302"/>
    </row>
    <row r="540" spans="1:13" customFormat="1" ht="12.75">
      <c r="A540" s="1571"/>
      <c r="F540" s="1"/>
      <c r="G540" s="1"/>
      <c r="H540" s="1"/>
      <c r="I540" s="1"/>
      <c r="L540" s="302"/>
      <c r="M540" s="302"/>
    </row>
    <row r="541" spans="1:13" customFormat="1" ht="12.75">
      <c r="A541" s="1571"/>
      <c r="F541" s="1"/>
      <c r="G541" s="1"/>
      <c r="H541" s="1"/>
      <c r="I541" s="1"/>
      <c r="L541" s="302"/>
      <c r="M541" s="302"/>
    </row>
    <row r="542" spans="1:13" customFormat="1" ht="12.75">
      <c r="A542" s="1571"/>
      <c r="F542" s="1"/>
      <c r="G542" s="1"/>
      <c r="H542" s="1"/>
      <c r="I542" s="1"/>
      <c r="L542" s="302"/>
      <c r="M542" s="302"/>
    </row>
    <row r="543" spans="1:13" customFormat="1" ht="12.75">
      <c r="A543" s="1571"/>
      <c r="F543" s="1"/>
      <c r="G543" s="1"/>
      <c r="H543" s="1"/>
      <c r="I543" s="1"/>
      <c r="L543" s="302"/>
      <c r="M543" s="302"/>
    </row>
    <row r="544" spans="1:13" customFormat="1" ht="12.75">
      <c r="A544" s="1571"/>
      <c r="F544" s="1"/>
      <c r="G544" s="1"/>
      <c r="H544" s="1"/>
      <c r="I544" s="1"/>
      <c r="L544" s="302"/>
      <c r="M544" s="302"/>
    </row>
    <row r="545" spans="1:13" customFormat="1" ht="12.75">
      <c r="A545" s="1571"/>
      <c r="F545" s="1"/>
      <c r="G545" s="1"/>
      <c r="H545" s="1"/>
      <c r="I545" s="1"/>
      <c r="L545" s="302"/>
      <c r="M545" s="302"/>
    </row>
    <row r="546" spans="1:13" customFormat="1" ht="12.75">
      <c r="A546" s="1571"/>
      <c r="F546" s="1"/>
      <c r="G546" s="1"/>
      <c r="H546" s="1"/>
      <c r="I546" s="1"/>
      <c r="L546" s="302"/>
      <c r="M546" s="302"/>
    </row>
    <row r="547" spans="1:13" customFormat="1" ht="12.75">
      <c r="A547" s="1571"/>
      <c r="F547" s="1"/>
      <c r="G547" s="1"/>
      <c r="H547" s="1"/>
      <c r="I547" s="1"/>
      <c r="L547" s="302"/>
      <c r="M547" s="302"/>
    </row>
    <row r="548" spans="1:13" customFormat="1" ht="12.75">
      <c r="A548" s="1571"/>
      <c r="F548" s="1"/>
      <c r="G548" s="1"/>
      <c r="H548" s="1"/>
      <c r="I548" s="1"/>
      <c r="L548" s="302"/>
      <c r="M548" s="302"/>
    </row>
    <row r="549" spans="1:13" customFormat="1" ht="12.75">
      <c r="A549" s="1571"/>
      <c r="F549" s="1"/>
      <c r="G549" s="1"/>
      <c r="H549" s="1"/>
      <c r="I549" s="1"/>
      <c r="L549" s="302"/>
      <c r="M549" s="302"/>
    </row>
    <row r="550" spans="1:13" customFormat="1" ht="12.75">
      <c r="A550" s="1571"/>
      <c r="F550" s="1"/>
      <c r="G550" s="1"/>
      <c r="H550" s="1"/>
      <c r="I550" s="1"/>
      <c r="L550" s="302"/>
      <c r="M550" s="302"/>
    </row>
    <row r="551" spans="1:13" customFormat="1" ht="12.75">
      <c r="A551" s="1571"/>
      <c r="F551" s="1"/>
      <c r="G551" s="1"/>
      <c r="H551" s="1"/>
      <c r="I551" s="1"/>
      <c r="L551" s="302"/>
      <c r="M551" s="302"/>
    </row>
    <row r="552" spans="1:13" customFormat="1" ht="12.75">
      <c r="A552" s="1571"/>
      <c r="F552" s="1"/>
      <c r="G552" s="1"/>
      <c r="H552" s="1"/>
      <c r="I552" s="1"/>
      <c r="L552" s="302"/>
      <c r="M552" s="302"/>
    </row>
    <row r="553" spans="1:13" customFormat="1" ht="12.75">
      <c r="A553" s="1571"/>
      <c r="F553" s="1"/>
      <c r="G553" s="1"/>
      <c r="H553" s="1"/>
      <c r="I553" s="1"/>
      <c r="L553" s="302"/>
      <c r="M553" s="302"/>
    </row>
    <row r="554" spans="1:13" customFormat="1" ht="12.75">
      <c r="A554" s="1571"/>
      <c r="F554" s="1"/>
      <c r="G554" s="1"/>
      <c r="H554" s="1"/>
      <c r="I554" s="1"/>
      <c r="L554" s="302"/>
      <c r="M554" s="302"/>
    </row>
    <row r="555" spans="1:13" customFormat="1" ht="12.75">
      <c r="A555" s="1571"/>
      <c r="F555" s="1"/>
      <c r="G555" s="1"/>
      <c r="H555" s="1"/>
      <c r="I555" s="1"/>
      <c r="L555" s="302"/>
      <c r="M555" s="302"/>
    </row>
    <row r="556" spans="1:13" customFormat="1" ht="12.75">
      <c r="A556" s="1571"/>
      <c r="F556" s="1"/>
      <c r="G556" s="1"/>
      <c r="H556" s="1"/>
      <c r="I556" s="1"/>
      <c r="L556" s="302"/>
      <c r="M556" s="302"/>
    </row>
    <row r="557" spans="1:13" customFormat="1" ht="12.75">
      <c r="A557" s="1571"/>
      <c r="F557" s="1"/>
      <c r="G557" s="1"/>
      <c r="H557" s="1"/>
      <c r="I557" s="1"/>
      <c r="L557" s="302"/>
      <c r="M557" s="302"/>
    </row>
    <row r="558" spans="1:13" customFormat="1" ht="12.75">
      <c r="A558" s="1571"/>
      <c r="F558" s="1"/>
      <c r="G558" s="1"/>
      <c r="H558" s="1"/>
      <c r="I558" s="1"/>
      <c r="L558" s="302"/>
      <c r="M558" s="302"/>
    </row>
    <row r="559" spans="1:13" customFormat="1" ht="12.75">
      <c r="A559" s="1571"/>
      <c r="F559" s="1"/>
      <c r="G559" s="1"/>
      <c r="H559" s="1"/>
      <c r="I559" s="1"/>
      <c r="L559" s="302"/>
      <c r="M559" s="302"/>
    </row>
    <row r="560" spans="1:13" customFormat="1" ht="12.75">
      <c r="A560" s="1571"/>
      <c r="F560" s="1"/>
      <c r="G560" s="1"/>
      <c r="H560" s="1"/>
      <c r="I560" s="1"/>
      <c r="L560" s="302"/>
      <c r="M560" s="302"/>
    </row>
    <row r="561" spans="1:13" customFormat="1" ht="12.75">
      <c r="A561" s="1571"/>
      <c r="F561" s="1"/>
      <c r="G561" s="1"/>
      <c r="H561" s="1"/>
      <c r="I561" s="1"/>
      <c r="L561" s="302"/>
      <c r="M561" s="302"/>
    </row>
    <row r="562" spans="1:13" customFormat="1" ht="12.75">
      <c r="A562" s="1571"/>
      <c r="F562" s="1"/>
      <c r="G562" s="1"/>
      <c r="H562" s="1"/>
      <c r="I562" s="1"/>
      <c r="L562" s="302"/>
      <c r="M562" s="302"/>
    </row>
    <row r="563" spans="1:13" customFormat="1" ht="12.75">
      <c r="A563" s="1571"/>
      <c r="F563" s="1"/>
      <c r="G563" s="1"/>
      <c r="H563" s="1"/>
      <c r="I563" s="1"/>
      <c r="L563" s="302"/>
      <c r="M563" s="302"/>
    </row>
    <row r="564" spans="1:13" customFormat="1" ht="12.75">
      <c r="A564" s="1571"/>
      <c r="F564" s="1"/>
      <c r="G564" s="1"/>
      <c r="H564" s="1"/>
      <c r="I564" s="1"/>
      <c r="L564" s="302"/>
      <c r="M564" s="302"/>
    </row>
    <row r="565" spans="1:13" customFormat="1" ht="12.75">
      <c r="A565" s="1571"/>
      <c r="F565" s="1"/>
      <c r="G565" s="1"/>
      <c r="H565" s="1"/>
      <c r="I565" s="1"/>
      <c r="L565" s="302"/>
      <c r="M565" s="302"/>
    </row>
    <row r="566" spans="1:13" customFormat="1" ht="12.75">
      <c r="A566" s="1571"/>
      <c r="F566" s="1"/>
      <c r="G566" s="1"/>
      <c r="H566" s="1"/>
      <c r="I566" s="1"/>
      <c r="L566" s="302"/>
      <c r="M566" s="302"/>
    </row>
    <row r="567" spans="1:13" customFormat="1" ht="12.75">
      <c r="A567" s="1571"/>
      <c r="F567" s="1"/>
      <c r="G567" s="1"/>
      <c r="H567" s="1"/>
      <c r="I567" s="1"/>
      <c r="L567" s="302"/>
      <c r="M567" s="302"/>
    </row>
    <row r="568" spans="1:13" customFormat="1" ht="12.75">
      <c r="A568" s="1571"/>
      <c r="F568" s="1"/>
      <c r="G568" s="1"/>
      <c r="H568" s="1"/>
      <c r="I568" s="1"/>
      <c r="L568" s="302"/>
      <c r="M568" s="302"/>
    </row>
    <row r="569" spans="1:13" customFormat="1" ht="12.75">
      <c r="A569" s="1571"/>
      <c r="F569" s="1"/>
      <c r="G569" s="1"/>
      <c r="H569" s="1"/>
      <c r="I569" s="1"/>
      <c r="L569" s="302"/>
      <c r="M569" s="302"/>
    </row>
    <row r="570" spans="1:13" customFormat="1" ht="12.75">
      <c r="A570" s="1571"/>
      <c r="F570" s="1"/>
      <c r="G570" s="1"/>
      <c r="H570" s="1"/>
      <c r="I570" s="1"/>
      <c r="L570" s="302"/>
      <c r="M570" s="302"/>
    </row>
    <row r="571" spans="1:13" customFormat="1" ht="12.75">
      <c r="A571" s="1571"/>
      <c r="F571" s="1"/>
      <c r="G571" s="1"/>
      <c r="H571" s="1"/>
      <c r="I571" s="1"/>
      <c r="L571" s="302"/>
      <c r="M571" s="302"/>
    </row>
    <row r="572" spans="1:13" customFormat="1" ht="12.75">
      <c r="A572" s="1571"/>
      <c r="F572" s="1"/>
      <c r="G572" s="1"/>
      <c r="H572" s="1"/>
      <c r="I572" s="1"/>
      <c r="L572" s="302"/>
      <c r="M572" s="302"/>
    </row>
    <row r="573" spans="1:13" customFormat="1" ht="12.75">
      <c r="A573" s="1571"/>
      <c r="F573" s="1"/>
      <c r="G573" s="1"/>
      <c r="H573" s="1"/>
      <c r="I573" s="1"/>
      <c r="L573" s="302"/>
      <c r="M573" s="302"/>
    </row>
    <row r="574" spans="1:13" customFormat="1" ht="12.75">
      <c r="A574" s="1571"/>
      <c r="F574" s="1"/>
      <c r="G574" s="1"/>
      <c r="H574" s="1"/>
      <c r="I574" s="1"/>
      <c r="L574" s="302"/>
      <c r="M574" s="302"/>
    </row>
    <row r="575" spans="1:13" customFormat="1" ht="12.75">
      <c r="A575" s="1571"/>
      <c r="F575" s="1"/>
      <c r="G575" s="1"/>
      <c r="H575" s="1"/>
      <c r="I575" s="1"/>
      <c r="L575" s="302"/>
      <c r="M575" s="302"/>
    </row>
    <row r="576" spans="1:13" customFormat="1" ht="12.75">
      <c r="A576" s="1571"/>
      <c r="F576" s="1"/>
      <c r="G576" s="1"/>
      <c r="H576" s="1"/>
      <c r="I576" s="1"/>
      <c r="L576" s="302"/>
      <c r="M576" s="302"/>
    </row>
    <row r="577" spans="1:13" customFormat="1" ht="12.75">
      <c r="A577" s="1571"/>
      <c r="F577" s="1"/>
      <c r="G577" s="1"/>
      <c r="H577" s="1"/>
      <c r="I577" s="1"/>
      <c r="L577" s="302"/>
      <c r="M577" s="302"/>
    </row>
    <row r="578" spans="1:13" customFormat="1" ht="12.75">
      <c r="A578" s="1571"/>
      <c r="F578" s="1"/>
      <c r="G578" s="1"/>
      <c r="H578" s="1"/>
      <c r="I578" s="1"/>
      <c r="L578" s="302"/>
      <c r="M578" s="302"/>
    </row>
    <row r="579" spans="1:13" customFormat="1" ht="12.75">
      <c r="A579" s="1571"/>
      <c r="F579" s="1"/>
      <c r="G579" s="1"/>
      <c r="H579" s="1"/>
      <c r="I579" s="1"/>
      <c r="L579" s="302"/>
      <c r="M579" s="302"/>
    </row>
    <row r="580" spans="1:13" customFormat="1" ht="12.75">
      <c r="A580" s="1571"/>
      <c r="F580" s="1"/>
      <c r="G580" s="1"/>
      <c r="H580" s="1"/>
      <c r="I580" s="1"/>
      <c r="L580" s="302"/>
      <c r="M580" s="302"/>
    </row>
    <row r="581" spans="1:13" customFormat="1" ht="12.75">
      <c r="A581" s="1571"/>
      <c r="F581" s="1"/>
      <c r="G581" s="1"/>
      <c r="H581" s="1"/>
      <c r="I581" s="1"/>
      <c r="L581" s="302"/>
      <c r="M581" s="302"/>
    </row>
    <row r="582" spans="1:13" customFormat="1" ht="12.75">
      <c r="A582" s="1571"/>
      <c r="F582" s="1"/>
      <c r="G582" s="1"/>
      <c r="H582" s="1"/>
      <c r="I582" s="1"/>
      <c r="L582" s="302"/>
      <c r="M582" s="302"/>
    </row>
    <row r="583" spans="1:13" customFormat="1" ht="12.75">
      <c r="A583" s="1571"/>
      <c r="F583" s="1"/>
      <c r="G583" s="1"/>
      <c r="H583" s="1"/>
      <c r="I583" s="1"/>
      <c r="L583" s="302"/>
      <c r="M583" s="302"/>
    </row>
    <row r="584" spans="1:13" customFormat="1" ht="12.75">
      <c r="A584" s="1571"/>
      <c r="F584" s="1"/>
      <c r="G584" s="1"/>
      <c r="H584" s="1"/>
      <c r="I584" s="1"/>
      <c r="L584" s="302"/>
      <c r="M584" s="302"/>
    </row>
    <row r="585" spans="1:13" customFormat="1" ht="12.75">
      <c r="A585" s="1571"/>
      <c r="F585" s="1"/>
      <c r="G585" s="1"/>
      <c r="H585" s="1"/>
      <c r="I585" s="1"/>
      <c r="L585" s="302"/>
      <c r="M585" s="302"/>
    </row>
    <row r="586" spans="1:13" customFormat="1" ht="12.75">
      <c r="A586" s="1571"/>
      <c r="F586" s="1"/>
      <c r="G586" s="1"/>
      <c r="H586" s="1"/>
      <c r="I586" s="1"/>
      <c r="L586" s="302"/>
      <c r="M586" s="302"/>
    </row>
    <row r="587" spans="1:13" customFormat="1" ht="12.75">
      <c r="A587" s="1571"/>
      <c r="F587" s="1"/>
      <c r="G587" s="1"/>
      <c r="H587" s="1"/>
      <c r="I587" s="1"/>
      <c r="L587" s="302"/>
      <c r="M587" s="302"/>
    </row>
    <row r="588" spans="1:13" customFormat="1" ht="12.75">
      <c r="A588" s="1571"/>
      <c r="F588" s="1"/>
      <c r="G588" s="1"/>
      <c r="H588" s="1"/>
      <c r="I588" s="1"/>
      <c r="L588" s="302"/>
      <c r="M588" s="302"/>
    </row>
    <row r="589" spans="1:13" customFormat="1" ht="12.75">
      <c r="A589" s="1571"/>
      <c r="F589" s="1"/>
      <c r="G589" s="1"/>
      <c r="H589" s="1"/>
      <c r="I589" s="1"/>
      <c r="L589" s="302"/>
      <c r="M589" s="302"/>
    </row>
    <row r="590" spans="1:13" customFormat="1" ht="12.75">
      <c r="A590" s="1571"/>
      <c r="F590" s="1"/>
      <c r="G590" s="1"/>
      <c r="H590" s="1"/>
      <c r="I590" s="1"/>
      <c r="L590" s="302"/>
      <c r="M590" s="302"/>
    </row>
    <row r="591" spans="1:13" customFormat="1" ht="12.75">
      <c r="A591" s="1571"/>
      <c r="F591" s="1"/>
      <c r="G591" s="1"/>
      <c r="H591" s="1"/>
      <c r="I591" s="1"/>
      <c r="L591" s="302"/>
      <c r="M591" s="302"/>
    </row>
    <row r="592" spans="1:13" customFormat="1" ht="12.75">
      <c r="A592" s="1571"/>
      <c r="F592" s="1"/>
      <c r="G592" s="1"/>
      <c r="H592" s="1"/>
      <c r="I592" s="1"/>
      <c r="L592" s="302"/>
      <c r="M592" s="302"/>
    </row>
    <row r="593" spans="1:13" customFormat="1" ht="12.75">
      <c r="A593" s="1571"/>
      <c r="F593" s="1"/>
      <c r="G593" s="1"/>
      <c r="H593" s="1"/>
      <c r="I593" s="1"/>
      <c r="L593" s="302"/>
      <c r="M593" s="302"/>
    </row>
    <row r="594" spans="1:13" customFormat="1" ht="12.75">
      <c r="A594" s="1571"/>
      <c r="F594" s="1"/>
      <c r="G594" s="1"/>
      <c r="H594" s="1"/>
      <c r="I594" s="1"/>
      <c r="L594" s="302"/>
      <c r="M594" s="302"/>
    </row>
    <row r="595" spans="1:13" customFormat="1" ht="12.75">
      <c r="A595" s="1571"/>
      <c r="F595" s="1"/>
      <c r="G595" s="1"/>
      <c r="H595" s="1"/>
      <c r="I595" s="1"/>
      <c r="L595" s="302"/>
      <c r="M595" s="302"/>
    </row>
    <row r="596" spans="1:13" customFormat="1" ht="12.75">
      <c r="A596" s="1571"/>
      <c r="F596" s="1"/>
      <c r="G596" s="1"/>
      <c r="H596" s="1"/>
      <c r="I596" s="1"/>
      <c r="L596" s="302"/>
      <c r="M596" s="302"/>
    </row>
    <row r="597" spans="1:13" customFormat="1" ht="12.75">
      <c r="A597" s="1571"/>
      <c r="F597" s="1"/>
      <c r="G597" s="1"/>
      <c r="H597" s="1"/>
      <c r="I597" s="1"/>
      <c r="L597" s="302"/>
      <c r="M597" s="302"/>
    </row>
    <row r="598" spans="1:13" customFormat="1" ht="12.75">
      <c r="A598" s="1571"/>
      <c r="F598" s="1"/>
      <c r="G598" s="1"/>
      <c r="H598" s="1"/>
      <c r="I598" s="1"/>
      <c r="L598" s="302"/>
      <c r="M598" s="302"/>
    </row>
    <row r="599" spans="1:13" customFormat="1" ht="12.75">
      <c r="A599" s="1571"/>
      <c r="F599" s="1"/>
      <c r="G599" s="1"/>
      <c r="H599" s="1"/>
      <c r="I599" s="1"/>
      <c r="L599" s="302"/>
      <c r="M599" s="302"/>
    </row>
    <row r="600" spans="1:13" customFormat="1" ht="12.75">
      <c r="A600" s="1571"/>
      <c r="F600" s="1"/>
      <c r="G600" s="1"/>
      <c r="H600" s="1"/>
      <c r="I600" s="1"/>
      <c r="L600" s="302"/>
      <c r="M600" s="302"/>
    </row>
    <row r="601" spans="1:13" customFormat="1" ht="12.75">
      <c r="A601" s="1571"/>
      <c r="F601" s="1"/>
      <c r="G601" s="1"/>
      <c r="H601" s="1"/>
      <c r="I601" s="1"/>
      <c r="L601" s="302"/>
      <c r="M601" s="302"/>
    </row>
    <row r="602" spans="1:13" customFormat="1" ht="12.75">
      <c r="A602" s="1571"/>
      <c r="F602" s="1"/>
      <c r="G602" s="1"/>
      <c r="H602" s="1"/>
      <c r="I602" s="1"/>
      <c r="L602" s="302"/>
      <c r="M602" s="302"/>
    </row>
    <row r="603" spans="1:13" customFormat="1" ht="12.75">
      <c r="A603" s="1571"/>
      <c r="F603" s="1"/>
      <c r="G603" s="1"/>
      <c r="H603" s="1"/>
      <c r="I603" s="1"/>
      <c r="L603" s="302"/>
      <c r="M603" s="302"/>
    </row>
    <row r="604" spans="1:13" customFormat="1" ht="12.75">
      <c r="A604" s="1571"/>
      <c r="F604" s="1"/>
      <c r="G604" s="1"/>
      <c r="H604" s="1"/>
      <c r="I604" s="1"/>
      <c r="L604" s="302"/>
      <c r="M604" s="302"/>
    </row>
    <row r="605" spans="1:13" customFormat="1" ht="12.75">
      <c r="A605" s="1571"/>
      <c r="F605" s="1"/>
      <c r="G605" s="1"/>
      <c r="H605" s="1"/>
      <c r="I605" s="1"/>
      <c r="L605" s="302"/>
      <c r="M605" s="302"/>
    </row>
    <row r="606" spans="1:13" customFormat="1" ht="12.75">
      <c r="A606" s="1571"/>
      <c r="F606" s="1"/>
      <c r="G606" s="1"/>
      <c r="H606" s="1"/>
      <c r="I606" s="1"/>
      <c r="L606" s="302"/>
      <c r="M606" s="302"/>
    </row>
    <row r="607" spans="1:13" customFormat="1" ht="12.75">
      <c r="A607" s="1571"/>
      <c r="F607" s="1"/>
      <c r="G607" s="1"/>
      <c r="H607" s="1"/>
      <c r="I607" s="1"/>
      <c r="L607" s="302"/>
      <c r="M607" s="302"/>
    </row>
    <row r="608" spans="1:13" customFormat="1" ht="12.75">
      <c r="A608" s="1571"/>
      <c r="F608" s="1"/>
      <c r="G608" s="1"/>
      <c r="H608" s="1"/>
      <c r="I608" s="1"/>
      <c r="L608" s="302"/>
      <c r="M608" s="302"/>
    </row>
    <row r="609" spans="1:13" customFormat="1" ht="12.75">
      <c r="A609" s="1571"/>
      <c r="F609" s="1"/>
      <c r="G609" s="1"/>
      <c r="H609" s="1"/>
      <c r="I609" s="1"/>
      <c r="L609" s="302"/>
      <c r="M609" s="302"/>
    </row>
    <row r="610" spans="1:13" customFormat="1" ht="12.75">
      <c r="A610" s="1571"/>
      <c r="F610" s="1"/>
      <c r="G610" s="1"/>
      <c r="H610" s="1"/>
      <c r="I610" s="1"/>
      <c r="L610" s="302"/>
      <c r="M610" s="302"/>
    </row>
    <row r="611" spans="1:13" customFormat="1" ht="12.75">
      <c r="A611" s="1571"/>
      <c r="F611" s="1"/>
      <c r="G611" s="1"/>
      <c r="H611" s="1"/>
      <c r="I611" s="1"/>
      <c r="L611" s="302"/>
      <c r="M611" s="302"/>
    </row>
    <row r="612" spans="1:13" customFormat="1" ht="12.75">
      <c r="A612" s="1571"/>
      <c r="F612" s="1"/>
      <c r="G612" s="1"/>
      <c r="H612" s="1"/>
      <c r="I612" s="1"/>
      <c r="L612" s="302"/>
      <c r="M612" s="302"/>
    </row>
    <row r="613" spans="1:13" customFormat="1" ht="12.75">
      <c r="A613" s="1571"/>
      <c r="F613" s="1"/>
      <c r="G613" s="1"/>
      <c r="H613" s="1"/>
      <c r="I613" s="1"/>
      <c r="L613" s="302"/>
      <c r="M613" s="302"/>
    </row>
    <row r="614" spans="1:13" customFormat="1" ht="12.75">
      <c r="A614" s="1571"/>
      <c r="F614" s="1"/>
      <c r="G614" s="1"/>
      <c r="H614" s="1"/>
      <c r="I614" s="1"/>
      <c r="L614" s="302"/>
      <c r="M614" s="302"/>
    </row>
    <row r="615" spans="1:13" customFormat="1" ht="12.75">
      <c r="A615" s="1571"/>
      <c r="F615" s="1"/>
      <c r="G615" s="1"/>
      <c r="H615" s="1"/>
      <c r="I615" s="1"/>
      <c r="L615" s="302"/>
      <c r="M615" s="302"/>
    </row>
    <row r="616" spans="1:13" customFormat="1" ht="12.75">
      <c r="A616" s="1571"/>
      <c r="F616" s="1"/>
      <c r="G616" s="1"/>
      <c r="H616" s="1"/>
      <c r="I616" s="1"/>
      <c r="L616" s="302"/>
      <c r="M616" s="302"/>
    </row>
    <row r="617" spans="1:13" customFormat="1" ht="12.75">
      <c r="A617" s="1571"/>
      <c r="F617" s="1"/>
      <c r="G617" s="1"/>
      <c r="H617" s="1"/>
      <c r="I617" s="1"/>
      <c r="L617" s="302"/>
      <c r="M617" s="302"/>
    </row>
    <row r="618" spans="1:13" customFormat="1" ht="12.75">
      <c r="A618" s="1571"/>
      <c r="F618" s="1"/>
      <c r="G618" s="1"/>
      <c r="H618" s="1"/>
      <c r="I618" s="1"/>
      <c r="L618" s="302"/>
      <c r="M618" s="302"/>
    </row>
    <row r="619" spans="1:13" customFormat="1" ht="12.75">
      <c r="A619" s="1571"/>
      <c r="F619" s="1"/>
      <c r="G619" s="1"/>
      <c r="H619" s="1"/>
      <c r="I619" s="1"/>
      <c r="L619" s="302"/>
      <c r="M619" s="302"/>
    </row>
    <row r="620" spans="1:13" customFormat="1" ht="12.75">
      <c r="A620" s="1571"/>
      <c r="F620" s="1"/>
      <c r="G620" s="1"/>
      <c r="H620" s="1"/>
      <c r="I620" s="1"/>
      <c r="L620" s="302"/>
      <c r="M620" s="302"/>
    </row>
    <row r="621" spans="1:13" customFormat="1" ht="12.75">
      <c r="A621" s="1571"/>
      <c r="F621" s="1"/>
      <c r="G621" s="1"/>
      <c r="H621" s="1"/>
      <c r="I621" s="1"/>
      <c r="L621" s="302"/>
      <c r="M621" s="302"/>
    </row>
    <row r="622" spans="1:13" customFormat="1" ht="12.75">
      <c r="A622" s="1571"/>
      <c r="F622" s="1"/>
      <c r="G622" s="1"/>
      <c r="H622" s="1"/>
      <c r="I622" s="1"/>
      <c r="L622" s="302"/>
      <c r="M622" s="302"/>
    </row>
    <row r="623" spans="1:13" customFormat="1" ht="12.75">
      <c r="A623" s="1571"/>
      <c r="F623" s="1"/>
      <c r="G623" s="1"/>
      <c r="H623" s="1"/>
      <c r="I623" s="1"/>
      <c r="L623" s="302"/>
      <c r="M623" s="302"/>
    </row>
    <row r="624" spans="1:13" customFormat="1" ht="12.75">
      <c r="A624" s="1571"/>
      <c r="F624" s="1"/>
      <c r="G624" s="1"/>
      <c r="H624" s="1"/>
      <c r="I624" s="1"/>
      <c r="L624" s="302"/>
      <c r="M624" s="302"/>
    </row>
    <row r="625" spans="1:13" customFormat="1" ht="12.75">
      <c r="A625" s="1571"/>
      <c r="F625" s="1"/>
      <c r="G625" s="1"/>
      <c r="H625" s="1"/>
      <c r="I625" s="1"/>
      <c r="L625" s="302"/>
      <c r="M625" s="302"/>
    </row>
    <row r="626" spans="1:13" customFormat="1" ht="12.75">
      <c r="A626" s="1571"/>
      <c r="F626" s="1"/>
      <c r="G626" s="1"/>
      <c r="H626" s="1"/>
      <c r="I626" s="1"/>
      <c r="L626" s="302"/>
      <c r="M626" s="302"/>
    </row>
    <row r="627" spans="1:13" customFormat="1" ht="12.75">
      <c r="A627" s="1571"/>
      <c r="F627" s="1"/>
      <c r="G627" s="1"/>
      <c r="H627" s="1"/>
      <c r="I627" s="1"/>
      <c r="L627" s="302"/>
      <c r="M627" s="302"/>
    </row>
    <row r="628" spans="1:13" customFormat="1" ht="12.75">
      <c r="A628" s="1571"/>
      <c r="F628" s="1"/>
      <c r="G628" s="1"/>
      <c r="H628" s="1"/>
      <c r="I628" s="1"/>
      <c r="L628" s="302"/>
      <c r="M628" s="302"/>
    </row>
    <row r="629" spans="1:13" customFormat="1" ht="12.75">
      <c r="A629" s="1571"/>
      <c r="F629" s="1"/>
      <c r="G629" s="1"/>
      <c r="H629" s="1"/>
      <c r="I629" s="1"/>
      <c r="L629" s="302"/>
      <c r="M629" s="302"/>
    </row>
    <row r="630" spans="1:13" customFormat="1" ht="12.75">
      <c r="A630" s="1571"/>
      <c r="F630" s="1"/>
      <c r="G630" s="1"/>
      <c r="H630" s="1"/>
      <c r="I630" s="1"/>
      <c r="L630" s="302"/>
      <c r="M630" s="302"/>
    </row>
    <row r="631" spans="1:13" customFormat="1" ht="12.75">
      <c r="A631" s="1571"/>
      <c r="F631" s="1"/>
      <c r="G631" s="1"/>
      <c r="H631" s="1"/>
      <c r="I631" s="1"/>
      <c r="L631" s="302"/>
      <c r="M631" s="302"/>
    </row>
    <row r="632" spans="1:13" customFormat="1" ht="12.75">
      <c r="A632" s="1571"/>
      <c r="F632" s="1"/>
      <c r="G632" s="1"/>
      <c r="H632" s="1"/>
      <c r="I632" s="1"/>
      <c r="L632" s="302"/>
      <c r="M632" s="302"/>
    </row>
    <row r="633" spans="1:13" customFormat="1" ht="12.75">
      <c r="A633" s="1571"/>
      <c r="F633" s="1"/>
      <c r="G633" s="1"/>
      <c r="H633" s="1"/>
      <c r="I633" s="1"/>
      <c r="L633" s="302"/>
      <c r="M633" s="302"/>
    </row>
    <row r="634" spans="1:13" customFormat="1" ht="12.75">
      <c r="A634" s="1571"/>
      <c r="F634" s="1"/>
      <c r="G634" s="1"/>
      <c r="H634" s="1"/>
      <c r="I634" s="1"/>
      <c r="L634" s="302"/>
      <c r="M634" s="302"/>
    </row>
    <row r="635" spans="1:13" customFormat="1" ht="12.75">
      <c r="A635" s="1571"/>
      <c r="F635" s="1"/>
      <c r="G635" s="1"/>
      <c r="H635" s="1"/>
      <c r="I635" s="1"/>
      <c r="L635" s="302"/>
      <c r="M635" s="302"/>
    </row>
    <row r="636" spans="1:13" customFormat="1" ht="12.75">
      <c r="A636" s="1571"/>
      <c r="F636" s="1"/>
      <c r="G636" s="1"/>
      <c r="H636" s="1"/>
      <c r="I636" s="1"/>
      <c r="L636" s="302"/>
      <c r="M636" s="302"/>
    </row>
    <row r="637" spans="1:13" customFormat="1" ht="12.75">
      <c r="A637" s="1571"/>
      <c r="F637" s="1"/>
      <c r="G637" s="1"/>
      <c r="H637" s="1"/>
      <c r="I637" s="1"/>
      <c r="L637" s="302"/>
      <c r="M637" s="302"/>
    </row>
    <row r="638" spans="1:13" customFormat="1" ht="12.75">
      <c r="A638" s="1571"/>
      <c r="F638" s="1"/>
      <c r="G638" s="1"/>
      <c r="H638" s="1"/>
      <c r="I638" s="1"/>
      <c r="L638" s="302"/>
      <c r="M638" s="302"/>
    </row>
    <row r="639" spans="1:13" customFormat="1" ht="12.75">
      <c r="A639" s="1571"/>
      <c r="F639" s="1"/>
      <c r="G639" s="1"/>
      <c r="H639" s="1"/>
      <c r="I639" s="1"/>
      <c r="L639" s="302"/>
      <c r="M639" s="302"/>
    </row>
    <row r="640" spans="1:13" customFormat="1" ht="12.75">
      <c r="A640" s="1571"/>
      <c r="F640" s="1"/>
      <c r="G640" s="1"/>
      <c r="H640" s="1"/>
      <c r="I640" s="1"/>
      <c r="L640" s="302"/>
      <c r="M640" s="302"/>
    </row>
    <row r="641" spans="1:13" customFormat="1" ht="12.75">
      <c r="A641" s="1571"/>
      <c r="F641" s="1"/>
      <c r="G641" s="1"/>
      <c r="H641" s="1"/>
      <c r="I641" s="1"/>
      <c r="L641" s="302"/>
      <c r="M641" s="302"/>
    </row>
    <row r="642" spans="1:13" customFormat="1" ht="12.75">
      <c r="A642" s="1571"/>
      <c r="F642" s="1"/>
      <c r="G642" s="1"/>
      <c r="H642" s="1"/>
      <c r="I642" s="1"/>
      <c r="L642" s="302"/>
      <c r="M642" s="302"/>
    </row>
    <row r="643" spans="1:13" customFormat="1" ht="12.75">
      <c r="A643" s="1571"/>
      <c r="F643" s="1"/>
      <c r="G643" s="1"/>
      <c r="H643" s="1"/>
      <c r="I643" s="1"/>
      <c r="L643" s="302"/>
      <c r="M643" s="302"/>
    </row>
    <row r="644" spans="1:13" customFormat="1" ht="12.75">
      <c r="A644" s="1571"/>
      <c r="F644" s="1"/>
      <c r="G644" s="1"/>
      <c r="H644" s="1"/>
      <c r="I644" s="1"/>
      <c r="L644" s="302"/>
      <c r="M644" s="302"/>
    </row>
    <row r="645" spans="1:13" customFormat="1" ht="12.75">
      <c r="A645" s="1571"/>
      <c r="F645" s="1"/>
      <c r="G645" s="1"/>
      <c r="H645" s="1"/>
      <c r="I645" s="1"/>
      <c r="L645" s="302"/>
      <c r="M645" s="302"/>
    </row>
    <row r="646" spans="1:13" customFormat="1" ht="12.75">
      <c r="A646" s="1571"/>
      <c r="F646" s="1"/>
      <c r="G646" s="1"/>
      <c r="H646" s="1"/>
      <c r="I646" s="1"/>
      <c r="L646" s="302"/>
      <c r="M646" s="302"/>
    </row>
    <row r="647" spans="1:13" customFormat="1" ht="12.75">
      <c r="A647" s="1571"/>
      <c r="F647" s="1"/>
      <c r="G647" s="1"/>
      <c r="H647" s="1"/>
      <c r="I647" s="1"/>
      <c r="L647" s="302"/>
      <c r="M647" s="302"/>
    </row>
    <row r="648" spans="1:13" customFormat="1" ht="12.75">
      <c r="A648" s="1571"/>
      <c r="F648" s="1"/>
      <c r="G648" s="1"/>
      <c r="H648" s="1"/>
      <c r="I648" s="1"/>
      <c r="L648" s="302"/>
      <c r="M648" s="302"/>
    </row>
    <row r="649" spans="1:13" customFormat="1" ht="12.75">
      <c r="A649" s="1571"/>
      <c r="F649" s="1"/>
      <c r="G649" s="1"/>
      <c r="H649" s="1"/>
      <c r="I649" s="1"/>
      <c r="L649" s="302"/>
      <c r="M649" s="302"/>
    </row>
    <row r="650" spans="1:13" customFormat="1" ht="12.75">
      <c r="A650" s="1571"/>
      <c r="F650" s="1"/>
      <c r="G650" s="1"/>
      <c r="H650" s="1"/>
      <c r="I650" s="1"/>
      <c r="L650" s="302"/>
      <c r="M650" s="302"/>
    </row>
    <row r="651" spans="1:13" customFormat="1" ht="12.75">
      <c r="A651" s="1571"/>
      <c r="F651" s="1"/>
      <c r="G651" s="1"/>
      <c r="H651" s="1"/>
      <c r="I651" s="1"/>
      <c r="L651" s="302"/>
      <c r="M651" s="302"/>
    </row>
    <row r="652" spans="1:13" customFormat="1" ht="12.75">
      <c r="A652" s="1571"/>
      <c r="F652" s="1"/>
      <c r="G652" s="1"/>
      <c r="H652" s="1"/>
      <c r="I652" s="1"/>
      <c r="L652" s="302"/>
      <c r="M652" s="302"/>
    </row>
    <row r="653" spans="1:13" customFormat="1" ht="12.75">
      <c r="A653" s="1571"/>
      <c r="F653" s="1"/>
      <c r="G653" s="1"/>
      <c r="H653" s="1"/>
      <c r="I653" s="1"/>
      <c r="L653" s="302"/>
      <c r="M653" s="302"/>
    </row>
    <row r="654" spans="1:13" customFormat="1" ht="12.75">
      <c r="A654" s="1571"/>
      <c r="F654" s="1"/>
      <c r="G654" s="1"/>
      <c r="H654" s="1"/>
      <c r="I654" s="1"/>
      <c r="L654" s="302"/>
      <c r="M654" s="302"/>
    </row>
    <row r="655" spans="1:13" customFormat="1" ht="12.75">
      <c r="A655" s="1571"/>
      <c r="F655" s="1"/>
      <c r="G655" s="1"/>
      <c r="H655" s="1"/>
      <c r="I655" s="1"/>
      <c r="L655" s="302"/>
      <c r="M655" s="302"/>
    </row>
    <row r="656" spans="1:13" customFormat="1" ht="12.75">
      <c r="A656" s="1571"/>
      <c r="F656" s="1"/>
      <c r="G656" s="1"/>
      <c r="H656" s="1"/>
      <c r="I656" s="1"/>
      <c r="L656" s="302"/>
      <c r="M656" s="302"/>
    </row>
    <row r="657" spans="1:13" customFormat="1" ht="12.75">
      <c r="A657" s="1571"/>
      <c r="F657" s="1"/>
      <c r="G657" s="1"/>
      <c r="H657" s="1"/>
      <c r="I657" s="1"/>
      <c r="L657" s="302"/>
      <c r="M657" s="302"/>
    </row>
    <row r="658" spans="1:13" customFormat="1" ht="12.75">
      <c r="A658" s="1571"/>
      <c r="F658" s="1"/>
      <c r="G658" s="1"/>
      <c r="H658" s="1"/>
      <c r="I658" s="1"/>
      <c r="L658" s="302"/>
      <c r="M658" s="302"/>
    </row>
    <row r="659" spans="1:13" customFormat="1" ht="12.75">
      <c r="A659" s="1571"/>
      <c r="F659" s="1"/>
      <c r="G659" s="1"/>
      <c r="H659" s="1"/>
      <c r="I659" s="1"/>
      <c r="L659" s="302"/>
      <c r="M659" s="302"/>
    </row>
    <row r="660" spans="1:13" customFormat="1" ht="12.75">
      <c r="A660" s="1571"/>
      <c r="F660" s="1"/>
      <c r="G660" s="1"/>
      <c r="H660" s="1"/>
      <c r="I660" s="1"/>
      <c r="L660" s="302"/>
      <c r="M660" s="302"/>
    </row>
    <row r="661" spans="1:13" customFormat="1" ht="12.75">
      <c r="A661" s="1571"/>
      <c r="F661" s="1"/>
      <c r="G661" s="1"/>
      <c r="H661" s="1"/>
      <c r="I661" s="1"/>
      <c r="L661" s="302"/>
      <c r="M661" s="302"/>
    </row>
    <row r="662" spans="1:13" customFormat="1" ht="12.75">
      <c r="A662" s="1571"/>
      <c r="F662" s="1"/>
      <c r="G662" s="1"/>
      <c r="H662" s="1"/>
      <c r="I662" s="1"/>
      <c r="L662" s="302"/>
      <c r="M662" s="302"/>
    </row>
    <row r="663" spans="1:13" customFormat="1" ht="12.75">
      <c r="A663" s="1571"/>
      <c r="F663" s="1"/>
      <c r="G663" s="1"/>
      <c r="H663" s="1"/>
      <c r="I663" s="1"/>
      <c r="L663" s="302"/>
      <c r="M663" s="302"/>
    </row>
    <row r="664" spans="1:13" customFormat="1" ht="12.75">
      <c r="A664" s="1571"/>
      <c r="F664" s="1"/>
      <c r="G664" s="1"/>
      <c r="H664" s="1"/>
      <c r="I664" s="1"/>
      <c r="L664" s="302"/>
      <c r="M664" s="302"/>
    </row>
    <row r="665" spans="1:13" customFormat="1" ht="12.75">
      <c r="A665" s="1571"/>
      <c r="F665" s="1"/>
      <c r="G665" s="1"/>
      <c r="H665" s="1"/>
      <c r="I665" s="1"/>
      <c r="L665" s="302"/>
      <c r="M665" s="302"/>
    </row>
    <row r="666" spans="1:13" customFormat="1" ht="12.75">
      <c r="A666" s="1571"/>
      <c r="F666" s="1"/>
      <c r="G666" s="1"/>
      <c r="H666" s="1"/>
      <c r="I666" s="1"/>
      <c r="L666" s="302"/>
      <c r="M666" s="302"/>
    </row>
    <row r="667" spans="1:13" customFormat="1" ht="12.75">
      <c r="A667" s="1571"/>
      <c r="F667" s="1"/>
      <c r="G667" s="1"/>
      <c r="H667" s="1"/>
      <c r="I667" s="1"/>
      <c r="L667" s="302"/>
      <c r="M667" s="302"/>
    </row>
    <row r="668" spans="1:13" customFormat="1" ht="12.75">
      <c r="A668" s="1571"/>
      <c r="F668" s="1"/>
      <c r="G668" s="1"/>
      <c r="H668" s="1"/>
      <c r="I668" s="1"/>
      <c r="L668" s="302"/>
      <c r="M668" s="302"/>
    </row>
    <row r="669" spans="1:13" customFormat="1" ht="12.75">
      <c r="A669" s="1571"/>
      <c r="F669" s="1"/>
      <c r="G669" s="1"/>
      <c r="H669" s="1"/>
      <c r="I669" s="1"/>
      <c r="L669" s="302"/>
      <c r="M669" s="302"/>
    </row>
    <row r="670" spans="1:13" customFormat="1" ht="12.75">
      <c r="A670" s="1571"/>
      <c r="F670" s="1"/>
      <c r="G670" s="1"/>
      <c r="H670" s="1"/>
      <c r="I670" s="1"/>
      <c r="L670" s="302"/>
      <c r="M670" s="302"/>
    </row>
    <row r="671" spans="1:13" customFormat="1" ht="12.75">
      <c r="A671" s="1571"/>
      <c r="F671" s="1"/>
      <c r="G671" s="1"/>
      <c r="H671" s="1"/>
      <c r="I671" s="1"/>
      <c r="L671" s="302"/>
      <c r="M671" s="302"/>
    </row>
    <row r="672" spans="1:13" customFormat="1" ht="12.75">
      <c r="A672" s="1571"/>
      <c r="F672" s="1"/>
      <c r="G672" s="1"/>
      <c r="H672" s="1"/>
      <c r="I672" s="1"/>
      <c r="L672" s="302"/>
      <c r="M672" s="302"/>
    </row>
    <row r="673" spans="1:13" customFormat="1" ht="12.75">
      <c r="A673" s="1571"/>
      <c r="F673" s="1"/>
      <c r="G673" s="1"/>
      <c r="H673" s="1"/>
      <c r="I673" s="1"/>
      <c r="L673" s="302"/>
      <c r="M673" s="302"/>
    </row>
    <row r="674" spans="1:13" customFormat="1" ht="12.75">
      <c r="A674" s="1571"/>
      <c r="F674" s="1"/>
      <c r="G674" s="1"/>
      <c r="H674" s="1"/>
      <c r="I674" s="1"/>
      <c r="L674" s="302"/>
      <c r="M674" s="302"/>
    </row>
    <row r="675" spans="1:13" customFormat="1" ht="12.75">
      <c r="A675" s="1571"/>
      <c r="F675" s="1"/>
      <c r="G675" s="1"/>
      <c r="H675" s="1"/>
      <c r="I675" s="1"/>
      <c r="L675" s="302"/>
      <c r="M675" s="302"/>
    </row>
    <row r="676" spans="1:13" customFormat="1" ht="12.75">
      <c r="A676" s="1571"/>
      <c r="F676" s="1"/>
      <c r="G676" s="1"/>
      <c r="H676" s="1"/>
      <c r="I676" s="1"/>
      <c r="L676" s="302"/>
      <c r="M676" s="302"/>
    </row>
    <row r="677" spans="1:13" customFormat="1" ht="12.75">
      <c r="A677" s="1571"/>
      <c r="F677" s="1"/>
      <c r="G677" s="1"/>
      <c r="H677" s="1"/>
      <c r="I677" s="1"/>
      <c r="L677" s="302"/>
      <c r="M677" s="302"/>
    </row>
    <row r="678" spans="1:13" customFormat="1" ht="12.75">
      <c r="A678" s="1571"/>
      <c r="F678" s="1"/>
      <c r="G678" s="1"/>
      <c r="H678" s="1"/>
      <c r="I678" s="1"/>
      <c r="L678" s="302"/>
      <c r="M678" s="302"/>
    </row>
    <row r="679" spans="1:13" customFormat="1" ht="12.75">
      <c r="A679" s="1571"/>
      <c r="F679" s="1"/>
      <c r="G679" s="1"/>
      <c r="H679" s="1"/>
      <c r="I679" s="1"/>
      <c r="L679" s="302"/>
      <c r="M679" s="302"/>
    </row>
    <row r="680" spans="1:13" customFormat="1" ht="12.75">
      <c r="A680" s="1571"/>
      <c r="F680" s="1"/>
      <c r="G680" s="1"/>
      <c r="H680" s="1"/>
      <c r="I680" s="1"/>
      <c r="L680" s="302"/>
      <c r="M680" s="302"/>
    </row>
    <row r="681" spans="1:13" customFormat="1" ht="12.75">
      <c r="A681" s="1571"/>
      <c r="F681" s="1"/>
      <c r="G681" s="1"/>
      <c r="H681" s="1"/>
      <c r="I681" s="1"/>
      <c r="L681" s="302"/>
      <c r="M681" s="302"/>
    </row>
    <row r="682" spans="1:13" customFormat="1" ht="12.75">
      <c r="A682" s="1571"/>
      <c r="F682" s="1"/>
      <c r="G682" s="1"/>
      <c r="H682" s="1"/>
      <c r="I682" s="1"/>
      <c r="L682" s="302"/>
      <c r="M682" s="302"/>
    </row>
    <row r="683" spans="1:13" customFormat="1" ht="12.75">
      <c r="A683" s="1571"/>
      <c r="F683" s="1"/>
      <c r="G683" s="1"/>
      <c r="H683" s="1"/>
      <c r="I683" s="1"/>
      <c r="L683" s="302"/>
      <c r="M683" s="302"/>
    </row>
    <row r="684" spans="1:13" customFormat="1" ht="12.75">
      <c r="A684" s="1571"/>
      <c r="F684" s="1"/>
      <c r="G684" s="1"/>
      <c r="H684" s="1"/>
      <c r="I684" s="1"/>
      <c r="L684" s="302"/>
      <c r="M684" s="302"/>
    </row>
    <row r="685" spans="1:13" customFormat="1" ht="12.75">
      <c r="A685" s="1571"/>
      <c r="F685" s="1"/>
      <c r="G685" s="1"/>
      <c r="H685" s="1"/>
      <c r="I685" s="1"/>
      <c r="L685" s="302"/>
      <c r="M685" s="302"/>
    </row>
    <row r="686" spans="1:13" customFormat="1" ht="12.75">
      <c r="A686" s="1571"/>
      <c r="F686" s="1"/>
      <c r="G686" s="1"/>
      <c r="H686" s="1"/>
      <c r="I686" s="1"/>
      <c r="L686" s="302"/>
      <c r="M686" s="302"/>
    </row>
    <row r="687" spans="1:13" customFormat="1" ht="12.75">
      <c r="A687" s="1571"/>
      <c r="F687" s="1"/>
      <c r="G687" s="1"/>
      <c r="H687" s="1"/>
      <c r="I687" s="1"/>
      <c r="L687" s="302"/>
      <c r="M687" s="302"/>
    </row>
    <row r="688" spans="1:13" customFormat="1" ht="12.75">
      <c r="A688" s="1571"/>
      <c r="F688" s="1"/>
      <c r="G688" s="1"/>
      <c r="H688" s="1"/>
      <c r="I688" s="1"/>
      <c r="L688" s="302"/>
      <c r="M688" s="302"/>
    </row>
    <row r="689" spans="1:13" customFormat="1" ht="12.75">
      <c r="A689" s="1571"/>
      <c r="F689" s="1"/>
      <c r="G689" s="1"/>
      <c r="H689" s="1"/>
      <c r="I689" s="1"/>
      <c r="L689" s="302"/>
      <c r="M689" s="302"/>
    </row>
    <row r="690" spans="1:13" customFormat="1" ht="12.75">
      <c r="A690" s="1571"/>
      <c r="F690" s="1"/>
      <c r="G690" s="1"/>
      <c r="H690" s="1"/>
      <c r="I690" s="1"/>
      <c r="L690" s="302"/>
      <c r="M690" s="302"/>
    </row>
    <row r="691" spans="1:13" customFormat="1" ht="12.75">
      <c r="A691" s="1571"/>
      <c r="F691" s="1"/>
      <c r="G691" s="1"/>
      <c r="H691" s="1"/>
      <c r="I691" s="1"/>
      <c r="L691" s="302"/>
      <c r="M691" s="302"/>
    </row>
    <row r="692" spans="1:13" customFormat="1" ht="12.75">
      <c r="A692" s="1571"/>
      <c r="F692" s="1"/>
      <c r="G692" s="1"/>
      <c r="H692" s="1"/>
      <c r="I692" s="1"/>
      <c r="L692" s="302"/>
      <c r="M692" s="302"/>
    </row>
    <row r="693" spans="1:13" customFormat="1" ht="12.75">
      <c r="A693" s="1571"/>
      <c r="F693" s="1"/>
      <c r="G693" s="1"/>
      <c r="H693" s="1"/>
      <c r="I693" s="1"/>
      <c r="L693" s="302"/>
      <c r="M693" s="302"/>
    </row>
    <row r="694" spans="1:13" customFormat="1" ht="12.75">
      <c r="A694" s="1571"/>
      <c r="F694" s="1"/>
      <c r="G694" s="1"/>
      <c r="H694" s="1"/>
      <c r="I694" s="1"/>
      <c r="L694" s="302"/>
      <c r="M694" s="302"/>
    </row>
    <row r="695" spans="1:13" customFormat="1" ht="12.75">
      <c r="A695" s="1571"/>
      <c r="F695" s="1"/>
      <c r="G695" s="1"/>
      <c r="H695" s="1"/>
      <c r="I695" s="1"/>
      <c r="L695" s="302"/>
      <c r="M695" s="302"/>
    </row>
    <row r="696" spans="1:13" customFormat="1" ht="12.75">
      <c r="A696" s="1571"/>
      <c r="F696" s="1"/>
      <c r="G696" s="1"/>
      <c r="H696" s="1"/>
      <c r="I696" s="1"/>
      <c r="L696" s="302"/>
      <c r="M696" s="302"/>
    </row>
    <row r="697" spans="1:13" customFormat="1" ht="12.75">
      <c r="A697" s="1571"/>
      <c r="F697" s="1"/>
      <c r="G697" s="1"/>
      <c r="H697" s="1"/>
      <c r="I697" s="1"/>
      <c r="L697" s="302"/>
      <c r="M697" s="302"/>
    </row>
    <row r="698" spans="1:13" customFormat="1" ht="12.75">
      <c r="A698" s="1571"/>
      <c r="F698" s="1"/>
      <c r="G698" s="1"/>
      <c r="H698" s="1"/>
      <c r="I698" s="1"/>
      <c r="L698" s="302"/>
      <c r="M698" s="302"/>
    </row>
    <row r="699" spans="1:13" customFormat="1" ht="12.75">
      <c r="A699" s="1571"/>
      <c r="F699" s="1"/>
      <c r="G699" s="1"/>
      <c r="H699" s="1"/>
      <c r="I699" s="1"/>
      <c r="L699" s="302"/>
      <c r="M699" s="302"/>
    </row>
    <row r="700" spans="1:13" customFormat="1" ht="12.75">
      <c r="A700" s="1571"/>
      <c r="F700" s="1"/>
      <c r="G700" s="1"/>
      <c r="H700" s="1"/>
      <c r="I700" s="1"/>
      <c r="L700" s="302"/>
      <c r="M700" s="302"/>
    </row>
    <row r="701" spans="1:13" customFormat="1" ht="12.75">
      <c r="A701" s="1571"/>
      <c r="F701" s="1"/>
      <c r="G701" s="1"/>
      <c r="H701" s="1"/>
      <c r="I701" s="1"/>
      <c r="L701" s="302"/>
      <c r="M701" s="302"/>
    </row>
    <row r="702" spans="1:13" customFormat="1" ht="12.75">
      <c r="A702" s="1571"/>
      <c r="F702" s="1"/>
      <c r="G702" s="1"/>
      <c r="H702" s="1"/>
      <c r="I702" s="1"/>
      <c r="L702" s="302"/>
      <c r="M702" s="302"/>
    </row>
    <row r="703" spans="1:13" customFormat="1" ht="12.75">
      <c r="A703" s="1571"/>
      <c r="F703" s="1"/>
      <c r="G703" s="1"/>
      <c r="H703" s="1"/>
      <c r="I703" s="1"/>
      <c r="L703" s="302"/>
      <c r="M703" s="302"/>
    </row>
    <row r="704" spans="1:13" customFormat="1" ht="12.75">
      <c r="A704" s="1571"/>
      <c r="F704" s="1"/>
      <c r="G704" s="1"/>
      <c r="H704" s="1"/>
      <c r="I704" s="1"/>
      <c r="L704" s="302"/>
      <c r="M704" s="302"/>
    </row>
    <row r="705" spans="1:13" customFormat="1" ht="12.75">
      <c r="A705" s="1571"/>
      <c r="F705" s="1"/>
      <c r="G705" s="1"/>
      <c r="H705" s="1"/>
      <c r="I705" s="1"/>
      <c r="L705" s="302"/>
      <c r="M705" s="302"/>
    </row>
    <row r="706" spans="1:13" customFormat="1" ht="12.75">
      <c r="A706" s="1571"/>
      <c r="F706" s="1"/>
      <c r="G706" s="1"/>
      <c r="H706" s="1"/>
      <c r="I706" s="1"/>
      <c r="L706" s="302"/>
      <c r="M706" s="302"/>
    </row>
    <row r="707" spans="1:13" customFormat="1" ht="12.75">
      <c r="A707" s="1571"/>
      <c r="F707" s="1"/>
      <c r="G707" s="1"/>
      <c r="H707" s="1"/>
      <c r="I707" s="1"/>
      <c r="L707" s="302"/>
      <c r="M707" s="302"/>
    </row>
    <row r="708" spans="1:13" customFormat="1" ht="12.75">
      <c r="A708" s="1571"/>
      <c r="F708" s="1"/>
      <c r="G708" s="1"/>
      <c r="H708" s="1"/>
      <c r="I708" s="1"/>
      <c r="L708" s="302"/>
      <c r="M708" s="302"/>
    </row>
    <row r="709" spans="1:13" customFormat="1" ht="12.75">
      <c r="A709" s="1571"/>
      <c r="F709" s="1"/>
      <c r="G709" s="1"/>
      <c r="H709" s="1"/>
      <c r="I709" s="1"/>
      <c r="L709" s="302"/>
      <c r="M709" s="302"/>
    </row>
    <row r="710" spans="1:13" customFormat="1" ht="12.75">
      <c r="A710" s="1571"/>
      <c r="F710" s="1"/>
      <c r="G710" s="1"/>
      <c r="H710" s="1"/>
      <c r="I710" s="1"/>
      <c r="L710" s="302"/>
      <c r="M710" s="302"/>
    </row>
    <row r="711" spans="1:13" customFormat="1" ht="12.75">
      <c r="A711" s="1571"/>
      <c r="F711" s="1"/>
      <c r="G711" s="1"/>
      <c r="H711" s="1"/>
      <c r="I711" s="1"/>
      <c r="L711" s="302"/>
      <c r="M711" s="302"/>
    </row>
    <row r="712" spans="1:13" customFormat="1" ht="12.75">
      <c r="A712" s="1571"/>
      <c r="F712" s="1"/>
      <c r="G712" s="1"/>
      <c r="H712" s="1"/>
      <c r="I712" s="1"/>
      <c r="L712" s="302"/>
      <c r="M712" s="302"/>
    </row>
    <row r="713" spans="1:13" customFormat="1" ht="12.75">
      <c r="A713" s="1571"/>
      <c r="F713" s="1"/>
      <c r="G713" s="1"/>
      <c r="H713" s="1"/>
      <c r="I713" s="1"/>
      <c r="L713" s="302"/>
      <c r="M713" s="302"/>
    </row>
    <row r="714" spans="1:13" customFormat="1" ht="12.75">
      <c r="A714" s="1571"/>
      <c r="F714" s="1"/>
      <c r="G714" s="1"/>
      <c r="H714" s="1"/>
      <c r="I714" s="1"/>
      <c r="L714" s="302"/>
      <c r="M714" s="302"/>
    </row>
    <row r="715" spans="1:13" customFormat="1" ht="12.75">
      <c r="A715" s="1571"/>
      <c r="F715" s="1"/>
      <c r="G715" s="1"/>
      <c r="H715" s="1"/>
      <c r="I715" s="1"/>
      <c r="L715" s="302"/>
      <c r="M715" s="302"/>
    </row>
    <row r="716" spans="1:13" customFormat="1" ht="12.75">
      <c r="A716" s="1571"/>
      <c r="F716" s="1"/>
      <c r="G716" s="1"/>
      <c r="H716" s="1"/>
      <c r="I716" s="1"/>
      <c r="L716" s="302"/>
      <c r="M716" s="302"/>
    </row>
    <row r="717" spans="1:13" customFormat="1" ht="12.75">
      <c r="A717" s="1571"/>
      <c r="F717" s="1"/>
      <c r="G717" s="1"/>
      <c r="H717" s="1"/>
      <c r="I717" s="1"/>
      <c r="L717" s="302"/>
      <c r="M717" s="302"/>
    </row>
    <row r="718" spans="1:13" customFormat="1" ht="12.75">
      <c r="A718" s="1571"/>
      <c r="F718" s="1"/>
      <c r="G718" s="1"/>
      <c r="H718" s="1"/>
      <c r="I718" s="1"/>
      <c r="L718" s="302"/>
      <c r="M718" s="302"/>
    </row>
    <row r="719" spans="1:13" customFormat="1" ht="12.75">
      <c r="A719" s="1571"/>
      <c r="F719" s="1"/>
      <c r="G719" s="1"/>
      <c r="H719" s="1"/>
      <c r="I719" s="1"/>
      <c r="L719" s="302"/>
      <c r="M719" s="302"/>
    </row>
    <row r="720" spans="1:13" customFormat="1" ht="12.75">
      <c r="A720" s="1571"/>
      <c r="F720" s="1"/>
      <c r="G720" s="1"/>
      <c r="H720" s="1"/>
      <c r="I720" s="1"/>
      <c r="L720" s="302"/>
      <c r="M720" s="302"/>
    </row>
    <row r="721" spans="1:13" customFormat="1" ht="12.75">
      <c r="A721" s="1571"/>
      <c r="F721" s="1"/>
      <c r="G721" s="1"/>
      <c r="H721" s="1"/>
      <c r="I721" s="1"/>
      <c r="L721" s="302"/>
      <c r="M721" s="302"/>
    </row>
    <row r="722" spans="1:13" customFormat="1" ht="12.75">
      <c r="A722" s="1571"/>
      <c r="F722" s="1"/>
      <c r="G722" s="1"/>
      <c r="H722" s="1"/>
      <c r="I722" s="1"/>
      <c r="L722" s="302"/>
      <c r="M722" s="302"/>
    </row>
    <row r="723" spans="1:13" customFormat="1" ht="12.75">
      <c r="A723" s="1571"/>
      <c r="F723" s="1"/>
      <c r="G723" s="1"/>
      <c r="H723" s="1"/>
      <c r="I723" s="1"/>
      <c r="L723" s="302"/>
      <c r="M723" s="302"/>
    </row>
    <row r="724" spans="1:13" customFormat="1" ht="12.75">
      <c r="A724" s="1571"/>
      <c r="F724" s="1"/>
      <c r="G724" s="1"/>
      <c r="H724" s="1"/>
      <c r="I724" s="1"/>
      <c r="L724" s="302"/>
      <c r="M724" s="302"/>
    </row>
    <row r="725" spans="1:13" customFormat="1" ht="12.75">
      <c r="A725" s="1571"/>
      <c r="F725" s="1"/>
      <c r="G725" s="1"/>
      <c r="H725" s="1"/>
      <c r="I725" s="1"/>
      <c r="L725" s="302"/>
      <c r="M725" s="302"/>
    </row>
    <row r="726" spans="1:13" customFormat="1" ht="12.75">
      <c r="A726" s="1571"/>
      <c r="F726" s="1"/>
      <c r="G726" s="1"/>
      <c r="H726" s="1"/>
      <c r="I726" s="1"/>
      <c r="L726" s="302"/>
      <c r="M726" s="302"/>
    </row>
    <row r="727" spans="1:13" customFormat="1" ht="12.75">
      <c r="A727" s="1571"/>
      <c r="F727" s="1"/>
      <c r="G727" s="1"/>
      <c r="H727" s="1"/>
      <c r="I727" s="1"/>
      <c r="L727" s="302"/>
      <c r="M727" s="302"/>
    </row>
    <row r="728" spans="1:13" customFormat="1" ht="12.75">
      <c r="A728" s="1571"/>
      <c r="F728" s="1"/>
      <c r="G728" s="1"/>
      <c r="H728" s="1"/>
      <c r="I728" s="1"/>
      <c r="L728" s="302"/>
      <c r="M728" s="302"/>
    </row>
    <row r="729" spans="1:13" customFormat="1" ht="12.75">
      <c r="A729" s="1571"/>
      <c r="F729" s="1"/>
      <c r="G729" s="1"/>
      <c r="H729" s="1"/>
      <c r="I729" s="1"/>
      <c r="L729" s="302"/>
      <c r="M729" s="302"/>
    </row>
    <row r="730" spans="1:13" customFormat="1" ht="12.75">
      <c r="A730" s="1571"/>
      <c r="F730" s="1"/>
      <c r="G730" s="1"/>
      <c r="H730" s="1"/>
      <c r="I730" s="1"/>
      <c r="L730" s="302"/>
      <c r="M730" s="302"/>
    </row>
    <row r="731" spans="1:13" customFormat="1" ht="12.75">
      <c r="A731" s="1571"/>
      <c r="F731" s="1"/>
      <c r="G731" s="1"/>
      <c r="H731" s="1"/>
      <c r="I731" s="1"/>
      <c r="L731" s="302"/>
      <c r="M731" s="302"/>
    </row>
    <row r="732" spans="1:13" customFormat="1" ht="12.75">
      <c r="A732" s="1571"/>
      <c r="F732" s="1"/>
      <c r="G732" s="1"/>
      <c r="H732" s="1"/>
      <c r="I732" s="1"/>
      <c r="L732" s="302"/>
      <c r="M732" s="302"/>
    </row>
    <row r="733" spans="1:13" customFormat="1" ht="12.75">
      <c r="A733" s="1571"/>
      <c r="F733" s="1"/>
      <c r="G733" s="1"/>
      <c r="H733" s="1"/>
      <c r="I733" s="1"/>
      <c r="L733" s="302"/>
      <c r="M733" s="302"/>
    </row>
    <row r="734" spans="1:13" customFormat="1" ht="12.75">
      <c r="A734" s="1571"/>
      <c r="F734" s="1"/>
      <c r="G734" s="1"/>
      <c r="H734" s="1"/>
      <c r="I734" s="1"/>
      <c r="L734" s="302"/>
      <c r="M734" s="302"/>
    </row>
    <row r="735" spans="1:13" customFormat="1" ht="12.75">
      <c r="A735" s="1571"/>
      <c r="F735" s="1"/>
      <c r="G735" s="1"/>
      <c r="H735" s="1"/>
      <c r="I735" s="1"/>
      <c r="L735" s="302"/>
      <c r="M735" s="302"/>
    </row>
    <row r="736" spans="1:13" customFormat="1" ht="12.75">
      <c r="A736" s="1571"/>
      <c r="F736" s="1"/>
      <c r="G736" s="1"/>
      <c r="H736" s="1"/>
      <c r="I736" s="1"/>
      <c r="L736" s="302"/>
      <c r="M736" s="302"/>
    </row>
    <row r="737" spans="1:13" customFormat="1" ht="12.75">
      <c r="A737" s="1571"/>
      <c r="F737" s="1"/>
      <c r="G737" s="1"/>
      <c r="H737" s="1"/>
      <c r="I737" s="1"/>
      <c r="L737" s="302"/>
      <c r="M737" s="302"/>
    </row>
    <row r="738" spans="1:13" customFormat="1" ht="12.75">
      <c r="A738" s="1571"/>
      <c r="F738" s="1"/>
      <c r="G738" s="1"/>
      <c r="H738" s="1"/>
      <c r="I738" s="1"/>
      <c r="L738" s="302"/>
      <c r="M738" s="302"/>
    </row>
    <row r="739" spans="1:13" customFormat="1" ht="12.75">
      <c r="A739" s="1571"/>
      <c r="F739" s="1"/>
      <c r="G739" s="1"/>
      <c r="H739" s="1"/>
      <c r="I739" s="1"/>
      <c r="L739" s="302"/>
      <c r="M739" s="302"/>
    </row>
    <row r="740" spans="1:13" customFormat="1" ht="12.75">
      <c r="A740" s="1571"/>
      <c r="F740" s="1"/>
      <c r="G740" s="1"/>
      <c r="H740" s="1"/>
      <c r="I740" s="1"/>
      <c r="L740" s="302"/>
      <c r="M740" s="302"/>
    </row>
    <row r="741" spans="1:13" customFormat="1" ht="12.75">
      <c r="A741" s="1571"/>
      <c r="F741" s="1"/>
      <c r="G741" s="1"/>
      <c r="H741" s="1"/>
      <c r="I741" s="1"/>
      <c r="L741" s="302"/>
      <c r="M741" s="302"/>
    </row>
    <row r="742" spans="1:13" customFormat="1" ht="12.75">
      <c r="A742" s="1571"/>
      <c r="F742" s="1"/>
      <c r="G742" s="1"/>
      <c r="H742" s="1"/>
      <c r="I742" s="1"/>
      <c r="L742" s="302"/>
      <c r="M742" s="302"/>
    </row>
    <row r="743" spans="1:13" customFormat="1" ht="12.75">
      <c r="A743" s="1571"/>
      <c r="F743" s="1"/>
      <c r="G743" s="1"/>
      <c r="H743" s="1"/>
      <c r="I743" s="1"/>
      <c r="L743" s="302"/>
      <c r="M743" s="302"/>
    </row>
    <row r="744" spans="1:13" customFormat="1" ht="12.75">
      <c r="A744" s="1571"/>
      <c r="F744" s="1"/>
      <c r="G744" s="1"/>
      <c r="H744" s="1"/>
      <c r="I744" s="1"/>
      <c r="L744" s="302"/>
      <c r="M744" s="302"/>
    </row>
    <row r="745" spans="1:13" customFormat="1" ht="12.75">
      <c r="A745" s="1571"/>
      <c r="F745" s="1"/>
      <c r="G745" s="1"/>
      <c r="H745" s="1"/>
      <c r="I745" s="1"/>
      <c r="L745" s="302"/>
      <c r="M745" s="302"/>
    </row>
    <row r="746" spans="1:13" customFormat="1" ht="12.75">
      <c r="A746" s="1571"/>
      <c r="F746" s="1"/>
      <c r="G746" s="1"/>
      <c r="H746" s="1"/>
      <c r="I746" s="1"/>
      <c r="L746" s="302"/>
      <c r="M746" s="302"/>
    </row>
    <row r="747" spans="1:13" customFormat="1" ht="12.75">
      <c r="A747" s="1571"/>
      <c r="F747" s="1"/>
      <c r="G747" s="1"/>
      <c r="H747" s="1"/>
      <c r="I747" s="1"/>
      <c r="L747" s="302"/>
      <c r="M747" s="302"/>
    </row>
    <row r="748" spans="1:13" customFormat="1" ht="12.75">
      <c r="A748" s="1571"/>
      <c r="F748" s="1"/>
      <c r="G748" s="1"/>
      <c r="H748" s="1"/>
      <c r="I748" s="1"/>
      <c r="L748" s="302"/>
      <c r="M748" s="302"/>
    </row>
    <row r="749" spans="1:13" customFormat="1" ht="12.75">
      <c r="A749" s="1571"/>
      <c r="F749" s="1"/>
      <c r="G749" s="1"/>
      <c r="H749" s="1"/>
      <c r="I749" s="1"/>
      <c r="L749" s="302"/>
      <c r="M749" s="302"/>
    </row>
    <row r="750" spans="1:13" customFormat="1" ht="12.75">
      <c r="A750" s="1571"/>
      <c r="F750" s="1"/>
      <c r="G750" s="1"/>
      <c r="H750" s="1"/>
      <c r="I750" s="1"/>
      <c r="L750" s="302"/>
      <c r="M750" s="302"/>
    </row>
    <row r="751" spans="1:13" customFormat="1" ht="12.75">
      <c r="A751" s="1571"/>
      <c r="F751" s="1"/>
      <c r="G751" s="1"/>
      <c r="H751" s="1"/>
      <c r="I751" s="1"/>
      <c r="L751" s="302"/>
      <c r="M751" s="302"/>
    </row>
    <row r="752" spans="1:13" customFormat="1" ht="12.75">
      <c r="A752" s="1571"/>
      <c r="F752" s="1"/>
      <c r="G752" s="1"/>
      <c r="H752" s="1"/>
      <c r="I752" s="1"/>
      <c r="L752" s="302"/>
      <c r="M752" s="302"/>
    </row>
    <row r="753" spans="1:13" customFormat="1" ht="12.75">
      <c r="A753" s="1571"/>
      <c r="F753" s="1"/>
      <c r="G753" s="1"/>
      <c r="H753" s="1"/>
      <c r="I753" s="1"/>
      <c r="L753" s="302"/>
      <c r="M753" s="302"/>
    </row>
    <row r="754" spans="1:13" customFormat="1" ht="12.75">
      <c r="A754" s="1571"/>
      <c r="F754" s="1"/>
      <c r="G754" s="1"/>
      <c r="H754" s="1"/>
      <c r="I754" s="1"/>
      <c r="L754" s="302"/>
      <c r="M754" s="302"/>
    </row>
    <row r="755" spans="1:13" customFormat="1" ht="12.75">
      <c r="A755" s="1571"/>
      <c r="F755" s="1"/>
      <c r="G755" s="1"/>
      <c r="H755" s="1"/>
      <c r="I755" s="1"/>
      <c r="L755" s="302"/>
      <c r="M755" s="302"/>
    </row>
    <row r="756" spans="1:13" customFormat="1" ht="12.75">
      <c r="A756" s="1571"/>
      <c r="F756" s="1"/>
      <c r="G756" s="1"/>
      <c r="H756" s="1"/>
      <c r="I756" s="1"/>
      <c r="L756" s="302"/>
      <c r="M756" s="302"/>
    </row>
    <row r="757" spans="1:13" customFormat="1" ht="12.75">
      <c r="A757" s="1571"/>
      <c r="F757" s="1"/>
      <c r="G757" s="1"/>
      <c r="H757" s="1"/>
      <c r="I757" s="1"/>
      <c r="L757" s="302"/>
      <c r="M757" s="302"/>
    </row>
    <row r="758" spans="1:13" customFormat="1" ht="12.75">
      <c r="A758" s="1571"/>
      <c r="F758" s="1"/>
      <c r="G758" s="1"/>
      <c r="H758" s="1"/>
      <c r="I758" s="1"/>
      <c r="L758" s="302"/>
      <c r="M758" s="302"/>
    </row>
    <row r="759" spans="1:13" customFormat="1" ht="12.75">
      <c r="A759" s="1571"/>
      <c r="F759" s="1"/>
      <c r="G759" s="1"/>
      <c r="H759" s="1"/>
      <c r="I759" s="1"/>
      <c r="L759" s="302"/>
      <c r="M759" s="302"/>
    </row>
    <row r="760" spans="1:13" customFormat="1" ht="12.75">
      <c r="A760" s="1571"/>
      <c r="F760" s="1"/>
      <c r="G760" s="1"/>
      <c r="H760" s="1"/>
      <c r="I760" s="1"/>
      <c r="L760" s="302"/>
      <c r="M760" s="302"/>
    </row>
    <row r="761" spans="1:13" customFormat="1" ht="12.75">
      <c r="A761" s="1571"/>
      <c r="F761" s="1"/>
      <c r="G761" s="1"/>
      <c r="H761" s="1"/>
      <c r="I761" s="1"/>
      <c r="L761" s="302"/>
      <c r="M761" s="302"/>
    </row>
    <row r="762" spans="1:13" customFormat="1" ht="12.75">
      <c r="A762" s="1571"/>
      <c r="F762" s="1"/>
      <c r="G762" s="1"/>
      <c r="H762" s="1"/>
      <c r="I762" s="1"/>
      <c r="L762" s="302"/>
      <c r="M762" s="302"/>
    </row>
    <row r="763" spans="1:13" customFormat="1" ht="12.75">
      <c r="A763" s="1571"/>
      <c r="F763" s="1"/>
      <c r="G763" s="1"/>
      <c r="H763" s="1"/>
      <c r="I763" s="1"/>
      <c r="L763" s="302"/>
      <c r="M763" s="302"/>
    </row>
    <row r="764" spans="1:13" customFormat="1" ht="12.75">
      <c r="A764" s="1571"/>
      <c r="F764" s="1"/>
      <c r="G764" s="1"/>
      <c r="H764" s="1"/>
      <c r="I764" s="1"/>
      <c r="L764" s="302"/>
      <c r="M764" s="302"/>
    </row>
    <row r="765" spans="1:13" customFormat="1" ht="12.75">
      <c r="A765" s="1571"/>
      <c r="F765" s="1"/>
      <c r="G765" s="1"/>
      <c r="H765" s="1"/>
      <c r="I765" s="1"/>
      <c r="L765" s="302"/>
      <c r="M765" s="302"/>
    </row>
    <row r="766" spans="1:13" customFormat="1" ht="12.75">
      <c r="A766" s="1571"/>
      <c r="F766" s="1"/>
      <c r="G766" s="1"/>
      <c r="H766" s="1"/>
      <c r="I766" s="1"/>
      <c r="L766" s="302"/>
      <c r="M766" s="302"/>
    </row>
    <row r="767" spans="1:13" customFormat="1" ht="12.75">
      <c r="A767" s="1571"/>
      <c r="F767" s="1"/>
      <c r="G767" s="1"/>
      <c r="H767" s="1"/>
      <c r="I767" s="1"/>
      <c r="L767" s="302"/>
      <c r="M767" s="302"/>
    </row>
    <row r="768" spans="1:13" customFormat="1" ht="12.75">
      <c r="A768" s="1571"/>
      <c r="F768" s="1"/>
      <c r="G768" s="1"/>
      <c r="H768" s="1"/>
      <c r="I768" s="1"/>
      <c r="L768" s="302"/>
      <c r="M768" s="302"/>
    </row>
    <row r="769" spans="1:13" customFormat="1" ht="12.75">
      <c r="A769" s="1571"/>
      <c r="F769" s="1"/>
      <c r="G769" s="1"/>
      <c r="H769" s="1"/>
      <c r="I769" s="1"/>
      <c r="L769" s="302"/>
      <c r="M769" s="302"/>
    </row>
    <row r="770" spans="1:13" customFormat="1" ht="12.75">
      <c r="A770" s="1571"/>
      <c r="F770" s="1"/>
      <c r="G770" s="1"/>
      <c r="H770" s="1"/>
      <c r="I770" s="1"/>
      <c r="L770" s="302"/>
      <c r="M770" s="302"/>
    </row>
    <row r="771" spans="1:13" customFormat="1" ht="12.75">
      <c r="A771" s="1571"/>
      <c r="F771" s="1"/>
      <c r="G771" s="1"/>
      <c r="H771" s="1"/>
      <c r="I771" s="1"/>
      <c r="L771" s="302"/>
      <c r="M771" s="302"/>
    </row>
    <row r="772" spans="1:13" customFormat="1" ht="12.75">
      <c r="A772" s="1571"/>
      <c r="F772" s="1"/>
      <c r="G772" s="1"/>
      <c r="H772" s="1"/>
      <c r="I772" s="1"/>
      <c r="L772" s="302"/>
      <c r="M772" s="302"/>
    </row>
    <row r="773" spans="1:13" customFormat="1" ht="12.75">
      <c r="A773" s="1571"/>
      <c r="F773" s="1"/>
      <c r="G773" s="1"/>
      <c r="H773" s="1"/>
      <c r="I773" s="1"/>
      <c r="L773" s="302"/>
      <c r="M773" s="302"/>
    </row>
    <row r="774" spans="1:13" customFormat="1" ht="12.75">
      <c r="A774" s="1571"/>
      <c r="F774" s="1"/>
      <c r="G774" s="1"/>
      <c r="H774" s="1"/>
      <c r="I774" s="1"/>
      <c r="L774" s="302"/>
      <c r="M774" s="302"/>
    </row>
    <row r="775" spans="1:13" customFormat="1" ht="12.75">
      <c r="A775" s="1571"/>
      <c r="F775" s="1"/>
      <c r="G775" s="1"/>
      <c r="H775" s="1"/>
      <c r="I775" s="1"/>
      <c r="L775" s="302"/>
      <c r="M775" s="302"/>
    </row>
    <row r="776" spans="1:13" customFormat="1" ht="12.75">
      <c r="A776" s="1571"/>
      <c r="F776" s="1"/>
      <c r="G776" s="1"/>
      <c r="H776" s="1"/>
      <c r="I776" s="1"/>
      <c r="L776" s="302"/>
      <c r="M776" s="302"/>
    </row>
    <row r="777" spans="1:13" customFormat="1" ht="12.75">
      <c r="A777" s="1571"/>
      <c r="F777" s="1"/>
      <c r="G777" s="1"/>
      <c r="H777" s="1"/>
      <c r="I777" s="1"/>
      <c r="L777" s="302"/>
      <c r="M777" s="302"/>
    </row>
    <row r="778" spans="1:13" customFormat="1" ht="12.75">
      <c r="A778" s="1571"/>
      <c r="F778" s="1"/>
      <c r="G778" s="1"/>
      <c r="H778" s="1"/>
      <c r="I778" s="1"/>
      <c r="L778" s="302"/>
      <c r="M778" s="302"/>
    </row>
    <row r="779" spans="1:13" customFormat="1" ht="12.75">
      <c r="A779" s="1571"/>
      <c r="F779" s="1"/>
      <c r="G779" s="1"/>
      <c r="H779" s="1"/>
      <c r="I779" s="1"/>
      <c r="L779" s="302"/>
      <c r="M779" s="302"/>
    </row>
    <row r="780" spans="1:13" customFormat="1" ht="12.75">
      <c r="A780" s="1571"/>
      <c r="F780" s="1"/>
      <c r="G780" s="1"/>
      <c r="H780" s="1"/>
      <c r="I780" s="1"/>
      <c r="L780" s="302"/>
      <c r="M780" s="302"/>
    </row>
    <row r="781" spans="1:13" customFormat="1" ht="12.75">
      <c r="A781" s="1571"/>
      <c r="F781" s="1"/>
      <c r="G781" s="1"/>
      <c r="H781" s="1"/>
      <c r="I781" s="1"/>
      <c r="L781" s="302"/>
      <c r="M781" s="302"/>
    </row>
    <row r="782" spans="1:13" customFormat="1" ht="12.75">
      <c r="A782" s="1571"/>
      <c r="F782" s="1"/>
      <c r="G782" s="1"/>
      <c r="H782" s="1"/>
      <c r="I782" s="1"/>
      <c r="L782" s="302"/>
      <c r="M782" s="302"/>
    </row>
    <row r="783" spans="1:13" customFormat="1" ht="12.75">
      <c r="A783" s="1571"/>
      <c r="F783" s="1"/>
      <c r="G783" s="1"/>
      <c r="H783" s="1"/>
      <c r="I783" s="1"/>
      <c r="L783" s="302"/>
      <c r="M783" s="302"/>
    </row>
    <row r="784" spans="1:13" customFormat="1" ht="12.75">
      <c r="A784" s="1571"/>
      <c r="F784" s="1"/>
      <c r="G784" s="1"/>
      <c r="H784" s="1"/>
      <c r="I784" s="1"/>
      <c r="L784" s="302"/>
      <c r="M784" s="302"/>
    </row>
    <row r="785" spans="1:13" customFormat="1" ht="12.75">
      <c r="A785" s="1571"/>
      <c r="F785" s="1"/>
      <c r="G785" s="1"/>
      <c r="H785" s="1"/>
      <c r="I785" s="1"/>
      <c r="L785" s="302"/>
      <c r="M785" s="302"/>
    </row>
    <row r="786" spans="1:13" customFormat="1" ht="12.75">
      <c r="A786" s="1571"/>
      <c r="F786" s="1"/>
      <c r="G786" s="1"/>
      <c r="H786" s="1"/>
      <c r="I786" s="1"/>
      <c r="L786" s="302"/>
      <c r="M786" s="302"/>
    </row>
    <row r="787" spans="1:13" customFormat="1" ht="12.75">
      <c r="A787" s="1571"/>
      <c r="F787" s="1"/>
      <c r="G787" s="1"/>
      <c r="H787" s="1"/>
      <c r="I787" s="1"/>
      <c r="L787" s="302"/>
      <c r="M787" s="302"/>
    </row>
    <row r="788" spans="1:13" customFormat="1" ht="12.75">
      <c r="A788" s="1571"/>
      <c r="F788" s="1"/>
      <c r="G788" s="1"/>
      <c r="H788" s="1"/>
      <c r="I788" s="1"/>
      <c r="L788" s="302"/>
      <c r="M788" s="302"/>
    </row>
    <row r="789" spans="1:13" customFormat="1" ht="12.75">
      <c r="A789" s="1571"/>
      <c r="F789" s="1"/>
      <c r="G789" s="1"/>
      <c r="H789" s="1"/>
      <c r="I789" s="1"/>
      <c r="L789" s="302"/>
      <c r="M789" s="302"/>
    </row>
    <row r="790" spans="1:13" customFormat="1" ht="12.75">
      <c r="A790" s="1571"/>
      <c r="F790" s="1"/>
      <c r="G790" s="1"/>
      <c r="H790" s="1"/>
      <c r="I790" s="1"/>
      <c r="L790" s="302"/>
      <c r="M790" s="302"/>
    </row>
    <row r="791" spans="1:13" customFormat="1" ht="12.75">
      <c r="A791" s="1571"/>
      <c r="F791" s="1"/>
      <c r="G791" s="1"/>
      <c r="H791" s="1"/>
      <c r="I791" s="1"/>
      <c r="L791" s="302"/>
      <c r="M791" s="302"/>
    </row>
    <row r="792" spans="1:13" customFormat="1" ht="12.75">
      <c r="A792" s="1571"/>
      <c r="F792" s="1"/>
      <c r="G792" s="1"/>
      <c r="H792" s="1"/>
      <c r="I792" s="1"/>
      <c r="L792" s="302"/>
      <c r="M792" s="302"/>
    </row>
    <row r="793" spans="1:13" customFormat="1" ht="12.75">
      <c r="A793" s="1571"/>
      <c r="F793" s="1"/>
      <c r="G793" s="1"/>
      <c r="H793" s="1"/>
      <c r="I793" s="1"/>
      <c r="L793" s="302"/>
      <c r="M793" s="302"/>
    </row>
    <row r="794" spans="1:13" customFormat="1" ht="12.75">
      <c r="A794" s="1571"/>
      <c r="F794" s="1"/>
      <c r="G794" s="1"/>
      <c r="H794" s="1"/>
      <c r="I794" s="1"/>
      <c r="L794" s="302"/>
      <c r="M794" s="302"/>
    </row>
    <row r="795" spans="1:13" customFormat="1" ht="12.75">
      <c r="A795" s="1571"/>
      <c r="F795" s="1"/>
      <c r="G795" s="1"/>
      <c r="H795" s="1"/>
      <c r="I795" s="1"/>
      <c r="L795" s="302"/>
      <c r="M795" s="302"/>
    </row>
    <row r="796" spans="1:13" customFormat="1" ht="12.75">
      <c r="A796" s="1571"/>
      <c r="F796" s="1"/>
      <c r="G796" s="1"/>
      <c r="H796" s="1"/>
      <c r="I796" s="1"/>
      <c r="L796" s="302"/>
      <c r="M796" s="302"/>
    </row>
    <row r="797" spans="1:13" customFormat="1" ht="12.75">
      <c r="A797" s="1571"/>
      <c r="F797" s="1"/>
      <c r="G797" s="1"/>
      <c r="H797" s="1"/>
      <c r="I797" s="1"/>
      <c r="L797" s="302"/>
      <c r="M797" s="302"/>
    </row>
    <row r="798" spans="1:13" customFormat="1" ht="12.75">
      <c r="A798" s="1571"/>
      <c r="F798" s="1"/>
      <c r="G798" s="1"/>
      <c r="H798" s="1"/>
      <c r="I798" s="1"/>
      <c r="L798" s="302"/>
      <c r="M798" s="302"/>
    </row>
    <row r="799" spans="1:13" customFormat="1" ht="12.75">
      <c r="A799" s="1571"/>
      <c r="F799" s="1"/>
      <c r="G799" s="1"/>
      <c r="H799" s="1"/>
      <c r="I799" s="1"/>
      <c r="L799" s="302"/>
      <c r="M799" s="302"/>
    </row>
    <row r="800" spans="1:13" customFormat="1" ht="12.75">
      <c r="A800" s="1571"/>
      <c r="F800" s="1"/>
      <c r="G800" s="1"/>
      <c r="H800" s="1"/>
      <c r="I800" s="1"/>
      <c r="L800" s="302"/>
      <c r="M800" s="302"/>
    </row>
    <row r="801" spans="1:13" customFormat="1" ht="12.75">
      <c r="A801" s="1571"/>
      <c r="F801" s="1"/>
      <c r="G801" s="1"/>
      <c r="H801" s="1"/>
      <c r="I801" s="1"/>
      <c r="L801" s="302"/>
      <c r="M801" s="302"/>
    </row>
    <row r="802" spans="1:13" customFormat="1" ht="12.75">
      <c r="A802" s="1571"/>
      <c r="F802" s="1"/>
      <c r="G802" s="1"/>
      <c r="H802" s="1"/>
      <c r="I802" s="1"/>
      <c r="L802" s="302"/>
      <c r="M802" s="302"/>
    </row>
    <row r="803" spans="1:13" customFormat="1" ht="12.75">
      <c r="A803" s="1571"/>
      <c r="F803" s="1"/>
      <c r="G803" s="1"/>
      <c r="H803" s="1"/>
      <c r="I803" s="1"/>
      <c r="L803" s="302"/>
      <c r="M803" s="302"/>
    </row>
    <row r="804" spans="1:13" customFormat="1" ht="12.75">
      <c r="A804" s="1571"/>
      <c r="F804" s="1"/>
      <c r="G804" s="1"/>
      <c r="H804" s="1"/>
      <c r="I804" s="1"/>
      <c r="L804" s="302"/>
      <c r="M804" s="302"/>
    </row>
    <row r="805" spans="1:13" customFormat="1" ht="12.75">
      <c r="A805" s="1571"/>
      <c r="F805" s="1"/>
      <c r="G805" s="1"/>
      <c r="H805" s="1"/>
      <c r="I805" s="1"/>
      <c r="L805" s="302"/>
      <c r="M805" s="302"/>
    </row>
    <row r="806" spans="1:13" customFormat="1" ht="12.75">
      <c r="A806" s="1571"/>
      <c r="F806" s="1"/>
      <c r="G806" s="1"/>
      <c r="H806" s="1"/>
      <c r="I806" s="1"/>
      <c r="L806" s="302"/>
      <c r="M806" s="302"/>
    </row>
    <row r="807" spans="1:13" customFormat="1" ht="12.75">
      <c r="A807" s="1571"/>
      <c r="F807" s="1"/>
      <c r="G807" s="1"/>
      <c r="H807" s="1"/>
      <c r="I807" s="1"/>
      <c r="L807" s="302"/>
      <c r="M807" s="302"/>
    </row>
    <row r="808" spans="1:13" customFormat="1" ht="12.75">
      <c r="A808" s="1571"/>
      <c r="F808" s="1"/>
      <c r="G808" s="1"/>
      <c r="H808" s="1"/>
      <c r="I808" s="1"/>
      <c r="L808" s="302"/>
      <c r="M808" s="302"/>
    </row>
    <row r="809" spans="1:13" customFormat="1" ht="12.75">
      <c r="A809" s="1571"/>
      <c r="F809" s="1"/>
      <c r="G809" s="1"/>
      <c r="H809" s="1"/>
      <c r="I809" s="1"/>
      <c r="L809" s="302"/>
      <c r="M809" s="302"/>
    </row>
    <row r="810" spans="1:13" customFormat="1" ht="12.75">
      <c r="A810" s="1571"/>
      <c r="F810" s="1"/>
      <c r="G810" s="1"/>
      <c r="H810" s="1"/>
      <c r="I810" s="1"/>
      <c r="L810" s="302"/>
      <c r="M810" s="302"/>
    </row>
    <row r="811" spans="1:13" customFormat="1" ht="12.75">
      <c r="A811" s="1571"/>
      <c r="F811" s="1"/>
      <c r="G811" s="1"/>
      <c r="H811" s="1"/>
      <c r="I811" s="1"/>
      <c r="L811" s="302"/>
      <c r="M811" s="302"/>
    </row>
    <row r="812" spans="1:13" customFormat="1" ht="12.75">
      <c r="A812" s="1571"/>
      <c r="F812" s="1"/>
      <c r="G812" s="1"/>
      <c r="H812" s="1"/>
      <c r="I812" s="1"/>
      <c r="L812" s="302"/>
      <c r="M812" s="302"/>
    </row>
    <row r="813" spans="1:13" customFormat="1" ht="12.75">
      <c r="A813" s="1571"/>
      <c r="F813" s="1"/>
      <c r="G813" s="1"/>
      <c r="H813" s="1"/>
      <c r="I813" s="1"/>
      <c r="L813" s="302"/>
      <c r="M813" s="302"/>
    </row>
    <row r="814" spans="1:13" customFormat="1" ht="12.75">
      <c r="A814" s="1571"/>
      <c r="F814" s="1"/>
      <c r="G814" s="1"/>
      <c r="H814" s="1"/>
      <c r="I814" s="1"/>
      <c r="L814" s="302"/>
      <c r="M814" s="302"/>
    </row>
    <row r="815" spans="1:13" customFormat="1" ht="12.75">
      <c r="A815" s="1571"/>
      <c r="F815" s="1"/>
      <c r="G815" s="1"/>
      <c r="H815" s="1"/>
      <c r="I815" s="1"/>
      <c r="L815" s="302"/>
      <c r="M815" s="302"/>
    </row>
    <row r="816" spans="1:13" customFormat="1" ht="12.75">
      <c r="A816" s="1571"/>
      <c r="F816" s="1"/>
      <c r="G816" s="1"/>
      <c r="H816" s="1"/>
      <c r="I816" s="1"/>
      <c r="L816" s="302"/>
      <c r="M816" s="302"/>
    </row>
    <row r="817" spans="1:13" customFormat="1" ht="12.75">
      <c r="A817" s="1571"/>
      <c r="F817" s="1"/>
      <c r="G817" s="1"/>
      <c r="H817" s="1"/>
      <c r="I817" s="1"/>
      <c r="L817" s="302"/>
      <c r="M817" s="302"/>
    </row>
    <row r="818" spans="1:13" customFormat="1" ht="12.75">
      <c r="A818" s="1571"/>
      <c r="F818" s="1"/>
      <c r="G818" s="1"/>
      <c r="H818" s="1"/>
      <c r="I818" s="1"/>
      <c r="L818" s="302"/>
      <c r="M818" s="302"/>
    </row>
    <row r="819" spans="1:13" customFormat="1" ht="12.75">
      <c r="A819" s="1571"/>
      <c r="F819" s="1"/>
      <c r="G819" s="1"/>
      <c r="H819" s="1"/>
      <c r="I819" s="1"/>
      <c r="L819" s="302"/>
      <c r="M819" s="302"/>
    </row>
    <row r="820" spans="1:13" customFormat="1" ht="12.75">
      <c r="A820" s="1571"/>
      <c r="F820" s="1"/>
      <c r="G820" s="1"/>
      <c r="H820" s="1"/>
      <c r="I820" s="1"/>
      <c r="L820" s="302"/>
      <c r="M820" s="302"/>
    </row>
    <row r="821" spans="1:13" customFormat="1" ht="12.75">
      <c r="A821" s="1571"/>
      <c r="F821" s="1"/>
      <c r="G821" s="1"/>
      <c r="H821" s="1"/>
      <c r="I821" s="1"/>
      <c r="L821" s="302"/>
      <c r="M821" s="302"/>
    </row>
    <row r="822" spans="1:13" customFormat="1" ht="12.75">
      <c r="A822" s="1571"/>
      <c r="F822" s="1"/>
      <c r="G822" s="1"/>
      <c r="H822" s="1"/>
      <c r="I822" s="1"/>
      <c r="L822" s="302"/>
      <c r="M822" s="302"/>
    </row>
    <row r="823" spans="1:13" customFormat="1" ht="12.75">
      <c r="A823" s="1571"/>
      <c r="F823" s="1"/>
      <c r="G823" s="1"/>
      <c r="H823" s="1"/>
      <c r="I823" s="1"/>
      <c r="L823" s="302"/>
      <c r="M823" s="302"/>
    </row>
    <row r="824" spans="1:13" customFormat="1" ht="12.75">
      <c r="A824" s="1571"/>
      <c r="F824" s="1"/>
      <c r="G824" s="1"/>
      <c r="H824" s="1"/>
      <c r="I824" s="1"/>
      <c r="L824" s="302"/>
      <c r="M824" s="302"/>
    </row>
    <row r="825" spans="1:13" customFormat="1" ht="12.75">
      <c r="A825" s="1571"/>
      <c r="F825" s="1"/>
      <c r="G825" s="1"/>
      <c r="H825" s="1"/>
      <c r="I825" s="1"/>
      <c r="L825" s="302"/>
      <c r="M825" s="302"/>
    </row>
    <row r="826" spans="1:13" customFormat="1" ht="12.75">
      <c r="A826" s="1571"/>
      <c r="F826" s="1"/>
      <c r="G826" s="1"/>
      <c r="H826" s="1"/>
      <c r="I826" s="1"/>
      <c r="L826" s="302"/>
      <c r="M826" s="302"/>
    </row>
    <row r="827" spans="1:13" customFormat="1" ht="12.75">
      <c r="A827" s="1571"/>
      <c r="F827" s="1"/>
      <c r="G827" s="1"/>
      <c r="H827" s="1"/>
      <c r="I827" s="1"/>
      <c r="L827" s="302"/>
      <c r="M827" s="302"/>
    </row>
    <row r="828" spans="1:13" customFormat="1" ht="12.75">
      <c r="A828" s="1571"/>
      <c r="F828" s="1"/>
      <c r="G828" s="1"/>
      <c r="H828" s="1"/>
      <c r="I828" s="1"/>
      <c r="L828" s="302"/>
      <c r="M828" s="302"/>
    </row>
    <row r="829" spans="1:13" customFormat="1" ht="12.75">
      <c r="A829" s="1571"/>
      <c r="F829" s="1"/>
      <c r="G829" s="1"/>
      <c r="H829" s="1"/>
      <c r="I829" s="1"/>
      <c r="L829" s="302"/>
      <c r="M829" s="302"/>
    </row>
    <row r="830" spans="1:13" customFormat="1" ht="12.75">
      <c r="A830" s="1571"/>
      <c r="F830" s="1"/>
      <c r="G830" s="1"/>
      <c r="H830" s="1"/>
      <c r="I830" s="1"/>
      <c r="L830" s="302"/>
      <c r="M830" s="302"/>
    </row>
    <row r="831" spans="1:13" customFormat="1" ht="12.75">
      <c r="A831" s="1571"/>
      <c r="F831" s="1"/>
      <c r="G831" s="1"/>
      <c r="H831" s="1"/>
      <c r="I831" s="1"/>
      <c r="L831" s="302"/>
      <c r="M831" s="302"/>
    </row>
    <row r="832" spans="1:13" customFormat="1" ht="12.75">
      <c r="A832" s="1571"/>
      <c r="F832" s="1"/>
      <c r="G832" s="1"/>
      <c r="H832" s="1"/>
      <c r="I832" s="1"/>
      <c r="L832" s="302"/>
      <c r="M832" s="302"/>
    </row>
    <row r="833" spans="1:13" customFormat="1" ht="12.75">
      <c r="A833" s="1571"/>
      <c r="F833" s="1"/>
      <c r="G833" s="1"/>
      <c r="H833" s="1"/>
      <c r="I833" s="1"/>
      <c r="L833" s="302"/>
      <c r="M833" s="302"/>
    </row>
    <row r="834" spans="1:13" customFormat="1" ht="12.75">
      <c r="A834" s="1571"/>
      <c r="F834" s="1"/>
      <c r="G834" s="1"/>
      <c r="H834" s="1"/>
      <c r="I834" s="1"/>
      <c r="L834" s="302"/>
      <c r="M834" s="302"/>
    </row>
  </sheetData>
  <sheetProtection algorithmName="SHA-512" hashValue="3zDR1Noy2ZK/hH9BkXMx2d19inTWcabjEIQ0PGZ71PL+ZMEHQa5fT5qwaCiFP6MxNqPEFiYULr+H0BXI3/39Zg==" saltValue="S3xS+Pj2+SMipQ3gKcngoQ==" spinCount="100000" sheet="1" objects="1" scenarios="1"/>
  <mergeCells count="76">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22:C22"/>
    <mergeCell ref="B30:C30"/>
    <mergeCell ref="B33:C33"/>
    <mergeCell ref="B19:C19"/>
    <mergeCell ref="B20:C20"/>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75"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33" t="str">
        <f>Entrées!B1</f>
        <v>2021.1</v>
      </c>
      <c r="C1" s="5"/>
      <c r="D1" s="5"/>
      <c r="E1" s="5"/>
      <c r="F1" s="5"/>
      <c r="G1" s="5"/>
      <c r="H1" s="5"/>
      <c r="I1" s="5"/>
      <c r="J1" s="5"/>
      <c r="K1" s="5"/>
      <c r="L1" s="787"/>
      <c r="M1" s="787" t="str">
        <f>Entrées!K1</f>
        <v>Formulaire MINERGIE 2021.1, à utiliser jusqu'au 31 décembre 2021</v>
      </c>
      <c r="N1" s="1575"/>
    </row>
    <row r="2" spans="1:23" ht="13.15" customHeight="1">
      <c r="B2" s="1730"/>
      <c r="C2" s="829"/>
      <c r="D2" s="829"/>
      <c r="E2" s="829"/>
      <c r="F2" s="829"/>
      <c r="G2" s="1731"/>
      <c r="H2" s="2158" t="str">
        <f>Uebersetzung!D320</f>
        <v>Protection thermique estivale dans le label Minergie</v>
      </c>
      <c r="I2" s="2159"/>
      <c r="J2" s="2159"/>
      <c r="K2" s="2159"/>
      <c r="L2" s="2159"/>
      <c r="M2" s="2160"/>
      <c r="N2" s="1575"/>
    </row>
    <row r="3" spans="1:23" ht="20.25">
      <c r="B3" s="1109"/>
      <c r="C3" s="143"/>
      <c r="D3" s="42"/>
      <c r="E3" s="42"/>
      <c r="F3" s="2167"/>
      <c r="G3" s="2000"/>
      <c r="H3" s="2161"/>
      <c r="I3" s="2162"/>
      <c r="J3" s="2162"/>
      <c r="K3" s="2162"/>
      <c r="L3" s="2162"/>
      <c r="M3" s="2163"/>
      <c r="N3" s="1575"/>
    </row>
    <row r="4" spans="1:23" ht="13.9" customHeight="1">
      <c r="B4" s="94"/>
      <c r="C4" s="60"/>
      <c r="D4" s="60"/>
      <c r="E4" s="60"/>
      <c r="F4" s="60"/>
      <c r="G4" s="116"/>
      <c r="H4" s="2164"/>
      <c r="I4" s="2165"/>
      <c r="J4" s="2165"/>
      <c r="K4" s="2165"/>
      <c r="L4" s="2165"/>
      <c r="M4" s="2166"/>
      <c r="N4" s="1575"/>
    </row>
    <row r="5" spans="1:23" ht="9.9499999999999993" customHeight="1">
      <c r="N5" s="1575"/>
    </row>
    <row r="6" spans="1:23" ht="15.75" hidden="1">
      <c r="B6" s="1039"/>
      <c r="C6" s="1037"/>
      <c r="D6" s="1037"/>
      <c r="E6" s="1037"/>
      <c r="F6" s="1037"/>
      <c r="G6" s="1037"/>
      <c r="H6" s="1037"/>
      <c r="I6" s="1037"/>
      <c r="J6" s="1037"/>
      <c r="K6" s="1037"/>
      <c r="L6" s="1038"/>
      <c r="N6" s="1575"/>
      <c r="O6" s="1040"/>
      <c r="P6" s="1040"/>
      <c r="Q6" s="1040"/>
      <c r="R6" s="1040"/>
      <c r="S6" s="1040"/>
    </row>
    <row r="7" spans="1:23" ht="20.100000000000001" customHeight="1">
      <c r="A7" s="1575" t="s">
        <v>3331</v>
      </c>
      <c r="B7" s="2168" t="str">
        <f>IF(Projekt1="","",Projekt1)</f>
        <v/>
      </c>
      <c r="C7" s="2169"/>
      <c r="D7" s="2169"/>
      <c r="E7" s="2169"/>
      <c r="F7" s="2169"/>
      <c r="G7" s="2169"/>
      <c r="H7" s="2169"/>
      <c r="I7" s="2169"/>
      <c r="J7" s="2169"/>
      <c r="K7" s="2169"/>
      <c r="L7" s="2169"/>
      <c r="M7" s="2170"/>
      <c r="N7" s="1575"/>
      <c r="O7" s="1040"/>
      <c r="P7" s="1040"/>
      <c r="Q7" s="1040"/>
      <c r="R7" s="1040"/>
      <c r="S7" s="1040"/>
    </row>
    <row r="8" spans="1:23" ht="15" hidden="1" customHeight="1">
      <c r="B8" s="2171"/>
      <c r="C8" s="2172"/>
      <c r="D8" s="2172"/>
      <c r="E8" s="2172"/>
      <c r="F8" s="2172"/>
      <c r="G8" s="2172"/>
      <c r="H8" s="2172"/>
      <c r="I8" s="2172"/>
      <c r="J8" s="2172"/>
      <c r="K8" s="2172"/>
      <c r="L8" s="2172"/>
      <c r="M8" s="2173"/>
      <c r="N8" s="1575"/>
      <c r="O8" s="1040"/>
      <c r="P8" s="1040"/>
      <c r="Q8" s="1040"/>
      <c r="R8" s="1040"/>
      <c r="S8" s="1040"/>
    </row>
    <row r="9" spans="1:23" ht="24.95" customHeight="1">
      <c r="A9" s="1575" t="s">
        <v>3332</v>
      </c>
      <c r="B9" s="2154" t="str">
        <f>IF(Projekt4="","",Projekt4)</f>
        <v/>
      </c>
      <c r="C9" s="2155"/>
      <c r="D9" s="2155"/>
      <c r="E9" s="2155"/>
      <c r="F9" s="2155"/>
      <c r="G9" s="2155"/>
      <c r="H9" s="2155"/>
      <c r="I9" s="2155"/>
      <c r="J9" s="2155"/>
      <c r="K9" s="2155"/>
      <c r="L9" s="2155"/>
      <c r="M9" s="2156"/>
      <c r="N9" s="1575"/>
      <c r="O9" s="1037"/>
      <c r="P9" s="1040"/>
      <c r="Q9" s="1037"/>
      <c r="R9" s="1037"/>
      <c r="S9" s="1037"/>
    </row>
    <row r="10" spans="1:23" ht="39.950000000000003" customHeight="1">
      <c r="A10" s="1575" t="s">
        <v>3516</v>
      </c>
      <c r="B10" s="2157" t="str">
        <f>Uebersetzung!D322</f>
        <v>Variante 1: Evaluation globale de cas standards pour les affectations suivantes: habitation, bureau individuel ou paysager, salle de réunion et dépôt (sans refroidissement)</v>
      </c>
      <c r="C10" s="2157"/>
      <c r="D10" s="2157"/>
      <c r="E10" s="2157"/>
      <c r="F10" s="2157"/>
      <c r="G10" s="2157"/>
      <c r="H10" s="2157"/>
      <c r="I10" s="2157"/>
      <c r="J10" s="2157"/>
      <c r="K10" s="2157"/>
      <c r="L10" s="2157"/>
      <c r="M10" s="1726"/>
      <c r="N10" s="1575"/>
      <c r="O10" s="1037"/>
      <c r="P10" s="1040"/>
      <c r="Q10" s="1037"/>
      <c r="R10" s="1037"/>
      <c r="S10" s="1037"/>
    </row>
    <row r="11" spans="1:23" ht="15" customHeight="1">
      <c r="B11" s="2107" t="str">
        <f>Uebersetzung!D323</f>
        <v>L'évaluation globale est valable pour les zones dans lesquelles les conditions suivantes sont respectées pour tous les locaux:</v>
      </c>
      <c r="C11" s="2108"/>
      <c r="D11" s="2108"/>
      <c r="E11" s="2108"/>
      <c r="F11" s="2108"/>
      <c r="G11" s="2108"/>
      <c r="H11" s="2108"/>
      <c r="I11" s="2108"/>
      <c r="J11" s="2108"/>
      <c r="K11" s="2108"/>
      <c r="L11" s="2108"/>
      <c r="M11" s="2109"/>
      <c r="N11" s="1575"/>
      <c r="O11" s="1041"/>
      <c r="P11" s="1041"/>
      <c r="Q11" s="1041"/>
      <c r="R11" s="1077">
        <v>1</v>
      </c>
      <c r="S11" s="1360">
        <v>1</v>
      </c>
    </row>
    <row r="12" spans="1:23" ht="15" customHeight="1">
      <c r="A12" s="1577"/>
      <c r="B12" s="2117" t="str">
        <f>Uebersetzung!D537</f>
        <v>- Pas d'ouverture zénithale</v>
      </c>
      <c r="C12" s="2118"/>
      <c r="D12" s="2118"/>
      <c r="E12" s="2118"/>
      <c r="F12" s="2118"/>
      <c r="G12" s="2118"/>
      <c r="H12" s="2118"/>
      <c r="I12" s="2118"/>
      <c r="J12" s="2118"/>
      <c r="K12" s="2118"/>
      <c r="L12" s="2118"/>
      <c r="M12" s="2119"/>
      <c r="N12" s="1575"/>
      <c r="O12" s="1739" t="str">
        <f>Uebersetzung!D27</f>
        <v>n.a.</v>
      </c>
      <c r="P12" s="1735" t="str">
        <f>O12</f>
        <v>n.a.</v>
      </c>
      <c r="Q12" s="1735" t="str">
        <f>Uebersetzung!D350</f>
        <v>Volets roulants</v>
      </c>
      <c r="R12" s="1043">
        <v>2</v>
      </c>
      <c r="S12" s="1044">
        <v>4</v>
      </c>
    </row>
    <row r="13" spans="1:23" ht="15" customHeight="1">
      <c r="B13" s="2117" t="str">
        <f>Uebersetzung!D538</f>
        <v>- Protection solaire extérieure mobile avec stores à rouleau ou à lamellles (valeur g-total max. 0.1)</v>
      </c>
      <c r="C13" s="2118"/>
      <c r="D13" s="2118"/>
      <c r="E13" s="2118"/>
      <c r="F13" s="2118"/>
      <c r="G13" s="2118"/>
      <c r="H13" s="2118"/>
      <c r="I13" s="2118"/>
      <c r="J13" s="2118"/>
      <c r="K13" s="2118"/>
      <c r="L13" s="2118"/>
      <c r="M13" s="2119"/>
      <c r="N13" s="1575"/>
      <c r="O13" s="1046" t="str">
        <f>Uebersetzung!D25</f>
        <v>oui</v>
      </c>
      <c r="P13" s="1046" t="str">
        <f>O13</f>
        <v>oui</v>
      </c>
      <c r="Q13" s="1046" t="str">
        <f>Uebersetzung!D351</f>
        <v>Stores à lamelles</v>
      </c>
      <c r="R13" s="1077">
        <v>3</v>
      </c>
      <c r="S13" s="1360">
        <v>2</v>
      </c>
    </row>
    <row r="14" spans="1:23" ht="15" customHeight="1">
      <c r="B14" s="1790" t="str">
        <f>Uebersetzung!D539</f>
        <v>- Rafraîchis. nocturne par les fen. possible (précision : la protect. contre l'effraction n'est en général pas contrôlée dans le cadre de la certif. Minergie)</v>
      </c>
      <c r="C14" s="1791"/>
      <c r="D14" s="1791"/>
      <c r="E14" s="1791"/>
      <c r="F14" s="1791"/>
      <c r="G14" s="1791"/>
      <c r="H14" s="1791"/>
      <c r="I14" s="1791"/>
      <c r="J14" s="1791"/>
      <c r="K14" s="1791"/>
      <c r="L14" s="1791"/>
      <c r="M14" s="1792"/>
      <c r="N14" s="1575"/>
      <c r="O14" s="1046" t="str">
        <f>Uebersetzung!D26</f>
        <v>non</v>
      </c>
      <c r="P14" s="1046" t="str">
        <f>O14</f>
        <v>non</v>
      </c>
      <c r="Q14" s="1046" t="str">
        <f>Uebersetzung!D352</f>
        <v>Module Minergie</v>
      </c>
      <c r="R14" s="1077">
        <v>4</v>
      </c>
      <c r="S14" s="1360">
        <v>3</v>
      </c>
    </row>
    <row r="15" spans="1:23" ht="15" customHeight="1">
      <c r="B15" s="2120" t="str">
        <f>Uebersetzung!D327</f>
        <v>- charges thermiques internes pas plus élevées que la valeur standard figurant dans le cahier technique SIA 2024.</v>
      </c>
      <c r="C15" s="2121"/>
      <c r="D15" s="2121"/>
      <c r="E15" s="2121"/>
      <c r="F15" s="2121"/>
      <c r="G15" s="2121"/>
      <c r="H15" s="2121"/>
      <c r="I15" s="2121"/>
      <c r="J15" s="2121"/>
      <c r="K15" s="2121"/>
      <c r="L15" s="2121"/>
      <c r="M15" s="2122"/>
      <c r="N15" s="1575"/>
      <c r="O15" s="1048"/>
      <c r="P15" s="1048"/>
      <c r="Q15" s="1048" t="str">
        <f>Uebersetzung!D353</f>
        <v>Autres</v>
      </c>
      <c r="R15" s="1077">
        <v>5</v>
      </c>
      <c r="S15" s="1037"/>
    </row>
    <row r="16" spans="1:23" ht="17.100000000000001" customHeight="1">
      <c r="B16" s="2110" t="str">
        <f>Uebersetzung!D558</f>
        <v>- Résistance au vent des protections solaires extérieures mobiles d'au moins classe 5</v>
      </c>
      <c r="C16" s="2111"/>
      <c r="D16" s="2111"/>
      <c r="E16" s="2111"/>
      <c r="F16" s="2111"/>
      <c r="G16" s="2111"/>
      <c r="H16" s="2111"/>
      <c r="I16" s="2111"/>
      <c r="J16" s="2111"/>
      <c r="K16" s="2111"/>
      <c r="L16" s="2111"/>
      <c r="M16" s="2112"/>
      <c r="N16" s="1575"/>
      <c r="O16" s="1041"/>
      <c r="P16" s="1041"/>
      <c r="Q16" s="1041"/>
      <c r="R16" s="1041"/>
      <c r="S16" s="1037"/>
      <c r="T16" s="1736" t="s">
        <v>1731</v>
      </c>
      <c r="U16" s="1049"/>
      <c r="V16" s="1049"/>
      <c r="W16" s="1737"/>
    </row>
    <row r="17" spans="1:23" ht="20.100000000000001" customHeight="1">
      <c r="B17" s="1789"/>
      <c r="C17" s="1796"/>
      <c r="D17" s="1796"/>
      <c r="E17" s="1796"/>
      <c r="F17" s="1796"/>
      <c r="G17" s="1796"/>
      <c r="H17" s="1797" t="s">
        <v>1732</v>
      </c>
      <c r="I17" s="1798">
        <v>1</v>
      </c>
      <c r="J17" s="1798">
        <v>2</v>
      </c>
      <c r="K17" s="1798">
        <v>3</v>
      </c>
      <c r="L17" s="1799">
        <v>4</v>
      </c>
      <c r="M17" s="1800"/>
      <c r="N17" s="1575"/>
      <c r="O17" s="1781">
        <v>1</v>
      </c>
      <c r="P17" s="665">
        <v>2</v>
      </c>
      <c r="Q17" s="665">
        <v>3</v>
      </c>
      <c r="R17" s="1782">
        <v>4</v>
      </c>
      <c r="S17" s="1766"/>
      <c r="T17" s="1783">
        <v>1</v>
      </c>
      <c r="U17" s="1784">
        <v>2</v>
      </c>
      <c r="V17" s="1784">
        <v>3</v>
      </c>
      <c r="W17" s="1785">
        <v>4</v>
      </c>
    </row>
    <row r="18" spans="1:23" ht="15" customHeight="1">
      <c r="B18" s="1055" t="str">
        <f>Uebersetzung!D328</f>
        <v>Les locaux de cette zone satisfont-ils les critères?</v>
      </c>
      <c r="C18" s="1727"/>
      <c r="D18" s="1727"/>
      <c r="E18" s="1727"/>
      <c r="F18" s="1727"/>
      <c r="G18" s="1727"/>
      <c r="H18" s="1727"/>
      <c r="I18" s="1056"/>
      <c r="J18" s="1056"/>
      <c r="K18" s="1056"/>
      <c r="L18" s="1057"/>
      <c r="M18" s="1054"/>
      <c r="N18" s="1575"/>
      <c r="O18" s="1745"/>
      <c r="P18" s="1746"/>
      <c r="Q18" s="1746"/>
      <c r="R18" s="1744"/>
      <c r="S18" s="1037"/>
      <c r="T18" s="1058"/>
      <c r="U18" s="1059"/>
      <c r="V18" s="1059"/>
      <c r="W18" s="1060"/>
    </row>
    <row r="19" spans="1:23" ht="24" customHeight="1">
      <c r="A19" s="2139" t="s">
        <v>3333</v>
      </c>
      <c r="B19" s="2140" t="str">
        <f>Uebersetzung!D329</f>
        <v>Protection solaire extérieure mobile. A déclarer ici sous "autres":</v>
      </c>
      <c r="C19" s="2141"/>
      <c r="D19" s="2141"/>
      <c r="E19" s="2141"/>
      <c r="F19" s="2141"/>
      <c r="G19" s="2141"/>
      <c r="H19" s="2142"/>
      <c r="I19" s="2143"/>
      <c r="J19" s="2143"/>
      <c r="K19" s="2143"/>
      <c r="L19" s="2145"/>
      <c r="M19" s="1061"/>
      <c r="N19" s="1575"/>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62" customFormat="1" ht="24" customHeight="1">
      <c r="A20" s="2139"/>
      <c r="B20" s="2127"/>
      <c r="C20" s="2128"/>
      <c r="D20" s="2128"/>
      <c r="E20" s="2128"/>
      <c r="F20" s="2128"/>
      <c r="G20" s="2128"/>
      <c r="H20" s="1747"/>
      <c r="I20" s="2144"/>
      <c r="J20" s="2144"/>
      <c r="K20" s="2144"/>
      <c r="L20" s="2146"/>
      <c r="M20" s="1768"/>
      <c r="N20" s="1575"/>
      <c r="O20" s="128"/>
      <c r="P20" s="1087"/>
      <c r="Q20" s="1087"/>
      <c r="R20" s="1767"/>
      <c r="S20" s="1766"/>
      <c r="T20" s="1765"/>
      <c r="U20" s="1764"/>
      <c r="V20" s="1764"/>
      <c r="W20" s="1763"/>
    </row>
    <row r="21" spans="1:23" ht="18" customHeight="1">
      <c r="A21" s="1575" t="s">
        <v>1743</v>
      </c>
      <c r="B21" s="2186" t="str">
        <f>Uebersetzung!D530</f>
        <v>Habitat (individuel, collectif), pièce jusqu'à 2 façades, plafond en béton apparent (&gt;80% libre)</v>
      </c>
      <c r="C21" s="2187"/>
      <c r="D21" s="2187"/>
      <c r="E21" s="2187"/>
      <c r="F21" s="2187"/>
      <c r="G21" s="2187"/>
      <c r="H21" s="2188"/>
      <c r="I21" s="2182"/>
      <c r="J21" s="2182"/>
      <c r="K21" s="2182"/>
      <c r="L21" s="2184"/>
      <c r="M21" s="2177"/>
      <c r="N21" s="1575"/>
      <c r="O21" s="2179" t="b">
        <f>OR(I21=$O$12,I21=$O$13)</f>
        <v>0</v>
      </c>
      <c r="P21" s="2180" t="b">
        <f>OR(J21=$O$12,J21=$O$13)</f>
        <v>0</v>
      </c>
      <c r="Q21" s="2180" t="b">
        <f>OR(K21=$O$12,K21=$O$13)</f>
        <v>0</v>
      </c>
      <c r="R21" s="2181" t="b">
        <f>OR(L21=$O$12,L21=$O$13)</f>
        <v>0</v>
      </c>
      <c r="S21" s="1037"/>
      <c r="T21" s="2135" t="b">
        <f>I21&lt;&gt;$O$12</f>
        <v>1</v>
      </c>
      <c r="U21" s="2136" t="b">
        <f>J21&lt;&gt;$O$12</f>
        <v>1</v>
      </c>
      <c r="V21" s="2136" t="b">
        <f>K21&lt;&gt;$O$12</f>
        <v>1</v>
      </c>
      <c r="W21" s="2174" t="b">
        <f>L21&lt;&gt;$O$12</f>
        <v>1</v>
      </c>
    </row>
    <row r="22" spans="1:23" ht="18" customHeight="1">
      <c r="B22" s="2175" t="str">
        <f>Uebersetzung!D531</f>
        <v>- Indice de vitrage maximal</v>
      </c>
      <c r="C22" s="2176"/>
      <c r="D22" s="2176"/>
      <c r="E22" s="2176"/>
      <c r="F22" s="2176"/>
      <c r="G22" s="2176"/>
      <c r="H22" s="1738" t="str">
        <f>Standardwerte!K210</f>
        <v/>
      </c>
      <c r="I22" s="2183"/>
      <c r="J22" s="2183"/>
      <c r="K22" s="2183"/>
      <c r="L22" s="2185"/>
      <c r="M22" s="2178"/>
      <c r="N22" s="1575"/>
      <c r="O22" s="2179"/>
      <c r="P22" s="2180"/>
      <c r="Q22" s="2180"/>
      <c r="R22" s="2181"/>
      <c r="S22" s="1037"/>
      <c r="T22" s="2135"/>
      <c r="U22" s="2136"/>
      <c r="V22" s="2136"/>
      <c r="W22" s="2174"/>
    </row>
    <row r="23" spans="1:23" ht="27.95" customHeight="1">
      <c r="A23" s="1575" t="s">
        <v>1745</v>
      </c>
      <c r="B23" s="2190" t="str">
        <f>Uebersetzung!D532</f>
        <v>Habitat (individuel, collectif), pièce jusqu'à 2 façades, plafond en bois et chape ciment min. 6 cm ou anhydrite min. 5 cm d'épais</v>
      </c>
      <c r="C23" s="2191"/>
      <c r="D23" s="2191"/>
      <c r="E23" s="2191"/>
      <c r="F23" s="2191"/>
      <c r="G23" s="2191"/>
      <c r="H23" s="2192"/>
      <c r="I23" s="2182"/>
      <c r="J23" s="2182"/>
      <c r="K23" s="2182"/>
      <c r="L23" s="2184"/>
      <c r="M23" s="2177"/>
      <c r="N23" s="1575"/>
      <c r="O23" s="2179" t="b">
        <f>OR(I23=$O$12,I23=$O$13)</f>
        <v>0</v>
      </c>
      <c r="P23" s="2180" t="b">
        <f>OR(J23=$O$12,J23=$O$13)</f>
        <v>0</v>
      </c>
      <c r="Q23" s="2180" t="b">
        <f>OR(K23=$O$12,K23=$O$13)</f>
        <v>0</v>
      </c>
      <c r="R23" s="2181" t="b">
        <f>OR(L23=$O$12,L23=$O$13)</f>
        <v>0</v>
      </c>
      <c r="S23" s="1037"/>
      <c r="T23" s="2135" t="b">
        <f>I23&lt;&gt;$O$12</f>
        <v>1</v>
      </c>
      <c r="U23" s="2136" t="b">
        <f>J23&lt;&gt;$O$12</f>
        <v>1</v>
      </c>
      <c r="V23" s="2136" t="b">
        <f>K23&lt;&gt;$O$12</f>
        <v>1</v>
      </c>
      <c r="W23" s="2174" t="b">
        <f>L23&lt;&gt;$O$12</f>
        <v>1</v>
      </c>
    </row>
    <row r="24" spans="1:23" ht="18" customHeight="1">
      <c r="B24" s="2189" t="str">
        <f>Uebersetzung!D531</f>
        <v>- Indice de vitrage maximal</v>
      </c>
      <c r="C24" s="2176"/>
      <c r="D24" s="2176"/>
      <c r="E24" s="2176"/>
      <c r="F24" s="2176"/>
      <c r="G24" s="2176"/>
      <c r="H24" s="1738" t="str">
        <f>Standardwerte!L210</f>
        <v/>
      </c>
      <c r="I24" s="2183"/>
      <c r="J24" s="2183"/>
      <c r="K24" s="2183"/>
      <c r="L24" s="2185"/>
      <c r="M24" s="2178"/>
      <c r="N24" s="1575"/>
      <c r="O24" s="2179"/>
      <c r="P24" s="2180"/>
      <c r="Q24" s="2180"/>
      <c r="R24" s="2181"/>
      <c r="S24" s="1037"/>
      <c r="T24" s="2135"/>
      <c r="U24" s="2136"/>
      <c r="V24" s="2136"/>
      <c r="W24" s="2174"/>
    </row>
    <row r="25" spans="1:23" ht="32.1" customHeight="1">
      <c r="A25" s="1575" t="s">
        <v>1747</v>
      </c>
      <c r="B25" s="2190" t="str">
        <f>Uebersetzung!D533</f>
        <v>Habitat (ind., coll.), pièce avec 1 façade, plafond en béton apparent (&gt;80% libre), orientation SSE-SSO et ombrage par balcon de min. 1 m de profondeur</v>
      </c>
      <c r="C25" s="2191"/>
      <c r="D25" s="2191"/>
      <c r="E25" s="2191"/>
      <c r="F25" s="2191"/>
      <c r="G25" s="2191"/>
      <c r="H25" s="2192"/>
      <c r="I25" s="2182"/>
      <c r="J25" s="2182"/>
      <c r="K25" s="2182"/>
      <c r="L25" s="2184"/>
      <c r="M25" s="2177"/>
      <c r="N25" s="1575"/>
      <c r="O25" s="2179" t="b">
        <f>OR(I25=$O$12,I25=$O$13)</f>
        <v>0</v>
      </c>
      <c r="P25" s="2180" t="b">
        <f>OR(J25=$O$12,J25=$O$13)</f>
        <v>0</v>
      </c>
      <c r="Q25" s="2180" t="b">
        <f>OR(K25=$O$12,K25=$O$13)</f>
        <v>0</v>
      </c>
      <c r="R25" s="2181" t="b">
        <f>OR(L25=$O$12,L25=$O$13)</f>
        <v>0</v>
      </c>
      <c r="S25" s="1037"/>
      <c r="T25" s="2135" t="b">
        <f>I25&lt;&gt;$O$12</f>
        <v>1</v>
      </c>
      <c r="U25" s="2136" t="b">
        <f>J25&lt;&gt;$O$12</f>
        <v>1</v>
      </c>
      <c r="V25" s="2136" t="b">
        <f>K25&lt;&gt;$O$12</f>
        <v>1</v>
      </c>
      <c r="W25" s="2174" t="b">
        <f>L25&lt;&gt;$O$12</f>
        <v>1</v>
      </c>
    </row>
    <row r="26" spans="1:23" ht="18" customHeight="1">
      <c r="B26" s="2189" t="str">
        <f>Uebersetzung!D531</f>
        <v>- Indice de vitrage maximal</v>
      </c>
      <c r="C26" s="2176"/>
      <c r="D26" s="2176"/>
      <c r="E26" s="2176"/>
      <c r="F26" s="2176"/>
      <c r="G26" s="2176"/>
      <c r="H26" s="1738" t="str">
        <f>Standardwerte!M210</f>
        <v/>
      </c>
      <c r="I26" s="2183"/>
      <c r="J26" s="2183"/>
      <c r="K26" s="2183"/>
      <c r="L26" s="2185"/>
      <c r="M26" s="2178"/>
      <c r="N26" s="1575"/>
      <c r="O26" s="2179"/>
      <c r="P26" s="2180"/>
      <c r="Q26" s="2180"/>
      <c r="R26" s="2181"/>
      <c r="S26" s="1037"/>
      <c r="T26" s="2135"/>
      <c r="U26" s="2136"/>
      <c r="V26" s="2136"/>
      <c r="W26" s="2174"/>
    </row>
    <row r="27" spans="1:23" ht="32.1" customHeight="1">
      <c r="A27" s="1575" t="s">
        <v>3351</v>
      </c>
      <c r="B27" s="2190" t="str">
        <f>Uebersetzung!D534</f>
        <v>Plafond en béton apparent (&gt;40% libre) et commande automatique de la protection solaire. Valeur g vitrage ≤ 30%</v>
      </c>
      <c r="C27" s="2191"/>
      <c r="D27" s="2191"/>
      <c r="E27" s="2191"/>
      <c r="F27" s="2191"/>
      <c r="G27" s="2191"/>
      <c r="H27" s="2192"/>
      <c r="I27" s="2182"/>
      <c r="J27" s="2182"/>
      <c r="K27" s="2182"/>
      <c r="L27" s="2184"/>
      <c r="M27" s="2177"/>
      <c r="N27" s="1575"/>
      <c r="O27" s="2179" t="b">
        <f>OR(I27=$O$12,I27=$O$13)</f>
        <v>0</v>
      </c>
      <c r="P27" s="2180" t="b">
        <f>OR(J27=$O$12,J27=$O$13)</f>
        <v>0</v>
      </c>
      <c r="Q27" s="2180" t="b">
        <f>OR(K27=$O$12,K27=$O$13)</f>
        <v>0</v>
      </c>
      <c r="R27" s="2181" t="b">
        <f>OR(L27=$O$12,L27=$O$13)</f>
        <v>0</v>
      </c>
      <c r="S27" s="1037"/>
      <c r="T27" s="2135" t="b">
        <f>I27&lt;&gt;$O$12</f>
        <v>1</v>
      </c>
      <c r="U27" s="2136" t="b">
        <f>J27&lt;&gt;$O$12</f>
        <v>1</v>
      </c>
      <c r="V27" s="2136" t="b">
        <f>K27&lt;&gt;$O$12</f>
        <v>1</v>
      </c>
      <c r="W27" s="2174" t="b">
        <f>L27&lt;&gt;$O$12</f>
        <v>1</v>
      </c>
    </row>
    <row r="28" spans="1:23" ht="18" customHeight="1">
      <c r="B28" s="2189" t="str">
        <f>Uebersetzung!D531</f>
        <v>- Indice de vitrage maximal</v>
      </c>
      <c r="C28" s="2176"/>
      <c r="D28" s="2176"/>
      <c r="E28" s="2176"/>
      <c r="F28" s="2176"/>
      <c r="G28" s="2176"/>
      <c r="H28" s="1738" t="str">
        <f>Standardwerte!N210</f>
        <v/>
      </c>
      <c r="I28" s="2183"/>
      <c r="J28" s="2183"/>
      <c r="K28" s="2183"/>
      <c r="L28" s="2185"/>
      <c r="M28" s="2178"/>
      <c r="N28" s="1575"/>
      <c r="O28" s="2179"/>
      <c r="P28" s="2180"/>
      <c r="Q28" s="2180"/>
      <c r="R28" s="2181"/>
      <c r="S28" s="1037"/>
      <c r="T28" s="2135"/>
      <c r="U28" s="2136"/>
      <c r="V28" s="2136"/>
      <c r="W28" s="2174"/>
    </row>
    <row r="29" spans="1:23" ht="15.95" customHeight="1">
      <c r="A29" s="1575" t="s">
        <v>3334</v>
      </c>
      <c r="B29" s="2151" t="str">
        <f>Uebersetzung!D337</f>
        <v>Dépôt avec faibles charges thermiques internes</v>
      </c>
      <c r="C29" s="2152"/>
      <c r="D29" s="2152"/>
      <c r="E29" s="2152"/>
      <c r="F29" s="2152"/>
      <c r="G29" s="2152"/>
      <c r="H29" s="2152"/>
      <c r="I29" s="1069"/>
      <c r="J29" s="1069"/>
      <c r="K29" s="1069"/>
      <c r="L29" s="1070"/>
      <c r="M29" s="1054"/>
      <c r="N29" s="1575"/>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75" t="s">
        <v>2901</v>
      </c>
      <c r="B30" s="2198" t="str">
        <f>Uebersetzung!D338</f>
        <v>"n.a.":    non applicable. Un tel type de local n'existe pas.
"oui":     il y a un local de ce type et tous les critères sont remplis.
"non":    il y a un local de ce type mais tous les critères ne sont pas remplis (p.ex. taux de surface vitrée trop élevé).</v>
      </c>
      <c r="C30" s="2199"/>
      <c r="D30" s="2199"/>
      <c r="E30" s="2199"/>
      <c r="F30" s="2199"/>
      <c r="G30" s="2199"/>
      <c r="H30" s="2199"/>
      <c r="I30" s="2199"/>
      <c r="J30" s="2199"/>
      <c r="K30" s="2199"/>
      <c r="L30" s="2200"/>
      <c r="M30" s="1071"/>
      <c r="N30" s="1575"/>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75"/>
      <c r="O31" s="1041"/>
      <c r="P31" s="1041"/>
      <c r="Q31" s="1041"/>
      <c r="R31" s="1041"/>
      <c r="S31" s="1037"/>
    </row>
    <row r="32" spans="1:23" ht="12.75" customHeight="1">
      <c r="A32" s="1575" t="s">
        <v>1751</v>
      </c>
      <c r="B32" s="1078" t="str">
        <f>Uebersetzung!D535</f>
        <v>Variante 2 : Justificatif externe des critères selon SIA 382/1 et SIA 180 (sans refroidissement)</v>
      </c>
      <c r="C32" s="1041"/>
      <c r="D32" s="1041"/>
      <c r="E32" s="1041"/>
      <c r="F32" s="1041"/>
      <c r="G32" s="1041"/>
      <c r="H32" s="1041"/>
      <c r="I32" s="1041"/>
      <c r="J32" s="1041"/>
      <c r="K32" s="1041"/>
      <c r="L32" s="1041"/>
      <c r="M32" s="1041"/>
      <c r="N32" s="1575"/>
      <c r="O32" s="1739" t="str">
        <f>Uebersetzung!D25</f>
        <v>oui</v>
      </c>
      <c r="P32" s="1041"/>
      <c r="Q32" s="1041"/>
      <c r="R32" s="1041"/>
      <c r="S32" s="1037"/>
    </row>
    <row r="33" spans="1:24" ht="15.95" customHeight="1">
      <c r="B33" s="1098" t="str">
        <f>Uebersetzung!D342</f>
        <v>Les conditions propres au respect de ces critères sont décrites et documentées en annexe.</v>
      </c>
      <c r="C33" s="1041"/>
      <c r="D33" s="1041"/>
      <c r="E33" s="1041"/>
      <c r="F33" s="1041"/>
      <c r="G33" s="1041"/>
      <c r="H33" s="1041"/>
      <c r="I33" s="1740" t="str">
        <f>IF(AND(OR(AND(O35=TRUE,O36=FALSE),AND(P35=TRUE,P36=FALSE),AND(Q35=TRUE,Q36=FALSE),AND(R35=TRUE,R36=FALSE)),U33=1),Uebersetzung!D542,"")</f>
        <v/>
      </c>
      <c r="J33" s="1041"/>
      <c r="K33" s="1041"/>
      <c r="L33" s="1041"/>
      <c r="M33" s="1041"/>
      <c r="N33" s="1575"/>
      <c r="O33" s="1048" t="str">
        <f>Uebersetzung!D26</f>
        <v>non</v>
      </c>
      <c r="P33" s="1041"/>
      <c r="Q33" s="1041"/>
      <c r="R33" s="1041"/>
      <c r="S33" s="1037"/>
      <c r="T33" s="1741" t="s">
        <v>3335</v>
      </c>
      <c r="U33" s="1742">
        <v>0</v>
      </c>
      <c r="V33" s="1741" t="s">
        <v>3336</v>
      </c>
      <c r="W33" s="1741"/>
    </row>
    <row r="34" spans="1:24" ht="20.100000000000001" customHeight="1">
      <c r="B34" s="1079"/>
      <c r="C34" s="2197" t="str">
        <f>Uebersetzung!D29</f>
        <v>Zone</v>
      </c>
      <c r="D34" s="2130"/>
      <c r="E34" s="2130"/>
      <c r="F34" s="2130"/>
      <c r="G34" s="2130"/>
      <c r="H34" s="2131"/>
      <c r="I34" s="1052">
        <v>1</v>
      </c>
      <c r="J34" s="1052">
        <v>2</v>
      </c>
      <c r="K34" s="1052">
        <v>3</v>
      </c>
      <c r="L34" s="1053">
        <v>4</v>
      </c>
      <c r="M34" s="1739"/>
      <c r="N34" s="1575"/>
      <c r="O34" s="1780">
        <v>1</v>
      </c>
      <c r="P34" s="1778">
        <v>2</v>
      </c>
      <c r="Q34" s="1778">
        <v>3</v>
      </c>
      <c r="R34" s="1779">
        <v>4</v>
      </c>
      <c r="S34" s="1766"/>
      <c r="T34" s="1777">
        <v>1</v>
      </c>
      <c r="U34" s="1778">
        <v>2</v>
      </c>
      <c r="V34" s="1778">
        <v>3</v>
      </c>
      <c r="W34" s="1779">
        <v>4</v>
      </c>
    </row>
    <row r="35" spans="1:24" ht="33.950000000000003" customHeight="1">
      <c r="A35" s="1575" t="s">
        <v>2902</v>
      </c>
      <c r="B35" s="2193" t="str">
        <f>Uebersetzung!D536</f>
        <v>Exigences constructives de la protection thermique estivale selon le justificatif pour la protection thermique estivale, Variante 2, remplies?</v>
      </c>
      <c r="C35" s="2194"/>
      <c r="D35" s="2194"/>
      <c r="E35" s="2194"/>
      <c r="F35" s="2194"/>
      <c r="G35" s="2194"/>
      <c r="H35" s="2195"/>
      <c r="I35" s="1067"/>
      <c r="J35" s="1067"/>
      <c r="K35" s="1067"/>
      <c r="L35" s="1068"/>
      <c r="M35" s="1080"/>
      <c r="N35" s="1575"/>
      <c r="O35" s="1743" t="b">
        <f t="shared" ref="O35:R36" si="0">I35=$O$32</f>
        <v>0</v>
      </c>
      <c r="P35" s="1081" t="b">
        <f t="shared" si="0"/>
        <v>0</v>
      </c>
      <c r="Q35" s="1081" t="b">
        <f t="shared" si="0"/>
        <v>0</v>
      </c>
      <c r="R35" s="1734" t="b">
        <f t="shared" si="0"/>
        <v>0</v>
      </c>
      <c r="S35" s="1037"/>
      <c r="T35" s="1743" t="b">
        <f t="shared" ref="T35:W36" si="1">I35=$O$32</f>
        <v>0</v>
      </c>
      <c r="U35" s="1081" t="b">
        <f t="shared" si="1"/>
        <v>0</v>
      </c>
      <c r="V35" s="1081" t="b">
        <f t="shared" si="1"/>
        <v>0</v>
      </c>
      <c r="W35" s="1734" t="b">
        <f t="shared" si="1"/>
        <v>0</v>
      </c>
    </row>
    <row r="36" spans="1:24" ht="31.5" customHeight="1">
      <c r="A36" s="1575" t="s">
        <v>3352</v>
      </c>
      <c r="B36" s="2151" t="str">
        <f>Uebersetzung!D541</f>
        <v>Exigences des critères de confort selon le justificatif pour la protection thermique estivale remplies?</v>
      </c>
      <c r="C36" s="2152"/>
      <c r="D36" s="2152"/>
      <c r="E36" s="2152"/>
      <c r="F36" s="2152"/>
      <c r="G36" s="2152"/>
      <c r="H36" s="2196"/>
      <c r="I36" s="1069"/>
      <c r="J36" s="1069"/>
      <c r="K36" s="1069"/>
      <c r="L36" s="1070"/>
      <c r="M36" s="1080"/>
      <c r="N36" s="1575"/>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75" t="s">
        <v>1745</v>
      </c>
      <c r="B37" s="1082"/>
      <c r="C37" s="2153"/>
      <c r="D37" s="2152"/>
      <c r="E37" s="2152"/>
      <c r="F37" s="2152"/>
      <c r="G37" s="2152"/>
      <c r="H37" s="2152"/>
      <c r="I37" s="1069"/>
      <c r="J37" s="1069"/>
      <c r="K37" s="1069"/>
      <c r="L37" s="1070"/>
      <c r="M37" s="1080"/>
      <c r="N37" s="1575"/>
      <c r="O37" s="1063"/>
      <c r="P37" s="1063"/>
      <c r="Q37" s="1063"/>
      <c r="R37" s="1045"/>
      <c r="S37" s="1037"/>
      <c r="T37" s="1062"/>
      <c r="U37" s="1063"/>
      <c r="V37" s="1063"/>
      <c r="W37" s="1045"/>
    </row>
    <row r="38" spans="1:24" hidden="1">
      <c r="A38" s="1575" t="s">
        <v>1746</v>
      </c>
      <c r="B38" s="1083"/>
      <c r="C38" s="2150"/>
      <c r="D38" s="2124"/>
      <c r="E38" s="2124"/>
      <c r="F38" s="2124"/>
      <c r="G38" s="2124"/>
      <c r="H38" s="2124"/>
      <c r="I38" s="1069"/>
      <c r="J38" s="1069"/>
      <c r="K38" s="1069"/>
      <c r="L38" s="1070"/>
      <c r="M38" s="1080"/>
      <c r="N38" s="1575"/>
      <c r="O38" s="1062"/>
      <c r="P38" s="1063"/>
      <c r="Q38" s="1063"/>
      <c r="R38" s="1045"/>
      <c r="S38" s="1037"/>
      <c r="T38" s="1062"/>
      <c r="U38" s="1063"/>
      <c r="V38" s="1063"/>
      <c r="W38" s="1045"/>
    </row>
    <row r="39" spans="1:24" hidden="1">
      <c r="A39" s="1575" t="s">
        <v>1747</v>
      </c>
      <c r="B39" s="1083"/>
      <c r="C39" s="2150"/>
      <c r="D39" s="2124"/>
      <c r="E39" s="2124"/>
      <c r="F39" s="2124"/>
      <c r="G39" s="2124"/>
      <c r="H39" s="2124"/>
      <c r="I39" s="1069"/>
      <c r="J39" s="1069"/>
      <c r="K39" s="1069"/>
      <c r="L39" s="1070"/>
      <c r="M39" s="1080"/>
      <c r="N39" s="1575"/>
      <c r="O39" s="1062"/>
      <c r="P39" s="1063"/>
      <c r="Q39" s="1063"/>
      <c r="R39" s="1045"/>
      <c r="S39" s="1037"/>
      <c r="T39" s="1062"/>
      <c r="U39" s="1063"/>
      <c r="V39" s="1063"/>
      <c r="W39" s="1045"/>
    </row>
    <row r="40" spans="1:24" hidden="1">
      <c r="A40" s="1575" t="s">
        <v>1748</v>
      </c>
      <c r="B40" s="1083"/>
      <c r="C40" s="2150"/>
      <c r="D40" s="2124"/>
      <c r="E40" s="2124"/>
      <c r="F40" s="2124"/>
      <c r="G40" s="2124"/>
      <c r="H40" s="2124"/>
      <c r="I40" s="1069"/>
      <c r="J40" s="1069"/>
      <c r="K40" s="1069"/>
      <c r="L40" s="1070"/>
      <c r="M40" s="1080"/>
      <c r="N40" s="1575"/>
      <c r="O40" s="1062"/>
      <c r="P40" s="1063"/>
      <c r="Q40" s="1063"/>
      <c r="R40" s="1045"/>
      <c r="S40" s="1037"/>
      <c r="T40" s="1062"/>
      <c r="U40" s="1063"/>
      <c r="V40" s="1063"/>
      <c r="W40" s="1045"/>
    </row>
    <row r="41" spans="1:24" hidden="1">
      <c r="A41" s="1575" t="s">
        <v>1748</v>
      </c>
      <c r="B41" s="1083"/>
      <c r="C41" s="2150"/>
      <c r="D41" s="2124"/>
      <c r="E41" s="2124"/>
      <c r="F41" s="2124"/>
      <c r="G41" s="2124"/>
      <c r="H41" s="2124"/>
      <c r="I41" s="1069"/>
      <c r="J41" s="1069"/>
      <c r="K41" s="1069"/>
      <c r="L41" s="1070"/>
      <c r="M41" s="1080"/>
      <c r="N41" s="1575"/>
      <c r="O41" s="1084"/>
      <c r="P41" s="1085"/>
      <c r="Q41" s="1085"/>
      <c r="R41" s="1047"/>
      <c r="S41" s="1037"/>
      <c r="T41" s="1062"/>
      <c r="U41" s="1063"/>
      <c r="V41" s="1063"/>
      <c r="W41" s="1045"/>
    </row>
    <row r="42" spans="1:24" ht="15.95" customHeight="1">
      <c r="B42" s="1086" t="str">
        <f>Uebersetzung!D345</f>
        <v>Remarques concernant la justification externe (manière, annexes, par ex. critères de choix selon Aide à l'utilisation):</v>
      </c>
      <c r="C42" s="1087"/>
      <c r="D42" s="1087"/>
      <c r="E42" s="1087"/>
      <c r="F42" s="1087"/>
      <c r="G42" s="1087"/>
      <c r="H42" s="1087"/>
      <c r="I42" s="1063"/>
      <c r="J42" s="1063"/>
      <c r="K42" s="1063"/>
      <c r="L42" s="1045"/>
      <c r="M42" s="1046"/>
      <c r="N42" s="1575"/>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75" t="s">
        <v>2903</v>
      </c>
      <c r="B43" s="2127"/>
      <c r="C43" s="2128"/>
      <c r="D43" s="2128"/>
      <c r="E43" s="2128"/>
      <c r="F43" s="2128"/>
      <c r="G43" s="2128"/>
      <c r="H43" s="2128"/>
      <c r="I43" s="2128"/>
      <c r="J43" s="2128"/>
      <c r="K43" s="2128"/>
      <c r="L43" s="2129"/>
      <c r="M43" s="1048"/>
      <c r="N43" s="1575"/>
      <c r="O43" s="1041"/>
      <c r="P43" s="1041"/>
      <c r="Q43" s="1041"/>
      <c r="R43" s="1041"/>
      <c r="S43" s="1041"/>
    </row>
    <row r="44" spans="1:24" ht="9" customHeight="1">
      <c r="B44" s="1041"/>
      <c r="C44" s="1041"/>
      <c r="D44" s="1041"/>
      <c r="E44" s="1041"/>
      <c r="F44" s="1041"/>
      <c r="G44" s="1041"/>
      <c r="H44" s="1041"/>
      <c r="I44" s="1041"/>
      <c r="J44" s="1041"/>
      <c r="K44" s="1041"/>
      <c r="L44" s="1041"/>
      <c r="M44" s="1041"/>
      <c r="N44" s="1575"/>
      <c r="O44" s="1041"/>
      <c r="P44" s="1041"/>
      <c r="Q44" s="1041"/>
      <c r="R44" s="1041"/>
      <c r="S44" s="1037"/>
    </row>
    <row r="45" spans="1:24" ht="15.95" customHeight="1">
      <c r="A45" s="1575" t="s">
        <v>2904</v>
      </c>
      <c r="B45" s="1078" t="str">
        <f>Uebersetzung!D556</f>
        <v>Variante 3 : Justificatif externe des critères selon SIA 180 et SIA 382/1 (avec refroidissement)</v>
      </c>
      <c r="C45" s="1041"/>
      <c r="D45" s="1041"/>
      <c r="E45" s="1041"/>
      <c r="F45" s="1041"/>
      <c r="G45" s="1041"/>
      <c r="H45" s="1041"/>
      <c r="I45" s="1041"/>
      <c r="J45" s="1041"/>
      <c r="K45" s="1041"/>
      <c r="L45" s="1041"/>
      <c r="M45" s="1041"/>
      <c r="N45" s="1575"/>
      <c r="O45" s="1041"/>
      <c r="P45" s="1041"/>
      <c r="Q45" s="1041"/>
      <c r="R45" s="1041"/>
      <c r="S45" s="1037"/>
      <c r="U45" s="745" t="s">
        <v>3337</v>
      </c>
    </row>
    <row r="46" spans="1:24" ht="20.100000000000001" customHeight="1">
      <c r="B46" s="1050"/>
      <c r="C46" s="2130" t="str">
        <f>Uebersetzung!D29</f>
        <v>Zone</v>
      </c>
      <c r="D46" s="2130"/>
      <c r="E46" s="2130"/>
      <c r="F46" s="2130"/>
      <c r="G46" s="2130"/>
      <c r="H46" s="2131"/>
      <c r="I46" s="1052">
        <v>1</v>
      </c>
      <c r="J46" s="1052">
        <v>2</v>
      </c>
      <c r="K46" s="1052">
        <v>3</v>
      </c>
      <c r="L46" s="1053">
        <v>4</v>
      </c>
      <c r="M46" s="1088"/>
      <c r="N46" s="1575"/>
      <c r="O46" s="1777">
        <v>1</v>
      </c>
      <c r="P46" s="1778">
        <v>2</v>
      </c>
      <c r="Q46" s="1778">
        <v>3</v>
      </c>
      <c r="R46" s="1779">
        <v>4</v>
      </c>
      <c r="S46" s="1766"/>
      <c r="T46" s="1762"/>
      <c r="U46" s="1777">
        <v>1</v>
      </c>
      <c r="V46" s="1778">
        <v>2</v>
      </c>
      <c r="W46" s="1778">
        <v>3</v>
      </c>
      <c r="X46" s="1779">
        <v>4</v>
      </c>
    </row>
    <row r="47" spans="1:24" ht="44.1" customHeight="1">
      <c r="A47" s="1575" t="s">
        <v>2905</v>
      </c>
      <c r="B47" s="2132" t="str">
        <f>Uebersetzung!D557</f>
        <v>Le justificatif des exigences de base constructives doit être respecté. Les températures des pièces doivent être calculées selon SIA 382/1, chiffre 4.5. Sans refroidissement, la courbe des valeurs limites selon SIA 180, figure 4 ne peut pas être dépassée plus de 100 h.</v>
      </c>
      <c r="C47" s="2133"/>
      <c r="D47" s="2133"/>
      <c r="E47" s="2133"/>
      <c r="F47" s="2133"/>
      <c r="G47" s="2133"/>
      <c r="H47" s="2134"/>
      <c r="I47" s="1067"/>
      <c r="J47" s="1067"/>
      <c r="K47" s="1067"/>
      <c r="L47" s="1068"/>
      <c r="M47" s="1080"/>
      <c r="N47" s="1575"/>
      <c r="O47" s="1743" t="b">
        <f t="shared" ref="O47:R50" si="2">I47=$O$32</f>
        <v>0</v>
      </c>
      <c r="P47" s="1081" t="b">
        <f t="shared" si="2"/>
        <v>0</v>
      </c>
      <c r="Q47" s="1081" t="b">
        <f t="shared" si="2"/>
        <v>0</v>
      </c>
      <c r="R47" s="1734" t="b">
        <f t="shared" si="2"/>
        <v>0</v>
      </c>
      <c r="S47" s="1037"/>
      <c r="U47" s="1774" t="str">
        <f>IF(O30,1,IF(IF($U$33=1,T42,O42),2,IF(O51,3,"")))</f>
        <v/>
      </c>
      <c r="V47" s="1775" t="str">
        <f>IF(P30,1,IF(IF($U$33=1,U42,P42),2,IF(P51,3,"")))</f>
        <v/>
      </c>
      <c r="W47" s="1775" t="str">
        <f>IF(Q30,1,IF(IF($U$33=1,V42,Q42),2,IF(Q51,3,"")))</f>
        <v/>
      </c>
      <c r="X47" s="1776" t="str">
        <f>IF(R30,1,IF(IF($U$33=1,W42,R42),2,IF(R51,3,"")))</f>
        <v/>
      </c>
    </row>
    <row r="48" spans="1:24" ht="38.1" customHeight="1">
      <c r="A48" s="1575" t="s">
        <v>2906</v>
      </c>
      <c r="B48" s="2151" t="str">
        <f>Uebersetzung!D348</f>
        <v>La zone est refroidie et les besoins en énergie sont calculés. 
Il n'y a aucune température trop élevée en été.</v>
      </c>
      <c r="C48" s="2152"/>
      <c r="D48" s="2152"/>
      <c r="E48" s="2152"/>
      <c r="F48" s="2152"/>
      <c r="G48" s="2152"/>
      <c r="H48" s="2152"/>
      <c r="I48" s="1069"/>
      <c r="J48" s="1069"/>
      <c r="K48" s="1069"/>
      <c r="L48" s="1070"/>
      <c r="M48" s="1080"/>
      <c r="N48" s="1575"/>
      <c r="O48" s="1062" t="b">
        <f t="shared" si="2"/>
        <v>0</v>
      </c>
      <c r="P48" s="1063" t="b">
        <f t="shared" si="2"/>
        <v>0</v>
      </c>
      <c r="Q48" s="1063" t="b">
        <f t="shared" si="2"/>
        <v>0</v>
      </c>
      <c r="R48" s="1045" t="b">
        <f t="shared" si="2"/>
        <v>0</v>
      </c>
      <c r="S48" s="1037"/>
      <c r="U48" s="2113" t="str">
        <f>IF(O30,Uebersetzung!$D322,IF(IF($U$33=1,T42,O42),Uebersetzung!$D535,IF(O51,Uebersetzung!$D346,"")))</f>
        <v/>
      </c>
      <c r="V48" s="2115" t="str">
        <f>IF(P30,Uebersetzung!$D322,IF(IF($U$33=1,U42,P42),Uebersetzung!$D535,IF(P51,Uebersetzung!$D346,"")))</f>
        <v/>
      </c>
      <c r="W48" s="2115" t="str">
        <f>IF(Q30,Uebersetzung!$D322,IF(IF($U$33=1,V42,Q42),Uebersetzung!$D535,IF(Q51,Uebersetzung!$D346,"")))</f>
        <v/>
      </c>
      <c r="X48" s="2137" t="str">
        <f>IF(R30,Uebersetzung!$D322,IF(IF($U$33=1,W42,R42),Uebersetzung!$D535,IF(R51,Uebersetzung!$D346,"")))</f>
        <v/>
      </c>
    </row>
    <row r="49" spans="1:24" ht="12.75" hidden="1" customHeight="1">
      <c r="A49" s="1575" t="s">
        <v>1753</v>
      </c>
      <c r="B49" s="2123"/>
      <c r="C49" s="2124"/>
      <c r="D49" s="2124"/>
      <c r="E49" s="2124"/>
      <c r="F49" s="2124"/>
      <c r="G49" s="2124"/>
      <c r="H49" s="2124"/>
      <c r="I49" s="1069"/>
      <c r="J49" s="1069"/>
      <c r="K49" s="1069"/>
      <c r="L49" s="1070"/>
      <c r="M49" s="1080"/>
      <c r="N49" s="1575"/>
      <c r="O49" s="1062" t="b">
        <f t="shared" si="2"/>
        <v>0</v>
      </c>
      <c r="P49" s="1063" t="b">
        <f t="shared" si="2"/>
        <v>0</v>
      </c>
      <c r="Q49" s="1063" t="b">
        <f t="shared" si="2"/>
        <v>0</v>
      </c>
      <c r="R49" s="1045" t="b">
        <f t="shared" si="2"/>
        <v>0</v>
      </c>
      <c r="S49" s="1037"/>
      <c r="U49" s="2113"/>
      <c r="V49" s="2115"/>
      <c r="W49" s="2115"/>
      <c r="X49" s="2137"/>
    </row>
    <row r="50" spans="1:24" ht="12.75" hidden="1" customHeight="1">
      <c r="A50" s="1575" t="s">
        <v>1754</v>
      </c>
      <c r="B50" s="2125"/>
      <c r="C50" s="2126"/>
      <c r="D50" s="2126"/>
      <c r="E50" s="2126"/>
      <c r="F50" s="2126"/>
      <c r="G50" s="2126"/>
      <c r="H50" s="2126"/>
      <c r="I50" s="1089"/>
      <c r="J50" s="1089"/>
      <c r="K50" s="1089"/>
      <c r="L50" s="1090"/>
      <c r="M50" s="1091"/>
      <c r="N50" s="1575"/>
      <c r="O50" s="1084" t="b">
        <f t="shared" si="2"/>
        <v>0</v>
      </c>
      <c r="P50" s="1085" t="b">
        <f t="shared" si="2"/>
        <v>0</v>
      </c>
      <c r="Q50" s="1085" t="b">
        <f t="shared" si="2"/>
        <v>0</v>
      </c>
      <c r="R50" s="1047" t="b">
        <f t="shared" si="2"/>
        <v>0</v>
      </c>
      <c r="S50" s="1037"/>
      <c r="U50" s="2113"/>
      <c r="V50" s="2115"/>
      <c r="W50" s="2115"/>
      <c r="X50" s="2137"/>
    </row>
    <row r="51" spans="1:24" ht="9" customHeight="1">
      <c r="B51" s="1051"/>
      <c r="C51" s="1051"/>
      <c r="D51" s="1051"/>
      <c r="E51" s="1051"/>
      <c r="F51" s="1051"/>
      <c r="G51" s="1051"/>
      <c r="H51" s="1051"/>
      <c r="I51" s="1073"/>
      <c r="J51" s="1073"/>
      <c r="K51" s="1073"/>
      <c r="L51" s="1073"/>
      <c r="M51" s="1073"/>
      <c r="N51" s="1575"/>
      <c r="O51" s="1084" t="b">
        <f>OR(O47:O50)</f>
        <v>0</v>
      </c>
      <c r="P51" s="1085" t="b">
        <f>OR(P47:P50)</f>
        <v>0</v>
      </c>
      <c r="Q51" s="1085" t="b">
        <f>OR(Q47:Q50)</f>
        <v>0</v>
      </c>
      <c r="R51" s="1047" t="b">
        <f>OR(R47:R50)</f>
        <v>0</v>
      </c>
      <c r="S51" s="1092" t="s">
        <v>1755</v>
      </c>
      <c r="U51" s="2113"/>
      <c r="V51" s="2115"/>
      <c r="W51" s="2115"/>
      <c r="X51" s="2137"/>
    </row>
    <row r="52" spans="1:24" ht="32.1" customHeight="1">
      <c r="A52" s="1575" t="s">
        <v>2907</v>
      </c>
      <c r="B52" s="2147" t="str">
        <f>Uebersetzung!D349</f>
        <v>Selon cette déclaration, les exigences pour la protection thermique estivale sont remplies.</v>
      </c>
      <c r="C52" s="2148"/>
      <c r="D52" s="2148"/>
      <c r="E52" s="2148"/>
      <c r="F52" s="2148"/>
      <c r="G52" s="2148"/>
      <c r="H52" s="2149"/>
      <c r="I52" s="1093" t="str">
        <f>IF(O52,$O32,$O33)</f>
        <v>non</v>
      </c>
      <c r="J52" s="1093" t="str">
        <f>IF(P52,$O32,$O33)</f>
        <v>non</v>
      </c>
      <c r="K52" s="1093" t="str">
        <f>IF(Q52,$O32,$O33)</f>
        <v>non</v>
      </c>
      <c r="L52" s="1094" t="str">
        <f>IF(R52,$O32,$O33)</f>
        <v>non</v>
      </c>
      <c r="M52" s="1095"/>
      <c r="N52" s="1575"/>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14"/>
      <c r="V52" s="2116"/>
      <c r="W52" s="2116"/>
      <c r="X52" s="2138"/>
    </row>
    <row r="53" spans="1:24">
      <c r="N53" s="1575"/>
    </row>
    <row r="54" spans="1:24">
      <c r="N54" s="1575"/>
    </row>
    <row r="55" spans="1:24">
      <c r="N55" s="1575"/>
    </row>
    <row r="56" spans="1:24">
      <c r="B56" s="1097"/>
      <c r="N56" s="1575"/>
    </row>
    <row r="59" spans="1:24">
      <c r="B59" s="1575"/>
      <c r="C59" s="1575"/>
      <c r="D59" s="1575"/>
      <c r="E59" s="1575"/>
      <c r="F59" s="1575"/>
      <c r="G59" s="1575"/>
      <c r="H59" s="1575"/>
      <c r="I59" s="1575"/>
      <c r="J59" s="1575"/>
      <c r="K59" s="1575"/>
      <c r="L59" s="1575"/>
      <c r="M59" s="1575"/>
      <c r="N59" s="1575"/>
      <c r="O59" s="1575"/>
      <c r="P59" s="1575"/>
      <c r="Q59" s="1575"/>
      <c r="R59" s="1575"/>
    </row>
    <row r="60" spans="1:24">
      <c r="B60" s="1575"/>
      <c r="C60" s="1575"/>
      <c r="D60" s="1575"/>
      <c r="E60" s="1575"/>
      <c r="F60" s="1575"/>
      <c r="G60" s="1575"/>
      <c r="H60" s="1575"/>
      <c r="I60" s="1575"/>
      <c r="J60" s="1575"/>
      <c r="K60" s="1575"/>
      <c r="L60" s="1575"/>
      <c r="M60" s="1575"/>
      <c r="N60" s="1575"/>
      <c r="O60" s="1575"/>
      <c r="P60" s="1575"/>
      <c r="Q60" s="1575"/>
      <c r="R60" s="1575"/>
    </row>
    <row r="61" spans="1:24">
      <c r="B61" s="1575"/>
      <c r="C61" s="1575"/>
      <c r="D61" s="1575"/>
      <c r="E61" s="1575"/>
      <c r="F61" s="1575"/>
      <c r="G61" s="1575"/>
      <c r="H61" s="1575"/>
      <c r="I61" s="1575"/>
      <c r="J61" s="1575"/>
      <c r="K61" s="1575"/>
      <c r="L61" s="1575"/>
      <c r="M61" s="1575"/>
      <c r="N61" s="1575"/>
      <c r="O61" s="1575"/>
      <c r="P61" s="1575"/>
      <c r="Q61" s="1575"/>
      <c r="R61" s="1575"/>
    </row>
    <row r="62" spans="1:24">
      <c r="B62" s="1575"/>
      <c r="C62" s="1575"/>
      <c r="D62" s="1575"/>
      <c r="E62" s="1575"/>
      <c r="F62" s="1575"/>
      <c r="G62" s="1575"/>
      <c r="H62" s="1575"/>
      <c r="I62" s="1575"/>
      <c r="J62" s="1575"/>
      <c r="K62" s="1575"/>
      <c r="L62" s="1575"/>
      <c r="M62" s="1575"/>
      <c r="N62" s="1575"/>
      <c r="O62" s="1575"/>
      <c r="P62" s="1575"/>
      <c r="Q62" s="1575"/>
      <c r="R62" s="1575"/>
    </row>
    <row r="63" spans="1:24" ht="13.15" customHeight="1">
      <c r="B63" s="1575"/>
      <c r="C63" s="1575"/>
      <c r="D63" s="1575"/>
      <c r="E63" s="1575"/>
      <c r="F63" s="1575"/>
      <c r="G63" s="1575"/>
      <c r="H63" s="1575"/>
      <c r="I63" s="1575"/>
      <c r="J63" s="1575"/>
      <c r="K63" s="1575"/>
      <c r="L63" s="1575"/>
      <c r="M63" s="1575"/>
      <c r="N63" s="1575"/>
      <c r="O63" s="1575"/>
      <c r="P63" s="1575"/>
      <c r="Q63" s="1575"/>
      <c r="R63" s="1575"/>
    </row>
    <row r="64" spans="1:24" ht="13.15" customHeight="1">
      <c r="B64" s="1575"/>
      <c r="C64" s="1575"/>
      <c r="D64" s="1575"/>
      <c r="E64" s="1575"/>
      <c r="F64" s="1575"/>
      <c r="G64" s="1575"/>
      <c r="H64" s="1575"/>
      <c r="I64" s="1575"/>
      <c r="J64" s="1575"/>
      <c r="K64" s="1575"/>
      <c r="L64" s="1575"/>
      <c r="M64" s="1575"/>
      <c r="N64" s="1575"/>
      <c r="O64" s="1575"/>
      <c r="P64" s="1575"/>
      <c r="Q64" s="1575"/>
      <c r="R64" s="1575"/>
    </row>
    <row r="65" spans="2:18">
      <c r="B65" s="1575"/>
      <c r="C65" s="1575"/>
      <c r="D65" s="1575"/>
      <c r="E65" s="1575"/>
      <c r="F65" s="1575"/>
      <c r="G65" s="1575"/>
      <c r="H65" s="1575"/>
      <c r="I65" s="1575"/>
      <c r="J65" s="1575"/>
      <c r="K65" s="1575"/>
      <c r="L65" s="1575"/>
      <c r="M65" s="1575"/>
      <c r="N65" s="1575"/>
      <c r="O65" s="1575"/>
      <c r="P65" s="1575"/>
      <c r="Q65" s="1575"/>
      <c r="R65" s="1575"/>
    </row>
    <row r="66" spans="2:18">
      <c r="B66" s="1575"/>
      <c r="C66" s="1575"/>
      <c r="D66" s="1575"/>
      <c r="E66" s="1575"/>
      <c r="F66" s="1575"/>
      <c r="G66" s="1575"/>
      <c r="H66" s="1575"/>
      <c r="I66" s="1575"/>
      <c r="J66" s="1575"/>
      <c r="K66" s="1575"/>
      <c r="L66" s="1575"/>
      <c r="M66" s="1575"/>
      <c r="N66" s="1575"/>
      <c r="O66" s="1575"/>
      <c r="P66" s="1575"/>
      <c r="Q66" s="1575"/>
      <c r="R66" s="1575"/>
    </row>
    <row r="67" spans="2:18">
      <c r="B67" s="1575"/>
      <c r="C67" s="1575"/>
      <c r="D67" s="1575"/>
      <c r="E67" s="1575"/>
      <c r="F67" s="1575"/>
      <c r="G67" s="1575"/>
      <c r="H67" s="1575"/>
      <c r="I67" s="1575"/>
      <c r="J67" s="1575"/>
      <c r="K67" s="1575"/>
      <c r="L67" s="1575"/>
      <c r="M67" s="1575"/>
      <c r="N67" s="1575"/>
      <c r="O67" s="1575"/>
      <c r="P67" s="1575"/>
      <c r="Q67" s="1575"/>
      <c r="R67" s="1575"/>
    </row>
    <row r="68" spans="2:18">
      <c r="B68" s="1575"/>
      <c r="C68" s="1575"/>
      <c r="D68" s="1575"/>
      <c r="E68" s="1575"/>
      <c r="F68" s="1575"/>
      <c r="G68" s="1575"/>
      <c r="H68" s="1575"/>
      <c r="I68" s="1575"/>
      <c r="J68" s="1575"/>
      <c r="K68" s="1575"/>
      <c r="L68" s="1575"/>
      <c r="M68" s="1575"/>
      <c r="N68" s="1575"/>
      <c r="O68" s="1575"/>
      <c r="P68" s="1575"/>
      <c r="Q68" s="1575"/>
      <c r="R68" s="1575"/>
    </row>
    <row r="69" spans="2:18">
      <c r="B69" s="1575"/>
      <c r="C69" s="1575"/>
      <c r="D69" s="1575"/>
      <c r="E69" s="1575"/>
      <c r="F69" s="1575"/>
      <c r="G69" s="1575"/>
      <c r="H69" s="1575"/>
      <c r="I69" s="1575"/>
      <c r="J69" s="1575"/>
      <c r="K69" s="1575"/>
      <c r="L69" s="1575"/>
      <c r="M69" s="1575"/>
      <c r="N69" s="1575"/>
      <c r="O69" s="1575"/>
      <c r="P69" s="1575"/>
      <c r="Q69" s="1575"/>
      <c r="R69" s="1575"/>
    </row>
    <row r="70" spans="2:18">
      <c r="B70" s="1575"/>
      <c r="C70" s="1575"/>
      <c r="D70" s="1575"/>
      <c r="E70" s="1575"/>
      <c r="F70" s="1575"/>
      <c r="G70" s="1575"/>
      <c r="H70" s="1575"/>
      <c r="I70" s="1575"/>
      <c r="J70" s="1575"/>
      <c r="K70" s="1575"/>
      <c r="L70" s="1575"/>
      <c r="M70" s="1575"/>
      <c r="N70" s="1575"/>
      <c r="O70" s="1575"/>
      <c r="P70" s="1575"/>
      <c r="Q70" s="1575"/>
      <c r="R70" s="1575"/>
    </row>
    <row r="71" spans="2:18">
      <c r="B71" s="1575"/>
      <c r="C71" s="1575"/>
      <c r="D71" s="1575"/>
      <c r="E71" s="1575"/>
      <c r="F71" s="1575"/>
      <c r="G71" s="1575"/>
      <c r="H71" s="1575"/>
      <c r="I71" s="1575"/>
      <c r="J71" s="1575"/>
      <c r="K71" s="1575"/>
      <c r="L71" s="1575"/>
      <c r="M71" s="1575"/>
      <c r="N71" s="1575"/>
      <c r="O71" s="1575"/>
      <c r="P71" s="1575"/>
      <c r="Q71" s="1575"/>
      <c r="R71" s="1575"/>
    </row>
    <row r="72" spans="2:18">
      <c r="B72" s="1575"/>
      <c r="C72" s="1575"/>
      <c r="D72" s="1575"/>
      <c r="E72" s="1575"/>
      <c r="F72" s="1575"/>
      <c r="G72" s="1575"/>
      <c r="H72" s="1575"/>
      <c r="I72" s="1575"/>
      <c r="J72" s="1575"/>
      <c r="K72" s="1575"/>
      <c r="L72" s="1575"/>
      <c r="M72" s="1575"/>
      <c r="N72" s="1575"/>
      <c r="O72" s="1575"/>
      <c r="P72" s="1575"/>
      <c r="Q72" s="1575"/>
      <c r="R72" s="1575"/>
    </row>
    <row r="73" spans="2:18">
      <c r="B73" s="1575"/>
      <c r="C73" s="1575"/>
      <c r="D73" s="1575"/>
      <c r="E73" s="1575"/>
      <c r="F73" s="1575"/>
      <c r="G73" s="1575"/>
      <c r="H73" s="1575"/>
      <c r="I73" s="1575"/>
      <c r="J73" s="1575"/>
      <c r="K73" s="1575"/>
      <c r="L73" s="1575"/>
      <c r="M73" s="1575"/>
      <c r="N73" s="1575"/>
      <c r="O73" s="1575"/>
      <c r="P73" s="1575"/>
      <c r="Q73" s="1575"/>
      <c r="R73" s="1575"/>
    </row>
    <row r="74" spans="2:18" ht="12.75" customHeight="1">
      <c r="B74" s="1575"/>
      <c r="C74" s="1575"/>
      <c r="D74" s="1575"/>
      <c r="E74" s="1575"/>
      <c r="F74" s="1575"/>
      <c r="G74" s="1575"/>
      <c r="H74" s="1575"/>
      <c r="I74" s="1575"/>
      <c r="J74" s="1575"/>
      <c r="K74" s="1575"/>
      <c r="L74" s="1575"/>
      <c r="M74" s="1575"/>
      <c r="N74" s="1575"/>
      <c r="O74" s="1575"/>
      <c r="P74" s="1575"/>
      <c r="Q74" s="1575"/>
      <c r="R74" s="1575"/>
    </row>
    <row r="75" spans="2:18">
      <c r="B75" s="1575"/>
      <c r="C75" s="1575"/>
      <c r="D75" s="1575"/>
      <c r="E75" s="1575"/>
      <c r="F75" s="1575"/>
      <c r="G75" s="1575"/>
      <c r="H75" s="1575"/>
      <c r="I75" s="1575"/>
      <c r="J75" s="1575"/>
      <c r="K75" s="1575"/>
      <c r="L75" s="1575"/>
      <c r="M75" s="1575"/>
      <c r="N75" s="1575"/>
      <c r="O75" s="1575"/>
      <c r="P75" s="1575"/>
      <c r="Q75" s="1575"/>
      <c r="R75" s="1575"/>
    </row>
    <row r="76" spans="2:18">
      <c r="B76" s="1575"/>
      <c r="C76" s="1575"/>
      <c r="D76" s="1575"/>
      <c r="E76" s="1575"/>
      <c r="F76" s="1575"/>
      <c r="G76" s="1575"/>
      <c r="H76" s="1575"/>
      <c r="I76" s="1575"/>
      <c r="J76" s="1575"/>
      <c r="K76" s="1575"/>
      <c r="L76" s="1575"/>
      <c r="M76" s="1575"/>
      <c r="N76" s="1575"/>
      <c r="O76" s="1575"/>
      <c r="P76" s="1575"/>
      <c r="Q76" s="1575"/>
      <c r="R76" s="1575"/>
    </row>
    <row r="77" spans="2:18">
      <c r="B77" s="1575"/>
      <c r="C77" s="1575"/>
      <c r="D77" s="1575"/>
      <c r="E77" s="1575"/>
      <c r="F77" s="1575"/>
      <c r="G77" s="1575"/>
      <c r="H77" s="1575"/>
      <c r="I77" s="1575"/>
      <c r="J77" s="1575"/>
      <c r="K77" s="1575"/>
      <c r="L77" s="1575"/>
      <c r="M77" s="1575"/>
      <c r="N77" s="1575"/>
      <c r="O77" s="1575"/>
      <c r="P77" s="1575"/>
      <c r="Q77" s="1575"/>
      <c r="R77" s="1575"/>
    </row>
    <row r="78" spans="2:18">
      <c r="B78" s="1575"/>
      <c r="C78" s="1575"/>
      <c r="D78" s="1575"/>
      <c r="E78" s="1575"/>
      <c r="F78" s="1575"/>
      <c r="G78" s="1575"/>
      <c r="H78" s="1575"/>
      <c r="I78" s="1575"/>
      <c r="J78" s="1575"/>
      <c r="K78" s="1575"/>
      <c r="L78" s="1575"/>
      <c r="M78" s="1575"/>
      <c r="N78" s="1575"/>
      <c r="O78" s="1575"/>
      <c r="P78" s="1575"/>
      <c r="Q78" s="1575"/>
      <c r="R78" s="1575"/>
    </row>
    <row r="79" spans="2:18">
      <c r="B79" s="1575"/>
      <c r="C79" s="1575"/>
      <c r="D79" s="1575"/>
      <c r="E79" s="1575"/>
      <c r="F79" s="1575"/>
      <c r="G79" s="1575"/>
      <c r="H79" s="1575"/>
      <c r="I79" s="1575"/>
      <c r="J79" s="1575"/>
      <c r="K79" s="1575"/>
      <c r="L79" s="1575"/>
      <c r="M79" s="1575"/>
      <c r="N79" s="1575"/>
      <c r="O79" s="1575"/>
      <c r="P79" s="1575"/>
      <c r="Q79" s="1575"/>
      <c r="R79" s="1575"/>
    </row>
    <row r="80" spans="2:18">
      <c r="B80" s="1575"/>
      <c r="C80" s="1575"/>
      <c r="D80" s="1575"/>
      <c r="E80" s="1575"/>
      <c r="F80" s="1575"/>
      <c r="G80" s="1575"/>
      <c r="H80" s="1575"/>
      <c r="I80" s="1575"/>
      <c r="J80" s="1575"/>
      <c r="K80" s="1575"/>
      <c r="L80" s="1575"/>
      <c r="M80" s="1575"/>
      <c r="N80" s="1575"/>
      <c r="O80" s="1575"/>
      <c r="P80" s="1575"/>
      <c r="Q80" s="1575"/>
      <c r="R80" s="1575"/>
    </row>
    <row r="81" spans="2:18">
      <c r="B81" s="1575"/>
      <c r="C81" s="1575"/>
      <c r="D81" s="1575"/>
      <c r="E81" s="1575"/>
      <c r="F81" s="1575"/>
      <c r="G81" s="1575"/>
      <c r="H81" s="1575"/>
      <c r="I81" s="1575"/>
      <c r="J81" s="1575"/>
      <c r="K81" s="1575"/>
      <c r="L81" s="1575"/>
      <c r="M81" s="1575"/>
      <c r="N81" s="1575"/>
      <c r="O81" s="1575"/>
      <c r="P81" s="1575"/>
      <c r="Q81" s="1575"/>
      <c r="R81" s="1575"/>
    </row>
    <row r="82" spans="2:18">
      <c r="B82" s="1575"/>
      <c r="C82" s="1575"/>
      <c r="D82" s="1575"/>
      <c r="E82" s="1575"/>
      <c r="F82" s="1575"/>
      <c r="G82" s="1575"/>
      <c r="H82" s="1575"/>
      <c r="I82" s="1575"/>
      <c r="J82" s="1575"/>
      <c r="K82" s="1575"/>
      <c r="L82" s="1575"/>
      <c r="M82" s="1575"/>
      <c r="N82" s="1575"/>
      <c r="O82" s="1575"/>
      <c r="P82" s="1575"/>
      <c r="Q82" s="1575"/>
      <c r="R82" s="1575"/>
    </row>
    <row r="83" spans="2:18">
      <c r="B83" s="1575"/>
      <c r="C83" s="1575"/>
      <c r="D83" s="1575"/>
      <c r="E83" s="1575"/>
      <c r="F83" s="1575"/>
      <c r="G83" s="1575"/>
      <c r="H83" s="1575"/>
      <c r="I83" s="1575"/>
      <c r="J83" s="1575"/>
      <c r="K83" s="1575"/>
      <c r="L83" s="1575"/>
      <c r="M83" s="1575"/>
      <c r="N83" s="1575"/>
      <c r="O83" s="1575"/>
      <c r="P83" s="1575"/>
      <c r="Q83" s="1575"/>
      <c r="R83" s="1575"/>
    </row>
    <row r="84" spans="2:18">
      <c r="B84" s="1575"/>
      <c r="C84" s="1575"/>
      <c r="D84" s="1575"/>
      <c r="E84" s="1575"/>
      <c r="F84" s="1575"/>
      <c r="G84" s="1575"/>
      <c r="H84" s="1575"/>
      <c r="I84" s="1575"/>
      <c r="J84" s="1575"/>
      <c r="K84" s="1575"/>
      <c r="L84" s="1575"/>
      <c r="M84" s="1575"/>
      <c r="N84" s="1575"/>
      <c r="O84" s="1575"/>
      <c r="P84" s="1575"/>
      <c r="Q84" s="1575"/>
      <c r="R84" s="1575"/>
    </row>
    <row r="85" spans="2:18">
      <c r="B85" s="1575"/>
      <c r="C85" s="1575"/>
      <c r="D85" s="1575"/>
      <c r="E85" s="1575"/>
      <c r="F85" s="1575"/>
      <c r="G85" s="1575"/>
      <c r="H85" s="1575"/>
      <c r="I85" s="1575"/>
      <c r="J85" s="1575"/>
      <c r="K85" s="1575"/>
      <c r="L85" s="1575"/>
      <c r="M85" s="1575"/>
      <c r="N85" s="1575"/>
      <c r="O85" s="1575"/>
      <c r="P85" s="1575"/>
      <c r="Q85" s="1575"/>
      <c r="R85" s="1575"/>
    </row>
    <row r="86" spans="2:18">
      <c r="B86" s="1575"/>
      <c r="C86" s="1575"/>
      <c r="D86" s="1575"/>
      <c r="E86" s="1575"/>
      <c r="F86" s="1575"/>
      <c r="G86" s="1575"/>
      <c r="H86" s="1575"/>
      <c r="I86" s="1575"/>
      <c r="J86" s="1575"/>
      <c r="K86" s="1575"/>
      <c r="L86" s="1575"/>
      <c r="M86" s="1575"/>
      <c r="N86" s="1575"/>
      <c r="O86" s="1575"/>
      <c r="P86" s="1575"/>
      <c r="Q86" s="1575"/>
      <c r="R86" s="1575"/>
    </row>
    <row r="87" spans="2:18">
      <c r="B87" s="1575"/>
      <c r="C87" s="1575"/>
      <c r="D87" s="1575"/>
      <c r="E87" s="1575"/>
      <c r="F87" s="1575"/>
      <c r="G87" s="1575"/>
      <c r="H87" s="1575"/>
      <c r="I87" s="1575"/>
      <c r="J87" s="1575"/>
      <c r="K87" s="1575"/>
      <c r="L87" s="1575"/>
      <c r="M87" s="1575"/>
      <c r="N87" s="1575"/>
      <c r="O87" s="1575"/>
      <c r="P87" s="1575"/>
      <c r="Q87" s="1575"/>
      <c r="R87" s="1575"/>
    </row>
    <row r="88" spans="2:18">
      <c r="B88" s="1575"/>
      <c r="C88" s="1575"/>
      <c r="D88" s="1575"/>
      <c r="E88" s="1575"/>
      <c r="F88" s="1575"/>
      <c r="G88" s="1575"/>
      <c r="H88" s="1575"/>
      <c r="I88" s="1575"/>
      <c r="J88" s="1575"/>
      <c r="K88" s="1575"/>
      <c r="L88" s="1575"/>
      <c r="M88" s="1575"/>
      <c r="N88" s="1575"/>
      <c r="O88" s="1575"/>
      <c r="P88" s="1575"/>
      <c r="Q88" s="1575"/>
      <c r="R88" s="1575"/>
    </row>
    <row r="89" spans="2:18">
      <c r="B89" s="1575"/>
      <c r="C89" s="1575"/>
      <c r="D89" s="1575"/>
      <c r="E89" s="1575"/>
      <c r="F89" s="1575"/>
      <c r="G89" s="1575"/>
      <c r="H89" s="1575"/>
      <c r="I89" s="1575"/>
      <c r="J89" s="1575"/>
      <c r="K89" s="1575"/>
      <c r="L89" s="1575"/>
      <c r="M89" s="1575"/>
      <c r="N89" s="1575"/>
      <c r="O89" s="1575"/>
      <c r="P89" s="1575"/>
      <c r="Q89" s="1575"/>
      <c r="R89" s="1575"/>
    </row>
    <row r="90" spans="2:18">
      <c r="B90" s="1575"/>
      <c r="C90" s="1575"/>
      <c r="D90" s="1575"/>
      <c r="E90" s="1575"/>
      <c r="F90" s="1575"/>
      <c r="G90" s="1575"/>
      <c r="H90" s="1575"/>
      <c r="I90" s="1575"/>
      <c r="J90" s="1575"/>
      <c r="K90" s="1575"/>
      <c r="L90" s="1575"/>
      <c r="M90" s="1575"/>
      <c r="N90" s="1575"/>
      <c r="O90" s="1575"/>
      <c r="P90" s="1575"/>
      <c r="Q90" s="1575"/>
      <c r="R90" s="1575"/>
    </row>
    <row r="91" spans="2:18">
      <c r="B91" s="1575"/>
      <c r="C91" s="1575"/>
      <c r="D91" s="1575"/>
      <c r="E91" s="1575"/>
      <c r="F91" s="1575"/>
      <c r="G91" s="1575"/>
      <c r="H91" s="1575"/>
      <c r="I91" s="1575"/>
      <c r="J91" s="1575"/>
      <c r="K91" s="1575"/>
      <c r="L91" s="1575"/>
      <c r="M91" s="1575"/>
      <c r="N91" s="1575"/>
      <c r="O91" s="1575"/>
      <c r="P91" s="1575"/>
      <c r="Q91" s="1575"/>
      <c r="R91" s="1575"/>
    </row>
    <row r="92" spans="2:18">
      <c r="B92" s="1575"/>
      <c r="C92" s="1575"/>
      <c r="D92" s="1575"/>
      <c r="E92" s="1575"/>
      <c r="F92" s="1575"/>
      <c r="G92" s="1575"/>
      <c r="H92" s="1575"/>
      <c r="I92" s="1575"/>
      <c r="J92" s="1575"/>
      <c r="K92" s="1575"/>
      <c r="L92" s="1575"/>
      <c r="M92" s="1575"/>
      <c r="N92" s="1575"/>
      <c r="O92" s="1575"/>
      <c r="P92" s="1575"/>
      <c r="Q92" s="1575"/>
      <c r="R92" s="1575"/>
    </row>
    <row r="93" spans="2:18">
      <c r="B93" s="1575"/>
      <c r="C93" s="1575"/>
      <c r="D93" s="1575"/>
      <c r="E93" s="1575"/>
      <c r="F93" s="1575"/>
      <c r="G93" s="1575"/>
      <c r="H93" s="1575"/>
      <c r="I93" s="1575"/>
      <c r="J93" s="1575"/>
      <c r="K93" s="1575"/>
      <c r="L93" s="1575"/>
      <c r="M93" s="1575"/>
      <c r="N93" s="1575"/>
      <c r="O93" s="1575"/>
      <c r="P93" s="1575"/>
      <c r="Q93" s="1575"/>
      <c r="R93" s="1575"/>
    </row>
    <row r="94" spans="2:18">
      <c r="B94" s="1575"/>
      <c r="C94" s="1575"/>
      <c r="D94" s="1575"/>
      <c r="E94" s="1575"/>
      <c r="F94" s="1575"/>
      <c r="G94" s="1575"/>
      <c r="H94" s="1575"/>
      <c r="I94" s="1575"/>
      <c r="J94" s="1575"/>
      <c r="K94" s="1575"/>
      <c r="L94" s="1575"/>
      <c r="M94" s="1575"/>
      <c r="N94" s="1575"/>
      <c r="O94" s="1575"/>
      <c r="P94" s="1575"/>
      <c r="Q94" s="1575"/>
      <c r="R94" s="1575"/>
    </row>
    <row r="95" spans="2:18">
      <c r="B95" s="1575"/>
      <c r="C95" s="1575"/>
      <c r="D95" s="1575"/>
      <c r="E95" s="1575"/>
      <c r="F95" s="1575"/>
      <c r="G95" s="1575"/>
      <c r="H95" s="1575"/>
      <c r="I95" s="1575"/>
      <c r="J95" s="1575"/>
      <c r="K95" s="1575"/>
      <c r="L95" s="1575"/>
      <c r="M95" s="1575"/>
      <c r="N95" s="1575"/>
      <c r="O95" s="1575"/>
      <c r="P95" s="1575"/>
      <c r="Q95" s="1575"/>
      <c r="R95" s="1575"/>
    </row>
    <row r="96" spans="2:18">
      <c r="B96" s="1575"/>
      <c r="C96" s="1575"/>
      <c r="D96" s="1575"/>
      <c r="E96" s="1575"/>
      <c r="F96" s="1575"/>
      <c r="G96" s="1575"/>
      <c r="H96" s="1575"/>
      <c r="I96" s="1575"/>
      <c r="J96" s="1575"/>
      <c r="K96" s="1575"/>
      <c r="L96" s="1575"/>
      <c r="M96" s="1575"/>
      <c r="N96" s="1575"/>
      <c r="O96" s="1575"/>
      <c r="P96" s="1575"/>
      <c r="Q96" s="1575"/>
      <c r="R96" s="1575"/>
    </row>
    <row r="97" spans="2:18">
      <c r="B97" s="1575"/>
      <c r="C97" s="1575"/>
      <c r="D97" s="1575"/>
      <c r="E97" s="1575"/>
      <c r="F97" s="1575"/>
      <c r="G97" s="1575"/>
      <c r="H97" s="1575"/>
      <c r="I97" s="1575"/>
      <c r="J97" s="1575"/>
      <c r="K97" s="1575"/>
      <c r="L97" s="1575"/>
      <c r="M97" s="1575"/>
      <c r="N97" s="1575"/>
      <c r="O97" s="1575"/>
      <c r="P97" s="1575"/>
      <c r="Q97" s="1575"/>
      <c r="R97" s="1575"/>
    </row>
    <row r="98" spans="2:18">
      <c r="B98" s="1575"/>
      <c r="C98" s="1575"/>
      <c r="D98" s="1575"/>
      <c r="E98" s="1575"/>
      <c r="F98" s="1575"/>
      <c r="G98" s="1575"/>
      <c r="H98" s="1575"/>
      <c r="I98" s="1575"/>
      <c r="J98" s="1575"/>
      <c r="K98" s="1575"/>
      <c r="L98" s="1575"/>
      <c r="M98" s="1575"/>
      <c r="N98" s="1575"/>
      <c r="O98" s="1575"/>
      <c r="P98" s="1575"/>
      <c r="Q98" s="1575"/>
      <c r="R98" s="1575"/>
    </row>
    <row r="99" spans="2:18">
      <c r="B99" s="1575"/>
      <c r="C99" s="1575"/>
      <c r="D99" s="1575"/>
      <c r="E99" s="1575"/>
      <c r="F99" s="1575"/>
      <c r="G99" s="1575"/>
      <c r="H99" s="1575"/>
      <c r="I99" s="1575"/>
      <c r="J99" s="1575"/>
      <c r="K99" s="1575"/>
      <c r="L99" s="1575"/>
      <c r="M99" s="1575"/>
      <c r="N99" s="1575"/>
      <c r="O99" s="1575"/>
      <c r="P99" s="1575"/>
      <c r="Q99" s="1575"/>
      <c r="R99" s="1575"/>
    </row>
    <row r="100" spans="2:18">
      <c r="B100" s="1575"/>
      <c r="C100" s="1575"/>
      <c r="D100" s="1575"/>
      <c r="E100" s="1575"/>
      <c r="F100" s="1575"/>
      <c r="G100" s="1575"/>
      <c r="H100" s="1575"/>
      <c r="I100" s="1575"/>
      <c r="J100" s="1575"/>
      <c r="K100" s="1575"/>
      <c r="L100" s="1575"/>
      <c r="M100" s="1575"/>
      <c r="N100" s="1575"/>
      <c r="O100" s="1575"/>
      <c r="P100" s="1575"/>
      <c r="Q100" s="1575"/>
      <c r="R100" s="1575"/>
    </row>
    <row r="101" spans="2:18">
      <c r="B101" s="1575"/>
      <c r="C101" s="1575"/>
      <c r="D101" s="1575"/>
      <c r="E101" s="1575"/>
      <c r="F101" s="1575"/>
      <c r="G101" s="1575"/>
      <c r="H101" s="1575"/>
      <c r="I101" s="1575"/>
      <c r="J101" s="1575"/>
      <c r="K101" s="1575"/>
      <c r="L101" s="1575"/>
      <c r="M101" s="1575"/>
      <c r="N101" s="1575"/>
      <c r="O101" s="1575"/>
      <c r="P101" s="1575"/>
      <c r="Q101" s="1575"/>
      <c r="R101" s="1575"/>
    </row>
  </sheetData>
  <sheetProtection algorithmName="SHA-512" hashValue="363M2vFKEgTBjRjA/BJopBifPjTwC8H0/+CAPga8YMicKiZR21q9Pna2B1/bcjMOp1yspV6Mhol2QZ/a8VR7Ow==" saltValue="fgz3DbxRdxeCZbFsSDSHDw==" spinCount="100000" sheet="1" objects="1" scenarios="1"/>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64"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80" hidden="1" customWidth="1"/>
    <col min="14" max="15" width="11.42578125" style="121" hidden="1" customWidth="1"/>
    <col min="16" max="29" width="11.42578125" style="96" hidden="1" customWidth="1"/>
    <col min="30" max="35" width="11.42578125" style="1392" hidden="1" customWidth="1"/>
    <col min="36" max="39" width="11.42578125" style="96" hidden="1" customWidth="1"/>
    <col min="40" max="40" width="11.42578125" style="1392" hidden="1" customWidth="1"/>
    <col min="41" max="41" width="11.42578125" style="96" hidden="1" customWidth="1"/>
    <col min="42" max="42" width="11.42578125" style="96" customWidth="1"/>
    <col min="43" max="16384" width="11.42578125" style="96"/>
  </cols>
  <sheetData>
    <row r="1" spans="1:41" ht="9.9499999999999993" customHeight="1">
      <c r="B1" s="1826" t="str">
        <f>Entrées!B1</f>
        <v>2021.1</v>
      </c>
      <c r="L1" s="787" t="str">
        <f>Entrées!K1</f>
        <v>Formulaire MINERGIE 2021.1, à utiliser jusqu'au 31 décembre 2021</v>
      </c>
      <c r="O1" s="790"/>
    </row>
    <row r="2" spans="1:41" ht="17.100000000000001" customHeight="1">
      <c r="B2" s="36"/>
      <c r="C2" s="829"/>
      <c r="D2" s="829"/>
      <c r="E2" s="115"/>
      <c r="F2" s="829"/>
      <c r="G2" s="115"/>
      <c r="H2" s="1996" t="str">
        <f>Entrées!G2</f>
        <v>Justificatif énergétique</v>
      </c>
      <c r="I2" s="1997"/>
      <c r="J2" s="1997"/>
      <c r="K2" s="1997"/>
      <c r="L2" s="1998"/>
      <c r="N2" s="788"/>
      <c r="O2" s="791" t="str">
        <f>Uebersetzung!D25</f>
        <v>oui</v>
      </c>
      <c r="P2" s="789" t="s">
        <v>783</v>
      </c>
      <c r="Q2" s="724" t="b">
        <f>IF(Entrées!E14=Standardwerte!AJ55,TRUE,FALSE)</f>
        <v>0</v>
      </c>
      <c r="S2" s="725" t="s">
        <v>786</v>
      </c>
      <c r="T2" s="744">
        <f>IF(AND(Neubau1=2,G43&gt;0),_EBF1,0)+IF(AND(Neubau2=2,H43&gt;0),_EBF2,0)+IF(AND(Neubau3=2,I43&gt;0),_EBF3,0)+IF(AND(Neubau4=2,J43&gt;0),_EBF4,0)</f>
        <v>0</v>
      </c>
      <c r="U2" s="5" t="s">
        <v>321</v>
      </c>
      <c r="V2" s="725" t="s">
        <v>788</v>
      </c>
      <c r="W2" s="760">
        <f>IF(MUKEN,L34,Entrées!K89/3.6)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201" t="s">
        <v>2224</v>
      </c>
      <c r="AL2" s="2202"/>
      <c r="AN2" s="1134" t="s">
        <v>2548</v>
      </c>
    </row>
    <row r="3" spans="1:41" ht="17.100000000000001" customHeight="1">
      <c r="B3" s="1109">
        <f>IF(MUKEN,1,0)</f>
        <v>0</v>
      </c>
      <c r="C3" s="143">
        <f>IF(MUKEN,0,1)</f>
        <v>1</v>
      </c>
      <c r="D3" s="42"/>
      <c r="E3" s="53"/>
      <c r="F3" s="2167" t="s">
        <v>756</v>
      </c>
      <c r="G3" s="2000"/>
      <c r="H3" s="2001" t="str">
        <f>Entrées!G3</f>
        <v>Besoin d'énergie</v>
      </c>
      <c r="I3" s="2002"/>
      <c r="J3" s="2002"/>
      <c r="K3" s="2002"/>
      <c r="L3" s="2003"/>
      <c r="N3" s="713" t="s">
        <v>776</v>
      </c>
      <c r="O3" s="792" t="str">
        <f>Uebersetzung!D26</f>
        <v>non</v>
      </c>
      <c r="AK3" s="979" t="s">
        <v>2223</v>
      </c>
      <c r="AL3" s="1384" t="s">
        <v>2227</v>
      </c>
      <c r="AN3" s="979" t="s">
        <v>2540</v>
      </c>
    </row>
    <row r="4" spans="1:41" ht="17.100000000000001" customHeight="1">
      <c r="B4" s="94"/>
      <c r="C4" s="60"/>
      <c r="D4" s="60"/>
      <c r="E4" s="116"/>
      <c r="F4" s="60"/>
      <c r="G4" s="116"/>
      <c r="H4" s="2004">
        <f>Entrées!G4</f>
        <v>0</v>
      </c>
      <c r="I4" s="2005"/>
      <c r="J4" s="2005"/>
      <c r="K4" s="2005"/>
      <c r="L4" s="2006"/>
      <c r="N4" s="733"/>
      <c r="O4" s="572" t="s">
        <v>725</v>
      </c>
      <c r="P4" s="698" t="s">
        <v>726</v>
      </c>
      <c r="Q4" s="572" t="s">
        <v>725</v>
      </c>
      <c r="R4" s="738"/>
      <c r="S4" s="570"/>
      <c r="T4" s="571"/>
      <c r="U4" s="738"/>
      <c r="V4" s="2279" t="s">
        <v>316</v>
      </c>
      <c r="W4" s="2280"/>
      <c r="X4" s="2244" t="s">
        <v>727</v>
      </c>
      <c r="Y4" s="2245"/>
      <c r="Z4" s="2245"/>
      <c r="AA4" s="2246"/>
      <c r="AB4" s="698" t="s">
        <v>728</v>
      </c>
      <c r="AC4" s="569"/>
      <c r="AD4" s="1858"/>
      <c r="AE4" s="1857" t="s">
        <v>38</v>
      </c>
      <c r="AF4" s="2279" t="s">
        <v>38</v>
      </c>
      <c r="AG4" s="2280"/>
      <c r="AK4" s="1397"/>
      <c r="AL4" s="1398"/>
      <c r="AN4" s="1410"/>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51"/>
      <c r="AE5" s="573" t="s">
        <v>3010</v>
      </c>
      <c r="AF5" s="2281" t="s">
        <v>3659</v>
      </c>
      <c r="AG5" s="2282"/>
      <c r="AK5" s="1397"/>
      <c r="AL5" s="1398"/>
      <c r="AM5" s="1404" t="s">
        <v>2544</v>
      </c>
      <c r="AN5" s="1445">
        <f>L34</f>
        <v>0</v>
      </c>
      <c r="AO5" s="5" t="s">
        <v>524</v>
      </c>
    </row>
    <row r="6" spans="1:41" s="566" customFormat="1" ht="20.100000000000001" customHeight="1">
      <c r="A6" s="1573"/>
      <c r="B6" s="601" t="str">
        <f>Uebersetzung!D256</f>
        <v>Production de chaleur:</v>
      </c>
      <c r="C6" s="680"/>
      <c r="D6" s="680"/>
      <c r="E6" s="666"/>
      <c r="F6" s="666"/>
      <c r="G6" s="667"/>
      <c r="H6" s="2237" t="str">
        <f>Uebersetzung!D257</f>
        <v>Rendement / COPa</v>
      </c>
      <c r="I6" s="2238"/>
      <c r="J6" s="2234" t="str">
        <f>Uebersetzung!D258</f>
        <v>Taux de couverture [%]</v>
      </c>
      <c r="K6" s="2235"/>
      <c r="L6" s="2236"/>
      <c r="M6" s="1578"/>
      <c r="N6" s="699" t="s">
        <v>729</v>
      </c>
      <c r="O6" s="573" t="s">
        <v>730</v>
      </c>
      <c r="P6" s="736" t="s">
        <v>1208</v>
      </c>
      <c r="Q6" s="573" t="s">
        <v>731</v>
      </c>
      <c r="R6" s="727" t="s">
        <v>236</v>
      </c>
      <c r="S6" s="2247" t="s">
        <v>732</v>
      </c>
      <c r="T6" s="2248"/>
      <c r="U6" s="736" t="s">
        <v>733</v>
      </c>
      <c r="V6" s="573" t="s">
        <v>734</v>
      </c>
      <c r="W6" s="736" t="s">
        <v>735</v>
      </c>
      <c r="X6" s="2247" t="s">
        <v>736</v>
      </c>
      <c r="Y6" s="2248"/>
      <c r="Z6" s="573" t="s">
        <v>737</v>
      </c>
      <c r="AA6" s="700" t="s">
        <v>737</v>
      </c>
      <c r="AB6" s="736" t="s">
        <v>738</v>
      </c>
      <c r="AC6" s="573" t="s">
        <v>99</v>
      </c>
      <c r="AD6" s="1847" t="s">
        <v>2245</v>
      </c>
      <c r="AE6" s="573" t="s">
        <v>3660</v>
      </c>
      <c r="AF6" s="573" t="s">
        <v>3660</v>
      </c>
      <c r="AG6" s="573" t="s">
        <v>3660</v>
      </c>
      <c r="AH6" s="1392"/>
      <c r="AK6" s="1399"/>
      <c r="AL6" s="1400"/>
      <c r="AM6" s="1405" t="s">
        <v>2545</v>
      </c>
      <c r="AN6" s="587">
        <f>qw</f>
        <v>0</v>
      </c>
      <c r="AO6" s="5" t="s">
        <v>524</v>
      </c>
    </row>
    <row r="7" spans="1:41" s="566" customFormat="1" ht="18" customHeight="1">
      <c r="A7" s="1573" t="s">
        <v>408</v>
      </c>
      <c r="B7" s="2241" t="str">
        <f>Uebersetzung!D259</f>
        <v>Production de chaleur A</v>
      </c>
      <c r="C7" s="2242"/>
      <c r="D7" s="2242"/>
      <c r="E7" s="2242"/>
      <c r="F7" s="2242"/>
      <c r="G7" s="2243"/>
      <c r="H7" s="707" t="str">
        <f>Uebersetzung!D263</f>
        <v>Entrée</v>
      </c>
      <c r="I7" s="708" t="str">
        <f>Uebersetzung!D264</f>
        <v>Valeur calculée</v>
      </c>
      <c r="J7" s="709" t="str">
        <f>Uebersetzung!D265</f>
        <v>Chauffage</v>
      </c>
      <c r="K7" s="710"/>
      <c r="L7" s="711" t="str">
        <f>Uebersetzung!D266</f>
        <v>Eau chaude</v>
      </c>
      <c r="M7" s="1578"/>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2246</v>
      </c>
      <c r="AE7" s="579" t="s">
        <v>525</v>
      </c>
      <c r="AF7" s="579" t="s">
        <v>525</v>
      </c>
      <c r="AG7" s="578" t="s">
        <v>526</v>
      </c>
      <c r="AH7" s="1392"/>
      <c r="AK7" s="1399"/>
      <c r="AL7" s="1400"/>
      <c r="AM7" s="1446" t="s">
        <v>2546</v>
      </c>
      <c r="AN7" s="587">
        <f>AN5+AN6</f>
        <v>0</v>
      </c>
      <c r="AO7" s="5" t="s">
        <v>524</v>
      </c>
    </row>
    <row r="8" spans="1:41" s="566" customFormat="1" ht="18" customHeight="1">
      <c r="A8" s="1587" t="s">
        <v>409</v>
      </c>
      <c r="B8" s="2205"/>
      <c r="C8" s="2206"/>
      <c r="D8" s="2206"/>
      <c r="E8" s="2206"/>
      <c r="F8" s="2206"/>
      <c r="G8" s="2207"/>
      <c r="H8" s="650"/>
      <c r="I8" s="651">
        <f>IF(H8&lt;&gt;"",IF(H8&gt;W8,W8,H8),V8)</f>
        <v>0</v>
      </c>
      <c r="J8" s="652"/>
      <c r="K8" s="799"/>
      <c r="L8" s="798"/>
      <c r="M8" s="1578">
        <f>IF(B8="",1,VLOOKUP(B8,Standardwerte!$T$108:$AK$155,18,FALSE))</f>
        <v>1</v>
      </c>
      <c r="N8" s="1636">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6">
        <f>IF(U8,AB9,INDEX(Standardwerte!$X$108:$X$155,M8,1)-IF(OR(M8=36,M8=35),MAX((F10-30)/3,0),0))</f>
        <v>0</v>
      </c>
      <c r="W8" s="581">
        <f>IF(U8,AB9,INDEX(Standardwerte!$Y$108:$Y$155,M8,1)-IF(OR(M8=36,M8=35),MAX((F10-30)/3,0),0))</f>
        <v>0</v>
      </c>
      <c r="X8" s="2249">
        <f>IF(G9&gt;0,IF(Hoehe&lt;800,(440/((1/G9)+610/(EBF*(qw+qh)))/G9),(490/((1/G9)+610/(EBF*(qw+qh)))/G9)),)</f>
        <v>0</v>
      </c>
      <c r="Y8" s="2250"/>
      <c r="Z8" s="580">
        <f>IF(G9&gt;0,IF(qw&gt;0,IF(Hoehe&lt;800,(640/((1/G9)+380/(EBF*qw))/G9),(700/((1/G9)+380/(EBF*qw))/G9)),),)</f>
        <v>0</v>
      </c>
      <c r="AA8" s="576"/>
      <c r="AB8" s="572">
        <f>IF(U8,IF(G9&gt;0.5,1,0),0)</f>
        <v>0</v>
      </c>
      <c r="AC8" s="576" t="b">
        <f>INDEX(Standardwerte!$AG$108:$AG$155,M8,1)</f>
        <v>0</v>
      </c>
      <c r="AD8" s="1854" t="b">
        <f>(Q8&lt;0)</f>
        <v>0</v>
      </c>
      <c r="AE8" s="1855" t="s">
        <v>3657</v>
      </c>
      <c r="AF8" s="1855" t="s">
        <v>3657</v>
      </c>
      <c r="AG8" s="1855" t="s">
        <v>3657</v>
      </c>
      <c r="AH8" s="1392"/>
      <c r="AJ8" s="1405" t="s">
        <v>2231</v>
      </c>
      <c r="AK8" s="1399">
        <f>INDEX(Standardwerte!$AP$108:$AP$155,M8,1)</f>
        <v>0</v>
      </c>
      <c r="AL8" s="1400">
        <f>IF(WirkungsgradA&gt;0,AK8*WaermebedarfA/WirkungsgradA,0)</f>
        <v>0</v>
      </c>
      <c r="AM8" s="1405" t="s">
        <v>2231</v>
      </c>
      <c r="AN8" s="1448">
        <f>IF(AND(M8=15,G9&lt;0.35),1,1-INDEX(Standardwerte!$AS$108:$AS$155,Justificatif!M8,1))</f>
        <v>1</v>
      </c>
    </row>
    <row r="9" spans="1:41" s="566" customFormat="1" ht="14.1" customHeight="1">
      <c r="A9" s="1587" t="s">
        <v>410</v>
      </c>
      <c r="B9" s="2211" t="str">
        <f>IF(INDEX(Standardwerte!$AD$108:$AD$155,M8,1)=0,"",INDEX(Standardwerte!$AD$108:$AD$155,M8,1))</f>
        <v/>
      </c>
      <c r="C9" s="2212"/>
      <c r="D9" s="2212"/>
      <c r="E9" s="2212"/>
      <c r="F9" s="1852">
        <f>IF(M8=35,IF(G9="",0,MIN(G9,5)),0)</f>
        <v>0</v>
      </c>
      <c r="G9" s="801"/>
      <c r="H9" s="2219" t="str">
        <f>IF(AB8=1,"Deckungs-grad Soll-wert &lt; 0.5","")</f>
        <v/>
      </c>
      <c r="I9" s="653"/>
      <c r="J9" s="703">
        <f>IF(M8=36,MAX(AG11,0),IF(EBF&gt;0,IF(M8=33,Y11,IF(M8=31,AA11,"")),0))</f>
        <v>0</v>
      </c>
      <c r="K9" s="704"/>
      <c r="L9" s="705" t="str">
        <f>IF(M8=36,MAX(AF11,0),IF(M8=35,MAX(AE11,0),IF(M8=32,Z11,IF(M8=33,X11,""))))</f>
        <v/>
      </c>
      <c r="M9" s="1584"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7"/>
      <c r="AE9" s="1856" t="str">
        <f>IF(M8=35,F9*Entrées!$K$42,"")</f>
        <v/>
      </c>
      <c r="AF9" s="573" t="str">
        <f>IF(M8=36,G9,"")</f>
        <v/>
      </c>
      <c r="AG9" s="1860" t="str">
        <f>IF(M8=36,AF9-qw*EBF*L9/100,"")</f>
        <v/>
      </c>
      <c r="AH9" s="1392"/>
      <c r="AK9" s="1399"/>
      <c r="AL9" s="1400"/>
      <c r="AM9" s="1405" t="s">
        <v>2542</v>
      </c>
      <c r="AN9" s="1447">
        <f>J8/100</f>
        <v>0</v>
      </c>
    </row>
    <row r="10" spans="1:41" s="566" customFormat="1" ht="14.1" customHeight="1">
      <c r="A10" s="1573" t="s">
        <v>411</v>
      </c>
      <c r="B10" s="2213" t="str">
        <f>IF(INDEX(Standardwerte!$AD$108:$AE$155,M8,2)=0,"",INDEX(Standardwerte!$AD$108:$AE$155,M8,2))</f>
        <v/>
      </c>
      <c r="C10" s="2214"/>
      <c r="D10" s="2214"/>
      <c r="E10" s="2214"/>
      <c r="F10" s="1853" t="str">
        <f>IF(OR(M8=35,M8=36),IF(G10="",32,MIN(G10,45)),IF(M8=33,IF(G10&gt;0,G10,X8),IF(M8=32,IF(G10&gt;0,G10,Z8),"")))</f>
        <v/>
      </c>
      <c r="G10" s="800"/>
      <c r="H10" s="2220"/>
      <c r="I10" s="653"/>
      <c r="J10" s="2230" t="str">
        <f>IF(AND(J9&gt;0,J9&lt;&gt;""),IF(J8&gt;J9+0.1,"Deckungsgrad zu hoch",""),"")</f>
        <v/>
      </c>
      <c r="K10" s="706"/>
      <c r="L10" s="2239" t="str">
        <f>IF(AND(L9&gt;0,L9&lt;&gt;""),IF(L8&gt;L9+0.1,Uebersetzung!D109,""),IF(AND(M8=35,Entrées!K42&lt;0.01),Uebersetzung!D568,""))</f>
        <v/>
      </c>
      <c r="M10" s="1578"/>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7"/>
      <c r="AE10" s="1859">
        <f>IF(AND(qw&gt;0,EBF&gt;0,AE9&lt;&gt;""),AE9/qw/EBF,0)</f>
        <v>0</v>
      </c>
      <c r="AF10" s="1859">
        <f>IF(AND(qw&gt;0,EBF&gt;0,AF9&lt;&gt;""),AF9/qw/EBF,0)</f>
        <v>0</v>
      </c>
      <c r="AG10" s="1865">
        <f>IF(AND(qh&gt;0,EBF&gt;0,AF9&lt;&gt;""),MIN(AG9/qh/EBF/2,1),0)</f>
        <v>0</v>
      </c>
      <c r="AH10" s="736"/>
      <c r="AK10" s="1399"/>
      <c r="AL10" s="1400"/>
      <c r="AM10" s="1405" t="s">
        <v>2543</v>
      </c>
      <c r="AN10" s="1447">
        <f>L8/100</f>
        <v>0</v>
      </c>
    </row>
    <row r="11" spans="1:41" s="566" customFormat="1" ht="15.95" customHeight="1">
      <c r="A11" s="1573" t="s">
        <v>412</v>
      </c>
      <c r="B11" s="2232" t="str">
        <f>Uebersetzung!D260</f>
        <v>Production de chaleur B</v>
      </c>
      <c r="C11" s="2233"/>
      <c r="D11" s="2233"/>
      <c r="E11" s="2233"/>
      <c r="F11" s="649"/>
      <c r="G11" s="649"/>
      <c r="H11" s="2221"/>
      <c r="I11" s="649"/>
      <c r="J11" s="2231"/>
      <c r="K11" s="706"/>
      <c r="L11" s="2240"/>
      <c r="M11" s="1578"/>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7"/>
      <c r="AE11" s="595">
        <f>IF($M8=35,MIN($L8,MIN(AE10,($F10-10)/50/3)*100),0)</f>
        <v>0</v>
      </c>
      <c r="AF11" s="595">
        <f>IF($M8=36,MIN($L8,MIN(AF10,($F10-10)/50)*100),0)</f>
        <v>0</v>
      </c>
      <c r="AG11" s="594">
        <f>IF($M8=36,MIN($J8,MIN(AG10,(($F10-30)/15))*100),0)</f>
        <v>0</v>
      </c>
      <c r="AH11" s="736"/>
      <c r="AK11" s="1399"/>
      <c r="AL11" s="1400"/>
      <c r="AN11" s="579"/>
    </row>
    <row r="12" spans="1:41" s="566" customFormat="1" ht="18" customHeight="1">
      <c r="A12" s="1587" t="s">
        <v>413</v>
      </c>
      <c r="B12" s="2205"/>
      <c r="C12" s="2206"/>
      <c r="D12" s="2206"/>
      <c r="E12" s="2206"/>
      <c r="F12" s="2206"/>
      <c r="G12" s="2207"/>
      <c r="H12" s="650"/>
      <c r="I12" s="651">
        <f>IF(H12&lt;&gt;"",IF(H12&gt;W12,W12,H12),V12)</f>
        <v>0</v>
      </c>
      <c r="J12" s="652"/>
      <c r="K12" s="796"/>
      <c r="L12" s="798"/>
      <c r="M12" s="1578">
        <f>IF(B12="",1,VLOOKUP(B12,Standardwerte!$T$108:$AK$155,18,FALSE))</f>
        <v>1</v>
      </c>
      <c r="N12" s="1636">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6">
        <f>IF(U12,AB13,INDEX(Standardwerte!$X$108:$X$155,M12,1)-IF(OR(M12=36,M12=35),MAX((F14-30)/3,0),0))</f>
        <v>0</v>
      </c>
      <c r="W12" s="581">
        <f>IF(U12,AB13,INDEX(Standardwerte!$Y$108:$Y$155,M12,1)-IF(OR(M12=36,M12=35),MAX((F14-30)/3,0),0))</f>
        <v>0</v>
      </c>
      <c r="X12" s="2249">
        <f>IF(G13&gt;0,IF(Hoehe&lt;800,(440/((1/G13)+610/(EBF*(qw+qh)))/G13),(490/((1/G13)+610/(EBF*(qw+qh)))/G13)),)</f>
        <v>0</v>
      </c>
      <c r="Y12" s="2250"/>
      <c r="Z12" s="587">
        <f>IF(G13&gt;0,IF(qw&gt;0,IF(Hoehe&lt;800,(640/((1/G13)+380/(EBF*qw))/G13),(700/((1/G13)+380/(EBF*qw))/G13)),),)</f>
        <v>0</v>
      </c>
      <c r="AA12" s="574"/>
      <c r="AB12" s="572">
        <f>IF(U12,IF(G13&gt;0.5,1,0),0)</f>
        <v>0</v>
      </c>
      <c r="AC12" s="576" t="b">
        <f>INDEX(Standardwerte!$AG$108:$AG$155,M12,1)</f>
        <v>0</v>
      </c>
      <c r="AD12" s="1854" t="b">
        <f>(Q12&lt;0)</f>
        <v>0</v>
      </c>
      <c r="AE12" s="1855" t="s">
        <v>3657</v>
      </c>
      <c r="AF12" s="1855" t="s">
        <v>3657</v>
      </c>
      <c r="AG12" s="1855" t="s">
        <v>3657</v>
      </c>
      <c r="AH12" s="736"/>
      <c r="AJ12" s="1405" t="s">
        <v>2232</v>
      </c>
      <c r="AK12" s="1399">
        <f>INDEX(Standardwerte!$AP$108:$AP$155,M12,1)</f>
        <v>0</v>
      </c>
      <c r="AL12" s="1400">
        <f>IF(WirkungsgradB&gt;0,AK12*WaermebedarfB/WirkungsgradB,0)</f>
        <v>0</v>
      </c>
      <c r="AM12" s="1405" t="s">
        <v>2232</v>
      </c>
      <c r="AN12" s="1447">
        <f>IF(AND(M12=15,G13&lt;0.35),1,1-INDEX(Standardwerte!$AS$108:$AS$155,Justificatif!M12,1))</f>
        <v>1</v>
      </c>
    </row>
    <row r="13" spans="1:41" s="566" customFormat="1" ht="14.1" customHeight="1">
      <c r="A13" s="1573" t="s">
        <v>414</v>
      </c>
      <c r="B13" s="2211" t="str">
        <f>IF(INDEX(Standardwerte!$AD$108:$AD$155,M12,1)=0,"",INDEX(Standardwerte!$AD$108:$AD$155,M12,1))</f>
        <v/>
      </c>
      <c r="C13" s="2212"/>
      <c r="D13" s="2212"/>
      <c r="E13" s="2212"/>
      <c r="F13" s="1852">
        <f>IF(M12=35,IF(G13="",0,MIN(G13,5)),0)</f>
        <v>0</v>
      </c>
      <c r="G13" s="801"/>
      <c r="H13" s="2219" t="str">
        <f>IF(AB12=1,"Deckungs-grad Soll-wert &lt; 0.5","")</f>
        <v/>
      </c>
      <c r="I13" s="653"/>
      <c r="J13" s="703">
        <f>IF(M12=36,MAX(AG15,0),IF(EBF&gt;0,IF(M12=33,Y15,IF(M12=31,AA15,"")),0))</f>
        <v>0</v>
      </c>
      <c r="K13" s="704"/>
      <c r="L13" s="705" t="str">
        <f>IF(M12=36,MAX(AF15,0),IF(M12=35,MAX(AE15,0),IF(M12=32,Z15,IF(M12=33,X15,""))))</f>
        <v/>
      </c>
      <c r="M13" s="1584"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7"/>
      <c r="AE13" s="1856" t="str">
        <f>IF(M12=35,F13*Entrées!$K$42,"")</f>
        <v/>
      </c>
      <c r="AF13" s="573" t="str">
        <f>IF(M12=36,G13,"")</f>
        <v/>
      </c>
      <c r="AG13" s="1860" t="str">
        <f>IF(M12=36,AF13-qw*EBF*L13/100,"")</f>
        <v/>
      </c>
      <c r="AH13" s="736"/>
      <c r="AK13" s="1399"/>
      <c r="AL13" s="1400"/>
      <c r="AM13" s="1405" t="s">
        <v>2542</v>
      </c>
      <c r="AN13" s="1447">
        <f>J12/100</f>
        <v>0</v>
      </c>
    </row>
    <row r="14" spans="1:41" s="566" customFormat="1" ht="14.1" customHeight="1">
      <c r="A14" s="1587" t="s">
        <v>415</v>
      </c>
      <c r="B14" s="2213" t="str">
        <f>IF(INDEX(Standardwerte!$AD$108:$AE$155,M12,2)=0,"",INDEX(Standardwerte!$AD$108:$AE$155,M12,2))</f>
        <v/>
      </c>
      <c r="C14" s="2214"/>
      <c r="D14" s="2214"/>
      <c r="E14" s="2214"/>
      <c r="F14" s="1853" t="str">
        <f>IF(OR(M12=35,M12=36),IF(G14="",32,MIN(G14,45)),IF(M12=33,IF(G14&gt;0,G14,X12),IF(M12=32,IF(G14&gt;0,G14,Z12),"")))</f>
        <v/>
      </c>
      <c r="G14" s="800"/>
      <c r="H14" s="2220"/>
      <c r="I14" s="653"/>
      <c r="J14" s="2230" t="str">
        <f>IF(AND(J13&gt;0,J13&lt;&gt;""),IF(J12&gt;J13+0.1,"Deckungsgrad zu hoch",""),"")</f>
        <v/>
      </c>
      <c r="K14" s="706"/>
      <c r="L14" s="2239" t="str">
        <f>IF(AND(L13&gt;0,L13&lt;&gt;""),IF(L12&gt;L13+0.1,Uebersetzung!D109,""),IF(AND(M12=35,Entrées!K42&lt;0.01),Uebersetzung!D568,""))</f>
        <v/>
      </c>
      <c r="M14" s="1578"/>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7"/>
      <c r="AE14" s="1859">
        <f>IF(AND(qw&gt;0,EBF&gt;0,AE13&lt;&gt;""),AE13/qw/EBF,0)</f>
        <v>0</v>
      </c>
      <c r="AF14" s="1859">
        <f>IF(AND(qw&gt;0,EBF&gt;0,AF13&lt;&gt;""),AF13/qw/EBF,0)</f>
        <v>0</v>
      </c>
      <c r="AG14" s="1865">
        <f>IF(AND(qh&gt;0,EBF&gt;0,AF13&lt;&gt;""),MIN(AG13/qh/EBF/2,1),0)</f>
        <v>0</v>
      </c>
      <c r="AH14" s="736"/>
      <c r="AK14" s="1399"/>
      <c r="AL14" s="1400"/>
      <c r="AM14" s="1405" t="s">
        <v>2543</v>
      </c>
      <c r="AN14" s="1447">
        <f>L12/100</f>
        <v>0</v>
      </c>
    </row>
    <row r="15" spans="1:41" s="566" customFormat="1" ht="15.95" customHeight="1">
      <c r="A15" s="1573" t="s">
        <v>416</v>
      </c>
      <c r="B15" s="668" t="str">
        <f>Uebersetzung!D261</f>
        <v>Production de chaleur C</v>
      </c>
      <c r="C15" s="673"/>
      <c r="D15" s="673"/>
      <c r="E15" s="649"/>
      <c r="F15" s="649"/>
      <c r="G15" s="649"/>
      <c r="H15" s="2221"/>
      <c r="I15" s="649"/>
      <c r="J15" s="2231"/>
      <c r="K15" s="706"/>
      <c r="L15" s="2240"/>
      <c r="M15" s="1578"/>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7"/>
      <c r="AE15" s="595">
        <f>IF($M12=35,MIN($L12,MIN(AE14,($F14-10)/50/3)*100),0)</f>
        <v>0</v>
      </c>
      <c r="AF15" s="595">
        <f>IF($M12=36,MIN($L12,MIN(AF14,($F14-10)/50)*100),0)</f>
        <v>0</v>
      </c>
      <c r="AG15" s="594">
        <f>IF($M12=36,MIN($J12,MIN(AG14,(($F14-30)/15))*100),0)</f>
        <v>0</v>
      </c>
      <c r="AH15" s="736"/>
      <c r="AK15" s="1399"/>
      <c r="AL15" s="1400"/>
      <c r="AN15" s="579"/>
    </row>
    <row r="16" spans="1:41" s="566" customFormat="1" ht="18" customHeight="1">
      <c r="A16" s="1587" t="s">
        <v>417</v>
      </c>
      <c r="B16" s="2205"/>
      <c r="C16" s="2206"/>
      <c r="D16" s="2206"/>
      <c r="E16" s="2206"/>
      <c r="F16" s="2206"/>
      <c r="G16" s="2207"/>
      <c r="H16" s="650"/>
      <c r="I16" s="651">
        <f>IF(H16&lt;&gt;"",IF(H16&gt;W16,W16,H16),V16)</f>
        <v>0</v>
      </c>
      <c r="J16" s="652"/>
      <c r="K16" s="796"/>
      <c r="L16" s="798"/>
      <c r="M16" s="1578">
        <f>IF(B16="",1,VLOOKUP(B16,Standardwerte!$T$108:$AK$155,18,FALSE))</f>
        <v>1</v>
      </c>
      <c r="N16" s="1636">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6">
        <f>IF(U16,AB17,INDEX(Standardwerte!$X$108:$X$155,M16,1)-IF(OR(M16=36,M16=35),MAX((F18-30)/3,0),0))</f>
        <v>0</v>
      </c>
      <c r="W16" s="581">
        <f>IF(U16,AB17,INDEX(Standardwerte!$Y$108:$Y$155,M16,1)-IF(OR(M16=36,M16=35),MAX((F18-30)/3,0),0))</f>
        <v>0</v>
      </c>
      <c r="X16" s="2249">
        <f>IF(G17&gt;0,IF(Hoehe&lt;800,(440/((1/G17)+610/(EBF*(qw+qh)))/G17),(490/((1/G17)+610/(EBF*(qw+qh)))/G17)),)</f>
        <v>0</v>
      </c>
      <c r="Y16" s="2250"/>
      <c r="Z16" s="580">
        <f>IF(G17&gt;0,IF(qw&gt;0,IF(Hoehe&lt;800,(640/((1/G17)+380/(EBF*qw))/G17),(700/((1/G17)+380/(EBF*qw))/G17)),),)</f>
        <v>0</v>
      </c>
      <c r="AA16" s="576"/>
      <c r="AB16" s="572">
        <f>IF(U16,IF(G17&gt;0.5,1,0),0)</f>
        <v>0</v>
      </c>
      <c r="AC16" s="1395" t="b">
        <f>INDEX(Standardwerte!$AG$108:$AG$155,M16,1)</f>
        <v>0</v>
      </c>
      <c r="AD16" s="1854" t="b">
        <f>(Q16&lt;0)</f>
        <v>0</v>
      </c>
      <c r="AE16" s="1855" t="s">
        <v>3657</v>
      </c>
      <c r="AF16" s="1855" t="s">
        <v>3657</v>
      </c>
      <c r="AG16" s="1855" t="s">
        <v>3657</v>
      </c>
      <c r="AH16" s="736"/>
      <c r="AJ16" s="1405" t="s">
        <v>2233</v>
      </c>
      <c r="AK16" s="1399">
        <f>INDEX(Standardwerte!$AP$108:$AP$155,M16,1)</f>
        <v>0</v>
      </c>
      <c r="AL16" s="1400">
        <f>IF(WirkungsgradC&gt;0,AK16*WaermebedarfC/WirkungsgradC,0)</f>
        <v>0</v>
      </c>
      <c r="AM16" s="1405" t="s">
        <v>2233</v>
      </c>
      <c r="AN16" s="1448">
        <f>IF(AND(M16=15,G17&lt;0.35),1,1-INDEX(Standardwerte!$AS$108:$AS$155,Justificatif!M16,1))</f>
        <v>1</v>
      </c>
    </row>
    <row r="17" spans="1:40" s="566" customFormat="1" ht="14.1" customHeight="1">
      <c r="A17" s="1573" t="s">
        <v>418</v>
      </c>
      <c r="B17" s="2211" t="str">
        <f>IF(INDEX(Standardwerte!$AD$108:$AD$155,M16,1)=0,"",INDEX(Standardwerte!$AD$108:$AD$155,M16,1))</f>
        <v/>
      </c>
      <c r="C17" s="2212"/>
      <c r="D17" s="2212"/>
      <c r="E17" s="2212"/>
      <c r="F17" s="1852">
        <f>IF(M16=35,IF(G17="",0,MIN(G17,5)),0)</f>
        <v>0</v>
      </c>
      <c r="G17" s="1864"/>
      <c r="H17" s="2219" t="str">
        <f>IF(AB16=1,"Deckungs-grad Soll-wert &lt; 0.5","")</f>
        <v/>
      </c>
      <c r="I17" s="653"/>
      <c r="J17" s="703">
        <f>IF(M16=36,MAX(AG19,0),IF(EBF&gt;0,IF(M16=33,Y19,IF(M16=31,AA19,"")),0))</f>
        <v>0</v>
      </c>
      <c r="K17" s="704"/>
      <c r="L17" s="705" t="str">
        <f>IF(M16=36,MAX(AF19,0),IF(M16=35,MAX(AE19,0),IF(M16=32,Z19,IF(M16=33,X19,""))))</f>
        <v/>
      </c>
      <c r="M17" s="1584"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7"/>
      <c r="AE17" s="1856" t="str">
        <f>IF(M16=35,F17*Entrées!$K$42,"")</f>
        <v/>
      </c>
      <c r="AF17" s="573" t="str">
        <f>IF(M16=36,G17,"")</f>
        <v/>
      </c>
      <c r="AG17" s="1860" t="str">
        <f>IF(M16=36,AF17-qw*EBF*L17/100,"")</f>
        <v/>
      </c>
      <c r="AH17" s="736"/>
      <c r="AK17" s="1399"/>
      <c r="AL17" s="1400"/>
      <c r="AM17" s="1405" t="s">
        <v>2542</v>
      </c>
      <c r="AN17" s="1447">
        <f>J16/100</f>
        <v>0</v>
      </c>
    </row>
    <row r="18" spans="1:40" s="566" customFormat="1" ht="14.1" customHeight="1">
      <c r="A18" s="1587" t="s">
        <v>419</v>
      </c>
      <c r="B18" s="2213" t="str">
        <f>IF(INDEX(Standardwerte!$AD$108:$AE$155,M16,2)=0,"",INDEX(Standardwerte!$AD$108:$AE$155,M16,2))</f>
        <v/>
      </c>
      <c r="C18" s="2214"/>
      <c r="D18" s="2214"/>
      <c r="E18" s="2214"/>
      <c r="F18" s="1853" t="str">
        <f>IF(OR(M16=35,M16=36),IF(G18="",32,MIN(G18,45)),IF(M16=33,IF(G18&gt;0,G18,X16),IF(M16=32,IF(G18&gt;0,G18,Z16),"")))</f>
        <v/>
      </c>
      <c r="G18" s="800"/>
      <c r="H18" s="2220"/>
      <c r="I18" s="653"/>
      <c r="J18" s="2230" t="str">
        <f>IF(AND(J17&gt;0,J17&lt;&gt;""),IF(J16&gt;J17+0.1,"Deckungsgrad zu hoch",""),"")</f>
        <v/>
      </c>
      <c r="K18" s="706"/>
      <c r="L18" s="2239" t="str">
        <f>IF(AND(L17&gt;0,L17&lt;&gt;""),IF(L16&gt;L17+0.1,Uebersetzung!D109,""),IF(AND(M16=35,Entrées!K42&lt;0.01),Uebersetzung!D568,""))</f>
        <v/>
      </c>
      <c r="M18" s="1578"/>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7"/>
      <c r="AE18" s="1859">
        <f>IF(AND(qw&gt;0,EBF&gt;0,AE17&lt;&gt;""),AE17/qw/EBF,0)</f>
        <v>0</v>
      </c>
      <c r="AF18" s="1859">
        <f>IF(AND(qw&gt;0,EBF&gt;0,AF17&lt;&gt;""),AF17/qw/EBF,0)</f>
        <v>0</v>
      </c>
      <c r="AG18" s="1865">
        <f>IF(AND(qh&gt;0,EBF&gt;0,AF17&lt;&gt;""),MIN(AG17/qh/EBF/2,1),0)</f>
        <v>0</v>
      </c>
      <c r="AH18" s="736"/>
      <c r="AK18" s="1399"/>
      <c r="AL18" s="1400"/>
      <c r="AM18" s="1405" t="s">
        <v>2543</v>
      </c>
      <c r="AN18" s="1447">
        <f>L16/100</f>
        <v>0</v>
      </c>
    </row>
    <row r="19" spans="1:40" s="566" customFormat="1" ht="15.95" customHeight="1">
      <c r="A19" s="1573" t="s">
        <v>420</v>
      </c>
      <c r="B19" s="668" t="str">
        <f>Uebersetzung!D262</f>
        <v>Production de chaleur D</v>
      </c>
      <c r="C19" s="673"/>
      <c r="D19" s="673"/>
      <c r="E19" s="649"/>
      <c r="F19" s="649"/>
      <c r="G19" s="649"/>
      <c r="H19" s="2221"/>
      <c r="I19" s="649"/>
      <c r="J19" s="2231"/>
      <c r="K19" s="706"/>
      <c r="L19" s="2240"/>
      <c r="M19" s="1578"/>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9"/>
      <c r="AL19" s="1400"/>
      <c r="AN19" s="579"/>
    </row>
    <row r="20" spans="1:40" s="566" customFormat="1" ht="18" customHeight="1">
      <c r="A20" s="1587" t="s">
        <v>421</v>
      </c>
      <c r="B20" s="2205"/>
      <c r="C20" s="2206"/>
      <c r="D20" s="2206"/>
      <c r="E20" s="2206"/>
      <c r="F20" s="2206"/>
      <c r="G20" s="2207"/>
      <c r="H20" s="650"/>
      <c r="I20" s="651">
        <f>IF(H20&lt;&gt;"",IF(H20&gt;W20,W20,H20),V20)</f>
        <v>0</v>
      </c>
      <c r="J20" s="652"/>
      <c r="K20" s="796"/>
      <c r="L20" s="798"/>
      <c r="M20" s="1578">
        <f>IF(B20="",1,VLOOKUP(B20,Standardwerte!$T$108:$AK$155,18,FALSE))</f>
        <v>1</v>
      </c>
      <c r="N20" s="1636">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6">
        <f>IF(U20,AB21,INDEX(Standardwerte!$X$108:$X$155,M20,1)-IF(OR(M20=36,M20=35),MAX((F22-30)/3,0),0))</f>
        <v>0</v>
      </c>
      <c r="W20" s="581">
        <f>IF(U20,AB21,INDEX(Standardwerte!$Y$108:$Y$155,M20,1)-IF(OR(M20=36,M20=35),MAX((F22-30)/3,0),0))</f>
        <v>0</v>
      </c>
      <c r="X20" s="2249">
        <f>IF(G21&gt;0,IF(Hoehe&lt;800,(440/((1/G21)+610/(EBF*(qw+qh)))/G21),(490/((1/G21)+610/(EBF*(qw+qh)))/G21)),)</f>
        <v>0</v>
      </c>
      <c r="Y20" s="2250"/>
      <c r="Z20" s="587">
        <f>IF(G21&gt;0,IF(qw&gt;0,IF(Hoehe&lt;800,(640/((1/G21)+380/(EBF*qw))/G21),(700/((1/G21)+380/(EBF*qw))/G21)),),)</f>
        <v>0</v>
      </c>
      <c r="AA20" s="574"/>
      <c r="AB20" s="572">
        <f>IF(U20,IF(G21&gt;0.5,1,0),0)</f>
        <v>0</v>
      </c>
      <c r="AC20" s="576" t="b">
        <f>INDEX(Standardwerte!$AG$108:$AG$155,M20,1)</f>
        <v>0</v>
      </c>
      <c r="AD20" s="1847" t="b">
        <f>(Q20&lt;0)</f>
        <v>0</v>
      </c>
      <c r="AE20" s="1855" t="s">
        <v>3657</v>
      </c>
      <c r="AF20" s="1855" t="s">
        <v>3657</v>
      </c>
      <c r="AG20" s="1855" t="s">
        <v>3657</v>
      </c>
      <c r="AH20" s="736"/>
      <c r="AJ20" s="1405" t="s">
        <v>2234</v>
      </c>
      <c r="AK20" s="1399">
        <f>INDEX(Standardwerte!$AP$108:$AP$155,M20,1)</f>
        <v>0</v>
      </c>
      <c r="AL20" s="1399">
        <f>IF(WirkungsgradD&gt;0,AK20*WaermebedarfD/WirkungsgradD,0)</f>
        <v>0</v>
      </c>
      <c r="AM20" s="1405" t="s">
        <v>2234</v>
      </c>
      <c r="AN20" s="1447">
        <f>IF(AND(M20=15,G21&lt;0.35),1,1-INDEX(Standardwerte!$AS$108:$AS$155,Justificatif!M20,1))</f>
        <v>1</v>
      </c>
    </row>
    <row r="21" spans="1:40" s="566" customFormat="1" ht="14.1" customHeight="1">
      <c r="A21" s="1573" t="s">
        <v>422</v>
      </c>
      <c r="B21" s="2211" t="str">
        <f>IF(INDEX(Standardwerte!$AD$108:$AD$155,M20,1)=0,"",INDEX(Standardwerte!$AD$108:$AD$155,M20,1))</f>
        <v/>
      </c>
      <c r="C21" s="2212"/>
      <c r="D21" s="2212"/>
      <c r="E21" s="2212"/>
      <c r="F21" s="1852">
        <f>IF(M20=35,IF(G21="",0,MIN(G21,5)),0)</f>
        <v>0</v>
      </c>
      <c r="G21" s="801"/>
      <c r="H21" s="2219" t="str">
        <f>IF(AB20=1,"Deckungs-grad Soll-wert &lt; 0.5","")</f>
        <v/>
      </c>
      <c r="I21" s="655"/>
      <c r="J21" s="703">
        <f>IF(M20=36,MAX(AG23,0),IF(EBF&gt;0,IF(M20=33,Y23,IF(M20=31,AA23,"")),0))</f>
        <v>0</v>
      </c>
      <c r="K21" s="704"/>
      <c r="L21" s="705" t="str">
        <f>IF(M20=36,MAX(AF23,0),IF(M20=35,MAX(AE23,0),IF(M20=32,Z23,IF(M20=33,X23,""))))</f>
        <v/>
      </c>
      <c r="M21" s="1584"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7"/>
      <c r="AE21" s="1856" t="str">
        <f>IF(M20=35,F21*Entrées!$K$42,"")</f>
        <v/>
      </c>
      <c r="AF21" s="573" t="str">
        <f>IF(M20=36,G21,"")</f>
        <v/>
      </c>
      <c r="AG21" s="1860" t="str">
        <f>IF(M20=36,AF21-qw*EBF*L21/100,"")</f>
        <v/>
      </c>
      <c r="AH21" s="736"/>
      <c r="AK21" s="1399"/>
      <c r="AL21" s="1400"/>
      <c r="AM21" s="1405" t="s">
        <v>2542</v>
      </c>
      <c r="AN21" s="1447">
        <f>J20/100</f>
        <v>0</v>
      </c>
    </row>
    <row r="22" spans="1:40" s="566" customFormat="1" ht="14.1" customHeight="1">
      <c r="A22" s="1587" t="s">
        <v>423</v>
      </c>
      <c r="B22" s="2213" t="str">
        <f>IF(INDEX(Standardwerte!$AD$108:$AE$155,M20,2)=0,"",INDEX(Standardwerte!$AD$108:$AE$155,M20,2))</f>
        <v/>
      </c>
      <c r="C22" s="2214"/>
      <c r="D22" s="2214"/>
      <c r="E22" s="2214"/>
      <c r="F22" s="1853" t="str">
        <f>IF(OR(M20=35,M20=36),IF(G22="",32,MIN(G22,45)),IF(M20=33,IF(G22&gt;0,G22,X20),IF(M20=32,IF(G22&gt;0,G22,Z20),"")))</f>
        <v/>
      </c>
      <c r="G22" s="800"/>
      <c r="H22" s="2220"/>
      <c r="I22" s="653"/>
      <c r="J22" s="2230" t="str">
        <f>IF(AND(J21&gt;0,J21&lt;&gt;""),IF(J20&gt;J21+0.1,"Deckungsgrad zu hoch",""),"")</f>
        <v/>
      </c>
      <c r="K22" s="706"/>
      <c r="L22" s="2239" t="str">
        <f>IF(AND(L21&gt;0,L21&lt;&gt;""),IF(L20&gt;L21+0.1,Uebersetzung!D109,""),IF(AND(M20=35,Entrées!K42&lt;0.01),Uebersetzung!D568,""))</f>
        <v/>
      </c>
      <c r="M22" s="1578"/>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7"/>
      <c r="AE22" s="1859">
        <f>IF(AND(qw&gt;0,EBF&gt;0,AE21&lt;&gt;""),AE21/qw/EBF,0)</f>
        <v>0</v>
      </c>
      <c r="AF22" s="1859">
        <f>IF(AND(qw&gt;0,EBF&gt;0,AF21&lt;&gt;""),AF21/qw/EBF,0)</f>
        <v>0</v>
      </c>
      <c r="AG22" s="1865">
        <f>IF(AND(qh&gt;0,EBF&gt;0,AF21&lt;&gt;""),MIN(AG21/qh/EBF/2,1),0)</f>
        <v>0</v>
      </c>
      <c r="AH22" s="736"/>
      <c r="AK22" s="1399"/>
      <c r="AL22" s="1400"/>
      <c r="AM22" s="1405" t="s">
        <v>2543</v>
      </c>
      <c r="AN22" s="1447">
        <f>L20/100</f>
        <v>0</v>
      </c>
    </row>
    <row r="23" spans="1:40" s="566" customFormat="1" ht="15.95" customHeight="1">
      <c r="A23" s="1573" t="s">
        <v>424</v>
      </c>
      <c r="B23" s="669" t="str">
        <f>Uebersetzung!D267</f>
        <v>Report autres productions de chaleur</v>
      </c>
      <c r="C23" s="681"/>
      <c r="D23" s="681"/>
      <c r="E23" s="649"/>
      <c r="F23" s="648"/>
      <c r="G23" s="648"/>
      <c r="H23" s="2221"/>
      <c r="I23" s="656"/>
      <c r="J23" s="2231"/>
      <c r="K23" s="706"/>
      <c r="L23" s="2240"/>
      <c r="M23" s="1578"/>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9"/>
      <c r="AL23" s="1400"/>
      <c r="AN23" s="579"/>
    </row>
    <row r="24" spans="1:40" s="566" customFormat="1" ht="18" customHeight="1">
      <c r="A24" s="1587" t="s">
        <v>483</v>
      </c>
      <c r="B24" s="2208"/>
      <c r="C24" s="2209"/>
      <c r="D24" s="2209"/>
      <c r="E24" s="2209"/>
      <c r="F24" s="2209"/>
      <c r="G24" s="2209"/>
      <c r="H24" s="660"/>
      <c r="I24" s="653"/>
      <c r="J24" s="795"/>
      <c r="K24" s="796"/>
      <c r="L24" s="797"/>
      <c r="M24" s="1578"/>
      <c r="N24" s="697">
        <f>qh*J24/100+qw*L24/100</f>
        <v>0</v>
      </c>
      <c r="O24" s="572"/>
      <c r="P24" s="726">
        <f>U48</f>
        <v>0</v>
      </c>
      <c r="Q24" s="572">
        <f>U47</f>
        <v>0</v>
      </c>
      <c r="AA24" s="567"/>
      <c r="AD24" s="96"/>
      <c r="AE24" s="96"/>
      <c r="AF24" s="96"/>
      <c r="AG24" s="96"/>
      <c r="AH24" s="96"/>
      <c r="AK24" s="1399"/>
      <c r="AL24" s="1400"/>
      <c r="AM24" s="1405" t="s">
        <v>2547</v>
      </c>
      <c r="AN24" s="1447">
        <f>IF(EndenergieE&gt;0.2,MAX(MIN((EndenergieE+IF(StrombedarfE&lt;0.1,StrombedarfE,0))/IF(AN7&gt;0,(AN5*AN25+AN6*AN27),1),1),0),0)</f>
        <v>0</v>
      </c>
    </row>
    <row r="25" spans="1:40" s="566" customFormat="1" ht="15.95" customHeight="1">
      <c r="A25" s="1573" t="s">
        <v>802</v>
      </c>
      <c r="B25" s="661" t="str">
        <f>Uebersetzung!D268</f>
        <v>Electricité fournie (non pondérée)</v>
      </c>
      <c r="C25" s="682"/>
      <c r="D25" s="682"/>
      <c r="E25" s="657"/>
      <c r="F25" s="696" t="s">
        <v>672</v>
      </c>
      <c r="G25" s="1840"/>
      <c r="H25" s="660"/>
      <c r="I25" s="653"/>
      <c r="J25" s="654"/>
      <c r="K25" s="648"/>
      <c r="L25" s="653"/>
      <c r="M25" s="1578"/>
      <c r="N25" s="583"/>
      <c r="O25" s="575"/>
      <c r="P25" s="727"/>
      <c r="Q25" s="575"/>
      <c r="AA25" s="567"/>
      <c r="AD25" s="96"/>
      <c r="AE25" s="96"/>
      <c r="AF25" s="96"/>
      <c r="AG25" s="96"/>
      <c r="AH25" s="96"/>
      <c r="AJ25" s="1405" t="s">
        <v>2235</v>
      </c>
      <c r="AK25" s="1399">
        <f>THG_Strom</f>
        <v>0.13900000000000001</v>
      </c>
      <c r="AL25" s="1399">
        <f>AK25*StrombedarfE</f>
        <v>0</v>
      </c>
      <c r="AM25" s="1405" t="s">
        <v>2542</v>
      </c>
      <c r="AN25" s="1447">
        <f>J24/100</f>
        <v>0</v>
      </c>
    </row>
    <row r="26" spans="1:40" s="566" customFormat="1" ht="20.100000000000001" hidden="1" customHeight="1">
      <c r="A26" s="1587"/>
      <c r="B26" s="647"/>
      <c r="G26" s="1841"/>
      <c r="H26" s="660"/>
      <c r="I26" s="653"/>
      <c r="J26" s="654"/>
      <c r="K26" s="648"/>
      <c r="L26" s="653"/>
      <c r="M26" s="1581"/>
      <c r="N26" s="583"/>
      <c r="O26" s="575"/>
      <c r="P26" s="727"/>
      <c r="Q26" s="575"/>
      <c r="AA26" s="567"/>
      <c r="AD26" s="96"/>
      <c r="AE26" s="96"/>
      <c r="AF26" s="96"/>
      <c r="AG26" s="96"/>
      <c r="AH26" s="96"/>
      <c r="AK26" s="1399"/>
      <c r="AL26" s="1400"/>
      <c r="AM26" s="1405" t="s">
        <v>2543</v>
      </c>
      <c r="AN26" s="573"/>
    </row>
    <row r="27" spans="1:40" s="566" customFormat="1" ht="15.95" customHeight="1">
      <c r="A27" s="1573" t="s">
        <v>2908</v>
      </c>
      <c r="B27" s="670" t="str">
        <f>Uebersetzung!D269</f>
        <v>Energie fournie (sans électricité, pondérée)</v>
      </c>
      <c r="C27" s="683"/>
      <c r="D27" s="683"/>
      <c r="E27" s="671"/>
      <c r="F27" s="530" t="s">
        <v>672</v>
      </c>
      <c r="G27" s="1842"/>
      <c r="H27" s="662"/>
      <c r="I27" s="663" t="str">
        <f>Uebersetzung!D270</f>
        <v>Taux de couverture total</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81"/>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5"/>
      <c r="AG27" s="96"/>
      <c r="AH27" s="96"/>
      <c r="AJ27" s="1405" t="s">
        <v>2236</v>
      </c>
      <c r="AK27" s="1399">
        <f>THG_andere</f>
        <v>0.249</v>
      </c>
      <c r="AL27" s="1399">
        <f>EndenergieE*AK27</f>
        <v>0</v>
      </c>
      <c r="AM27" s="1405" t="s">
        <v>2543</v>
      </c>
      <c r="AN27" s="1447">
        <f>L24/100</f>
        <v>0</v>
      </c>
    </row>
    <row r="28" spans="1:40" ht="15.95" customHeight="1">
      <c r="B28" s="25"/>
      <c r="C28" s="25"/>
      <c r="D28" s="25"/>
      <c r="E28" s="25"/>
      <c r="F28" s="25"/>
      <c r="G28" s="25"/>
      <c r="H28" s="27"/>
      <c r="I28" s="2210" t="str">
        <f>IF(EBF_MUKEN&gt;0,IF(OR(DeckungsgradHeizung&lt;99.5,DeckungsgradHeizung&gt;100.5,AND(DeckungsgradWW&lt;99.5,qw&gt;0),AND(DeckungsgradWW&gt;100.5,qw&gt;0)),Uebersetzung!D308,),"")</f>
        <v/>
      </c>
      <c r="J28" s="2210"/>
      <c r="K28" s="2210"/>
      <c r="L28" s="2210"/>
      <c r="P28" s="1404" t="s">
        <v>2248</v>
      </c>
      <c r="Q28" s="1412">
        <f>SUMIF(AD8:AD20,TRUE,Q8:Q20)</f>
        <v>0</v>
      </c>
      <c r="R28" s="5" t="s">
        <v>2247</v>
      </c>
      <c r="AD28" s="96"/>
      <c r="AE28" s="96"/>
      <c r="AF28" s="96"/>
      <c r="AG28" s="96"/>
      <c r="AH28" s="96"/>
      <c r="AK28" s="1397"/>
      <c r="AL28" s="1398"/>
      <c r="AN28" s="1444"/>
    </row>
    <row r="29" spans="1:40" ht="21" customHeight="1">
      <c r="A29" s="1579"/>
      <c r="B29" s="131" t="str">
        <f>Uebersetzung!D271</f>
        <v>Données du bâtiment, ventilation et valeur limite</v>
      </c>
      <c r="C29" s="684"/>
      <c r="D29" s="684"/>
      <c r="E29" s="210"/>
      <c r="F29" s="211"/>
      <c r="G29" s="664">
        <v>1</v>
      </c>
      <c r="H29" s="665">
        <v>2</v>
      </c>
      <c r="I29" s="664">
        <v>3</v>
      </c>
      <c r="J29" s="664">
        <v>4</v>
      </c>
      <c r="K29" s="124"/>
      <c r="L29" s="1434" t="str">
        <f>Uebersetzung!D272</f>
        <v>Total /
Moyenne</v>
      </c>
      <c r="P29" s="1664" t="s">
        <v>728</v>
      </c>
      <c r="Q29" s="1665" t="b">
        <f>IF(OR(Q28&lt;-7.5,(_EBF1+_EBF2+_EBF3+_EBF4)*Q28/750&lt;-30),TRUE,FALSE)</f>
        <v>0</v>
      </c>
      <c r="AK29" s="1397"/>
      <c r="AL29" s="1398"/>
      <c r="AN29" s="1411"/>
    </row>
    <row r="30" spans="1:40" ht="18" hidden="1" customHeight="1">
      <c r="A30" s="1579"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7"/>
      <c r="AL30" s="1398"/>
      <c r="AN30" s="1411"/>
    </row>
    <row r="31" spans="1:40" ht="18" hidden="1" customHeight="1">
      <c r="A31" s="1579" t="s">
        <v>404</v>
      </c>
      <c r="B31" s="271" t="s">
        <v>485</v>
      </c>
      <c r="C31" s="685"/>
      <c r="D31" s="685"/>
      <c r="E31" s="615"/>
      <c r="F31" s="50"/>
      <c r="G31" s="125" t="str">
        <f>Standardwerte!S43</f>
        <v/>
      </c>
      <c r="H31" s="125" t="str">
        <f>Standardwerte!S44</f>
        <v/>
      </c>
      <c r="I31" s="125" t="str">
        <f>Standardwerte!S45</f>
        <v/>
      </c>
      <c r="J31" s="620" t="str">
        <f>Standardwerte!S46</f>
        <v/>
      </c>
      <c r="K31" s="621"/>
      <c r="L31" s="622"/>
      <c r="AK31" s="1397"/>
      <c r="AL31" s="1398"/>
      <c r="AN31" s="1411"/>
    </row>
    <row r="32" spans="1:40" ht="18" hidden="1" customHeight="1">
      <c r="A32" s="1579"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7"/>
      <c r="AL32" s="1398"/>
      <c r="AN32" s="1411"/>
    </row>
    <row r="33" spans="1:40" ht="18" hidden="1" customHeight="1">
      <c r="A33" s="1579"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7"/>
      <c r="AL33" s="1398"/>
      <c r="AN33" s="1411"/>
    </row>
    <row r="34" spans="1:40" ht="15.95" customHeight="1">
      <c r="A34" s="1579" t="s">
        <v>2909</v>
      </c>
      <c r="B34" s="1321" t="str">
        <f>IF(OR(minergiea,minergiep),Uebersetzung!D273,Uebersetzung!D274)</f>
        <v>Qh avec renouvelement d'air effectif</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82"/>
      <c r="N34" s="96"/>
      <c r="O34" s="96"/>
      <c r="AJ34" s="1404" t="s">
        <v>2237</v>
      </c>
      <c r="AK34" s="1397">
        <f>THG_Strom</f>
        <v>0.13900000000000001</v>
      </c>
      <c r="AL34" s="1398"/>
      <c r="AN34" s="1411"/>
    </row>
    <row r="35" spans="1:40" ht="15.95" customHeight="1">
      <c r="A35" s="1579" t="s">
        <v>425</v>
      </c>
      <c r="B35" s="1321" t="str">
        <f>Uebersetzung!D275</f>
        <v>Besoin pour eau chaude Qww SIA 380/1</v>
      </c>
      <c r="C35" s="685"/>
      <c r="D35" s="685"/>
      <c r="E35" s="615"/>
      <c r="F35" s="50" t="s">
        <v>524</v>
      </c>
      <c r="G35" s="623">
        <f>IF(Entrées!F17=$N$35,0,IF(G43=0,0,INDEX(Standardwerte!$L$9:$L$21,Kategorie1,1)/3.6))</f>
        <v>0</v>
      </c>
      <c r="H35" s="623">
        <f>IF(Entrées!G17=$N$35,0,IF(H43=0,0,INDEX(Standardwerte!$L$9:$L$21,Kategorie2,1)/3.6))</f>
        <v>0</v>
      </c>
      <c r="I35" s="623">
        <f>IF(Entrées!H17=$N$35,0,IF(I43=0,0,INDEX(Standardwerte!$L$9:$L$21,Kategorie3,1)/3.6))</f>
        <v>0</v>
      </c>
      <c r="J35" s="623">
        <f>IF(Entrées!I17=$N$35,0,IF(J43=0,0,INDEX(Standardwerte!$L$9:$L$21,Kategorie4,1)/3.6))</f>
        <v>0</v>
      </c>
      <c r="K35" s="621"/>
      <c r="L35" s="624">
        <f>IF(MUKEN,IF(EBF_MUKEN&gt;0,(_qw1*_EBF1+_qw2*_EBF2+_qw3*_EBF3+_qw4*_EBF4)/EBF_MUKEN,0),IF(EBF&gt;0,(_qw1*_EBF1+_qw2*_EBF2+_qw3*_EBF3+_qw4*_EBF4)/EBF,0))</f>
        <v>0</v>
      </c>
      <c r="N35" s="1148" t="str">
        <f>Uebersetzung!D26</f>
        <v>non</v>
      </c>
      <c r="O35" s="96"/>
      <c r="Q35" s="1325"/>
      <c r="R35" s="861"/>
      <c r="AF35" s="1861"/>
      <c r="AK35" s="1397"/>
      <c r="AL35" s="1398"/>
      <c r="AN35" s="1411"/>
    </row>
    <row r="36" spans="1:40" ht="18" hidden="1" customHeight="1">
      <c r="A36" s="1579" t="s">
        <v>407</v>
      </c>
      <c r="B36" s="1322" t="s">
        <v>688</v>
      </c>
      <c r="C36" s="686"/>
      <c r="D36" s="686"/>
      <c r="E36" s="615"/>
      <c r="F36" s="564" t="s">
        <v>583</v>
      </c>
      <c r="G36" s="625">
        <f>_Vth1</f>
        <v>0</v>
      </c>
      <c r="H36" s="625">
        <f>_Vth2</f>
        <v>0</v>
      </c>
      <c r="I36" s="625">
        <f>_Vth3</f>
        <v>0</v>
      </c>
      <c r="J36" s="625">
        <f>_Vth4</f>
        <v>0</v>
      </c>
      <c r="K36" s="626"/>
      <c r="L36" s="627">
        <f>Vth</f>
        <v>0</v>
      </c>
      <c r="N36" s="96"/>
      <c r="O36" s="96"/>
      <c r="AK36" s="1397"/>
      <c r="AL36" s="1398"/>
      <c r="AN36" s="1411"/>
    </row>
    <row r="37" spans="1:40" ht="18" hidden="1" customHeight="1">
      <c r="A37" s="1579" t="s">
        <v>409</v>
      </c>
      <c r="B37" s="1322"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7"/>
      <c r="AL37" s="1398"/>
      <c r="AN37" s="1411"/>
    </row>
    <row r="38" spans="1:40" ht="18" hidden="1" customHeight="1">
      <c r="A38" s="1579" t="s">
        <v>410</v>
      </c>
      <c r="B38" s="1322"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7"/>
      <c r="AL38" s="1398"/>
      <c r="AN38" s="1411"/>
    </row>
    <row r="39" spans="1:40" ht="15.95" customHeight="1">
      <c r="A39" s="1579" t="s">
        <v>427</v>
      </c>
      <c r="B39" s="1322" t="str">
        <f>Uebersetzung!D276</f>
        <v>Besoin en électricité pour la ventilation</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7"/>
      <c r="L39" s="129">
        <f>IF(ISERROR(Qe),"",IF(MUKEN,IF(EBF_MUKEN&gt;0,(G39*_EBF1+H39*_EBF2+I39*_EBF3+J39*_EBF4)/EBF_MUKEN,0),Qe))</f>
        <v>0</v>
      </c>
      <c r="N39" s="96"/>
      <c r="O39" s="96"/>
      <c r="R39" s="5"/>
      <c r="AJ39" s="1404" t="s">
        <v>681</v>
      </c>
      <c r="AK39" s="1397">
        <f>THG_Strom</f>
        <v>0.13900000000000001</v>
      </c>
      <c r="AL39" s="1397">
        <f>IF(L39&lt;&gt;"",L39*AK39,0)</f>
        <v>0</v>
      </c>
      <c r="AN39" s="1411"/>
    </row>
    <row r="40" spans="1:40" ht="15.95" customHeight="1">
      <c r="A40" s="1579" t="s">
        <v>428</v>
      </c>
      <c r="B40" s="1322" t="str">
        <f>IF(minergiep,Uebersetzung!D277,Uebersetzung!D278)</f>
        <v>Besoin en électricité pour la climatisation + auxiliaires</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4" t="s">
        <v>682</v>
      </c>
      <c r="AK40" s="1397">
        <f>THG_Strom</f>
        <v>0.13900000000000001</v>
      </c>
      <c r="AL40" s="1397">
        <f>IF(L40&lt;&gt;"",L40*AK40,0)</f>
        <v>0</v>
      </c>
      <c r="AN40" s="1411"/>
    </row>
    <row r="41" spans="1:40" ht="2.25" hidden="1" customHeight="1">
      <c r="A41" s="1579" t="s">
        <v>413</v>
      </c>
      <c r="B41" s="1322" t="str">
        <f>IF(minergiea,"Strombedarf Hilfsbetriebe",IF(minergiep,"Grenzwert","Grenzwert ohne Zuschläge"))</f>
        <v>Grenzwert ohne Zuschläge</v>
      </c>
      <c r="C41" s="687"/>
      <c r="D41" s="687"/>
      <c r="E41" s="615"/>
      <c r="F41" s="50" t="s">
        <v>524</v>
      </c>
      <c r="G41" s="118">
        <f>IF(minergiea,IF(_EBF1&gt;0,Entrées!F43/_EBF1,0),IF(minergiep,Standardwerte!J74,MAX(IF(Neubau1=2,INDEX(Standardwerte!$P$9:$Q$21,Kategorie1,1),IF(Neubau1=3,INDEX(Standardwerte!$P$9:$Q$21,Kategorie1,2),0))-Standardwerte!J107,0)))</f>
        <v>0</v>
      </c>
      <c r="H41" s="118">
        <f>IF(minergiea,IF(_EBF2&gt;0,Entrées!G43/_EBF2,0),IF(minergiep,Standardwerte!J75,MAX(IF(Neubau2=2,INDEX(Standardwerte!$P$9:$Q$21,Kategorie2,1),IF(Neubau2=3,INDEX(Standardwerte!$P$9:$Q$21,Kategorie2,2),0))-Standardwerte!K107,0)))</f>
        <v>0</v>
      </c>
      <c r="I41" s="118">
        <f>IF(minergiea,IF(_EBF3&gt;0,Entrées!H43/_EBF3,0),IF(minergiep,Standardwerte!J76,MAX(IF(Neubau3=2,INDEX(Standardwerte!$P$9:$Q$21,Kategorie3,1),IF(Neubau3=3,INDEX(Standardwerte!$P$9:$Q$21,Kategorie3,2),0))-Standardwerte!L107,0)))</f>
        <v>0</v>
      </c>
      <c r="J41" s="118">
        <f>IF(minergiea,IF(_EBF4&gt;0,Entrées!I43/_EBF4,0),IF(minergiep,Standardwerte!J77,MAX(IF(Neubau4=2,INDEX(Standardwerte!$P$9:$Q$21,Kategorie4,1),IF(Neubau4=3,INDEX(Standardwerte!$P$9:$Q$21,Kategorie4,2),0))-Standardwerte!M107,0)))</f>
        <v>0</v>
      </c>
      <c r="K41" s="215"/>
      <c r="L41" s="129">
        <f>IF(EBF&gt;0,(G41*_EBF1+H41*_EBF2+I41*_EBF3+J41*_EBF4)/EBF,)</f>
        <v>0</v>
      </c>
      <c r="N41" s="96"/>
      <c r="O41" s="96"/>
      <c r="AJ41" s="862"/>
      <c r="AK41" s="1397"/>
      <c r="AL41" s="1398"/>
      <c r="AN41" s="1411"/>
    </row>
    <row r="42" spans="1:40" ht="2.25" hidden="1" customHeight="1">
      <c r="A42" s="1579" t="s">
        <v>414</v>
      </c>
      <c r="B42" s="1322"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7"/>
      <c r="AL42" s="1398"/>
      <c r="AN42" s="1411"/>
    </row>
    <row r="43" spans="1:40" ht="15.95" customHeight="1">
      <c r="A43" s="1579" t="s">
        <v>2910</v>
      </c>
      <c r="B43" s="1322" t="str">
        <f>IF(MUKEN,Uebersetzung!D279,Uebersetzung!D360)</f>
        <v>Valeur limite pour les besoins en énergie finale sans photovoltaïque</v>
      </c>
      <c r="C43" s="686"/>
      <c r="D43" s="686"/>
      <c r="E43" s="686"/>
      <c r="F43" s="50" t="s">
        <v>524</v>
      </c>
      <c r="G43" s="1305">
        <f>IF(MUKEN,IF(Neubau1=3,0,Standardwerte!N138),Standardwerte!N138+IF(AND(MUKEN=FALSE,Neubau1=3),Standardwerte!N139,0))</f>
        <v>0</v>
      </c>
      <c r="H43" s="1305">
        <f>IF(MUKEN,IF(Neubau2=3,0,Standardwerte!O138),Standardwerte!O138)+IF(AND(MUKEN=FALSE,Neubau2=3),Standardwerte!O139,0)</f>
        <v>0</v>
      </c>
      <c r="I43" s="1305">
        <f>IF(MUKEN,IF(Neubau3=3,0,Standardwerte!P138),Standardwerte!P138)+IF(AND(MUKEN=FALSE,Neubau3=3),Standardwerte!P139,0)</f>
        <v>0</v>
      </c>
      <c r="J43" s="1305">
        <f>IF(MUKEN,IF(Neubau4=3,0,Standardwerte!Q138),Standardwerte!Q138)+IF(AND(MUKEN=FALSE,Neubau4=3),Standardwerte!Q139,0)</f>
        <v>0</v>
      </c>
      <c r="K43" s="1304"/>
      <c r="L43" s="129">
        <f>IF(OR(EBF_MUKEN&gt;0,EBF&gt;0),(G43*_EBF1+H43*_EBF2+I43*_EBF3+J43*_EBF4)/IF(MUKEN,EBF_MUKEN,EBF),0)</f>
        <v>0</v>
      </c>
      <c r="N43" s="5" t="s">
        <v>3636</v>
      </c>
      <c r="O43" s="5"/>
      <c r="P43" s="5"/>
      <c r="AJ43" s="1402" t="s">
        <v>2238</v>
      </c>
      <c r="AK43" s="1397">
        <f>-THG_PV</f>
        <v>-0.13900000000000001</v>
      </c>
      <c r="AL43" s="1397">
        <f>IF(EBF&gt;0,AK43*MINERGIE!E55*MINERGIE!G55*(1-MINERGIE!I55)/EBF,0)</f>
        <v>0</v>
      </c>
      <c r="AM43" s="1404" t="s">
        <v>2553</v>
      </c>
      <c r="AN43" s="1447">
        <f>IF(AN7&gt;0,AN9*AN8+AN13*AN12+AN17*AN16+AN21*AN20+AN25*AN24,1)</f>
        <v>1</v>
      </c>
    </row>
    <row r="44" spans="1:40" ht="20.100000000000001" customHeight="1">
      <c r="A44" s="1579" t="s">
        <v>2911</v>
      </c>
      <c r="B44" s="1323" t="str">
        <f>Uebersetzung!D361</f>
        <v>Valeur limite pour l'indice Minergie MKZ</v>
      </c>
      <c r="C44" s="1306"/>
      <c r="D44" s="1306"/>
      <c r="E44" s="1306"/>
      <c r="F44" s="1307" t="s">
        <v>524</v>
      </c>
      <c r="G44" s="1308">
        <f>MINERGIE!V43</f>
        <v>0</v>
      </c>
      <c r="H44" s="1308">
        <f>MINERGIE!W43</f>
        <v>0</v>
      </c>
      <c r="I44" s="1308">
        <f>MINERGIE!X43</f>
        <v>0</v>
      </c>
      <c r="J44" s="1308">
        <f>MINERGIE!Y43</f>
        <v>0</v>
      </c>
      <c r="K44" s="1302"/>
      <c r="L44" s="1303">
        <f>IF(OR(EBF_MUKEN&gt;0,EBF&gt;0),(G44*_EBF1+H44*_EBF2+I44*_EBF3+J44*_EBF4)/EBF,0)</f>
        <v>0</v>
      </c>
      <c r="N44" s="759">
        <f>IF(AND(L24+J24=0,StrombedarfE+EndenergieE&gt;0),StrombedarfE*2+EndenergieE,0)</f>
        <v>0</v>
      </c>
      <c r="O44" s="892" t="s">
        <v>672</v>
      </c>
      <c r="P44" s="5"/>
      <c r="AJ44" s="1402" t="s">
        <v>2239</v>
      </c>
      <c r="AK44" s="1401">
        <f>THG_Strom</f>
        <v>0.13900000000000001</v>
      </c>
      <c r="AL44" s="1401">
        <f>(MINERGIE!S75-MINERGIE!S15-MINERGIE!S18+MINERGIE!S72)/2*AK44</f>
        <v>0</v>
      </c>
      <c r="AM44" s="1404" t="s">
        <v>2552</v>
      </c>
      <c r="AN44" s="1447">
        <f>IF(AN7&gt;0,AN10*AN8+AN14*AN12+AN18*AN16+AN22*AN20+AN27*AN24,1)</f>
        <v>1</v>
      </c>
    </row>
    <row r="45" spans="1:40" ht="21.95" customHeight="1">
      <c r="A45" s="1579"/>
      <c r="B45" s="941" t="str">
        <f>Uebersetzung!D280</f>
        <v>Production de chaleur:</v>
      </c>
      <c r="C45" s="688"/>
      <c r="D45" s="688"/>
      <c r="E45" s="219" t="s">
        <v>242</v>
      </c>
      <c r="F45" s="2215" t="str">
        <f>Uebersetzung!D283</f>
        <v>Pondération</v>
      </c>
      <c r="G45" s="2256" t="str">
        <f>Uebersetzung!D284</f>
        <v>Taux de couverture</v>
      </c>
      <c r="H45" s="2257"/>
      <c r="I45" s="2217" t="str">
        <f>Uebersetzung!D285</f>
        <v>Energie finale pondérée kWh/m2</v>
      </c>
      <c r="J45" s="2218"/>
      <c r="K45" s="105"/>
      <c r="L45" s="220" t="str">
        <f>Uebersetzung!D288</f>
        <v>Chaleur</v>
      </c>
      <c r="AK45" s="1394" t="s">
        <v>691</v>
      </c>
      <c r="AL45" s="1406">
        <f>SUM(AL4:AL44)</f>
        <v>0</v>
      </c>
      <c r="AN45" s="1449">
        <f>IF(AN7&gt;0,(AN9*AN5*AN8+AN10*AN8*AN6+AN13*AN12*AN5+AN14*AN12*AN6+AN17*AN16*AN5+AN18*AN16*AN6+AN21*AN20*AN5+AN22*AN20*AN6+AN25*AN24*AN5+AN27*AN24*AN6)/AN7,1)</f>
        <v>1</v>
      </c>
    </row>
    <row r="46" spans="1:40" ht="14.1" customHeight="1">
      <c r="A46" s="1579"/>
      <c r="B46" s="209" t="str">
        <f>Uebersetzung!D281</f>
        <v>(chauffage et eau chaude)</v>
      </c>
      <c r="C46" s="689"/>
      <c r="D46" s="689"/>
      <c r="E46" s="130" t="str">
        <f>Uebersetzung!D282</f>
        <v>ou COPa</v>
      </c>
      <c r="F46" s="2216"/>
      <c r="G46" s="218" t="str">
        <f>J7</f>
        <v>Chauffage</v>
      </c>
      <c r="H46" s="130" t="str">
        <f>L7</f>
        <v>Eau chaude</v>
      </c>
      <c r="I46" s="130" t="str">
        <f>Uebersetzung!D286</f>
        <v>Courant</v>
      </c>
      <c r="J46" s="130" t="str">
        <f>Uebersetzung!D287</f>
        <v>autre</v>
      </c>
      <c r="K46" s="103"/>
      <c r="L46" s="221" t="s">
        <v>160</v>
      </c>
      <c r="N46" s="725" t="s">
        <v>1832</v>
      </c>
      <c r="O46" s="1127" t="s">
        <v>1833</v>
      </c>
      <c r="R46" s="1827" t="s">
        <v>3645</v>
      </c>
    </row>
    <row r="47" spans="1:40" ht="15.95" customHeight="1">
      <c r="A47" s="1579" t="s">
        <v>2912</v>
      </c>
      <c r="B47" s="1321" t="str">
        <f>IF(_typ1=1,"",Standardwerte!U63)</f>
        <v/>
      </c>
      <c r="C47" s="685"/>
      <c r="D47" s="685"/>
      <c r="E47" s="270">
        <f>IF(WirkungsgradA&lt;&gt;"",IF(WirkungsgradA&gt;25,WirkungsgradA/100,WirkungsgradA),"")</f>
        <v>0</v>
      </c>
      <c r="F47" s="117">
        <f>_gew1</f>
        <v>0</v>
      </c>
      <c r="G47" s="1921">
        <f>IF(J8="",0,MIN(J8,IF(J9&lt;&gt;"",J9,J8))*S8)/100</f>
        <v>0</v>
      </c>
      <c r="H47" s="217">
        <f>IF(qw&gt;0,IF(L8="",0,MIN(L8,IF(L9&lt;&gt;"",L9,L8))*T8)/100,)</f>
        <v>0</v>
      </c>
      <c r="I47" s="623">
        <f>IF(Q8&lt;&gt;"",Q8*2,0)</f>
        <v>0</v>
      </c>
      <c r="J47" s="1922">
        <f>P8</f>
        <v>0</v>
      </c>
      <c r="K47" s="104"/>
      <c r="L47" s="225">
        <f>WaermebedarfA</f>
        <v>0</v>
      </c>
      <c r="N47" s="1132">
        <f>IF(E47&gt;0,G47*F47/E47,0)</f>
        <v>0</v>
      </c>
      <c r="O47" s="1135">
        <f>IF(E47&gt;0,H47*F47/E47,0)</f>
        <v>0</v>
      </c>
      <c r="R47" s="1835" t="s">
        <v>780</v>
      </c>
      <c r="S47" s="1836"/>
      <c r="T47" s="1837"/>
      <c r="U47" s="1832">
        <f>IF(EBF=0,0,G25/EBF)</f>
        <v>0</v>
      </c>
      <c r="V47" s="1834" t="s">
        <v>524</v>
      </c>
    </row>
    <row r="48" spans="1:40" ht="15.95" customHeight="1">
      <c r="A48" s="1579" t="s">
        <v>2913</v>
      </c>
      <c r="B48" s="1322" t="str">
        <f>IF(_typ2=1,"",Standardwerte!U64)</f>
        <v/>
      </c>
      <c r="C48" s="686"/>
      <c r="D48" s="686"/>
      <c r="E48" s="270">
        <f>IF(WirkungsgradB&lt;&gt;"",IF(WirkungsgradB&gt;25,WirkungsgradB/100,WirkungsgradB),"")</f>
        <v>0</v>
      </c>
      <c r="F48" s="117">
        <f>_gew2</f>
        <v>0</v>
      </c>
      <c r="G48" s="1923">
        <f>IF(J12="",0,MIN(J12,IF(J13&lt;&gt;"",J13,J12))*S12)/100</f>
        <v>0</v>
      </c>
      <c r="H48" s="217">
        <f>IF(qw&gt;0,IF(L12="",0,MIN(L12,IF(L13&lt;&gt;"",L13,L12))*T12)/100,)</f>
        <v>0</v>
      </c>
      <c r="I48" s="118">
        <f>IF(Q12&lt;&gt;"",Q12*2,0)</f>
        <v>0</v>
      </c>
      <c r="J48" s="1924">
        <f>P12</f>
        <v>0</v>
      </c>
      <c r="K48" s="104"/>
      <c r="L48" s="58">
        <f>WaermebedarfB</f>
        <v>0</v>
      </c>
      <c r="N48" s="1132">
        <f>IF(E48&gt;0,G48*F48/E48,0)</f>
        <v>0</v>
      </c>
      <c r="O48" s="1135">
        <f>IF(E48&gt;0,H48*F48/E48,0)</f>
        <v>0</v>
      </c>
      <c r="R48" s="1838" t="s">
        <v>781</v>
      </c>
      <c r="S48" s="103"/>
      <c r="T48" s="1839"/>
      <c r="U48" s="1833">
        <f>IF(EBF=0,0,G27/EBF)</f>
        <v>0</v>
      </c>
      <c r="V48" s="48" t="s">
        <v>524</v>
      </c>
    </row>
    <row r="49" spans="1:40" ht="15.95" customHeight="1">
      <c r="A49" s="1579" t="s">
        <v>2914</v>
      </c>
      <c r="B49" s="1322" t="str">
        <f>IF(_typ3=1,"",Standardwerte!U65)</f>
        <v/>
      </c>
      <c r="C49" s="686"/>
      <c r="D49" s="686"/>
      <c r="E49" s="270">
        <f>IF(WirkungsgradC&lt;&gt;"",IF(WirkungsgradC&gt;25,WirkungsgradC/100,WirkungsgradC),"")</f>
        <v>0</v>
      </c>
      <c r="F49" s="117">
        <f>_gew3</f>
        <v>0</v>
      </c>
      <c r="G49" s="1923">
        <f>IF(J16="",0,MIN(J16,IF(J17&lt;&gt;"",J17,J16))*S16)/100</f>
        <v>0</v>
      </c>
      <c r="H49" s="217">
        <f>IF(qw&gt;0,IF(L16="",0,MIN(L16,IF(L17&lt;&gt;"",L17,L16))*T16)/100,)</f>
        <v>0</v>
      </c>
      <c r="I49" s="118">
        <f>IF(Q16&lt;&gt;"",Q16*2,0)</f>
        <v>0</v>
      </c>
      <c r="J49" s="1924">
        <f>P16</f>
        <v>0</v>
      </c>
      <c r="K49" s="104"/>
      <c r="L49" s="58">
        <f>WaermebedarfC</f>
        <v>0</v>
      </c>
      <c r="N49" s="1132">
        <f>IF(E49&gt;0,G49*F49/E49,0)</f>
        <v>0</v>
      </c>
      <c r="O49" s="1135">
        <f>IF(E49&gt;0,H49*F49/E49,0)</f>
        <v>0</v>
      </c>
    </row>
    <row r="50" spans="1:40" ht="15.95" customHeight="1">
      <c r="A50" s="1579" t="s">
        <v>2915</v>
      </c>
      <c r="B50" s="1322" t="str">
        <f>IF(_typ4=1,"",Standardwerte!U66)</f>
        <v/>
      </c>
      <c r="C50" s="686"/>
      <c r="D50" s="686"/>
      <c r="E50" s="270">
        <f>IF(WirkungsgradD&lt;&gt;"",IF(WirkungsgradD&gt;25,WirkungsgradD/100,WirkungsgradD),"")</f>
        <v>0</v>
      </c>
      <c r="F50" s="117">
        <f>_gew4</f>
        <v>0</v>
      </c>
      <c r="G50" s="1923">
        <f>IF(J20="",0,MIN(J20,IF(J21&lt;&gt;"",J21,J20))*S20)/100</f>
        <v>0</v>
      </c>
      <c r="H50" s="217">
        <f>IF(qw&gt;0,IF(L20="",0,MIN(L20,IF(L21&lt;&gt;"",L21,L20))*T20)/100,)</f>
        <v>0</v>
      </c>
      <c r="I50" s="118">
        <f>IF(Q20&lt;&gt;"",Q20*2,0)</f>
        <v>0</v>
      </c>
      <c r="J50" s="1924">
        <f>P20</f>
        <v>0</v>
      </c>
      <c r="K50" s="104"/>
      <c r="L50" s="58">
        <f>WaermebedarfD</f>
        <v>0</v>
      </c>
      <c r="N50" s="1132">
        <f>IF(E50&gt;0,G50*F50/E50,0)</f>
        <v>0</v>
      </c>
      <c r="O50" s="1135">
        <f>IF(E50&gt;0,H50*F50/E50,0)</f>
        <v>0</v>
      </c>
    </row>
    <row r="51" spans="1:40" ht="15.95" customHeight="1">
      <c r="A51" s="1579" t="s">
        <v>2916</v>
      </c>
      <c r="B51" s="1322" t="str">
        <f>IF(B24&lt;&gt;"",B24,IF(OR(J24&lt;&gt;"",L24&lt;&gt;""),Uebersetzung!D300,""))</f>
        <v/>
      </c>
      <c r="C51" s="686"/>
      <c r="D51" s="686"/>
      <c r="E51" s="270"/>
      <c r="F51" s="234"/>
      <c r="G51" s="1923" t="str">
        <f>IF(B51="","",J24/100)</f>
        <v/>
      </c>
      <c r="H51" s="217">
        <f>IF(qw&gt;0,IF(B51="","",L24/100),)</f>
        <v>0</v>
      </c>
      <c r="I51" s="118">
        <f>StrombedarfE*2</f>
        <v>0</v>
      </c>
      <c r="J51" s="1925">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9" t="s">
        <v>2917</v>
      </c>
      <c r="B52" s="1322" t="str">
        <f>Uebersetzung!D289</f>
        <v>Besoin d'électricité ventilation</v>
      </c>
      <c r="C52" s="686"/>
      <c r="D52" s="686"/>
      <c r="E52" s="117"/>
      <c r="F52" s="117">
        <f>IF(EBF&gt;0,2,)</f>
        <v>0</v>
      </c>
      <c r="G52" s="1930"/>
      <c r="H52" s="117"/>
      <c r="I52" s="118">
        <f>IF(ISERROR(Qe*F52),,Qe*F52)</f>
        <v>0</v>
      </c>
      <c r="J52" s="1925"/>
      <c r="K52" s="104"/>
      <c r="L52" s="58"/>
      <c r="N52" s="1126">
        <f>SUM(N47:N51)</f>
        <v>0</v>
      </c>
      <c r="O52" s="1126">
        <f>SUM(O47:O51)</f>
        <v>0</v>
      </c>
    </row>
    <row r="53" spans="1:40" ht="15.95" customHeight="1">
      <c r="A53" s="1579" t="s">
        <v>2918</v>
      </c>
      <c r="B53" s="1322" t="str">
        <f>IF(OR(minergiep,minergiea),Uebersetzung!D290,Uebersetzung!D291)</f>
        <v>Electricité climatisation + auxiliaires</v>
      </c>
      <c r="C53" s="686"/>
      <c r="D53" s="686"/>
      <c r="E53" s="117"/>
      <c r="F53" s="222">
        <f>IF(E_Qk=0,0,2)</f>
        <v>0</v>
      </c>
      <c r="G53" s="1930"/>
      <c r="H53" s="1931"/>
      <c r="I53" s="118">
        <f>E_Qk*F53</f>
        <v>0</v>
      </c>
      <c r="J53" s="1925"/>
      <c r="K53" s="104"/>
      <c r="L53" s="226"/>
    </row>
    <row r="54" spans="1:40" ht="15.95" customHeight="1">
      <c r="A54" s="1579" t="s">
        <v>2919</v>
      </c>
      <c r="B54" s="695" t="str">
        <f>Uebersetzung!D292</f>
        <v>Total:</v>
      </c>
      <c r="C54" s="1926"/>
      <c r="D54" s="1926"/>
      <c r="E54" s="1932"/>
      <c r="F54" s="224"/>
      <c r="G54" s="1927">
        <f>SUM(G47:G53)</f>
        <v>0</v>
      </c>
      <c r="H54" s="1927">
        <f>SUM(H47:H53)</f>
        <v>0</v>
      </c>
      <c r="I54" s="1928">
        <f>SUM(I47:I53)</f>
        <v>0</v>
      </c>
      <c r="J54" s="1928">
        <f>SUM(J47:J53)</f>
        <v>0</v>
      </c>
      <c r="K54" s="1933"/>
      <c r="L54" s="1929">
        <f>SUM(L47:L53)</f>
        <v>0</v>
      </c>
      <c r="M54" s="1582"/>
      <c r="N54" s="721"/>
      <c r="O54" s="721"/>
      <c r="P54" s="615"/>
      <c r="Q54" s="615"/>
      <c r="R54" s="615"/>
      <c r="S54" s="615"/>
      <c r="T54" s="615"/>
      <c r="U54" s="615"/>
      <c r="V54" s="615"/>
      <c r="W54" s="615"/>
      <c r="X54" s="615"/>
      <c r="Y54" s="615"/>
      <c r="Z54" s="615"/>
      <c r="AA54" s="615"/>
      <c r="AB54" s="615"/>
      <c r="AC54" s="615"/>
    </row>
    <row r="55" spans="1:40" s="615" customFormat="1" ht="3.95" customHeight="1">
      <c r="A55" s="1564"/>
      <c r="F55" s="720"/>
      <c r="G55" s="2255"/>
      <c r="H55" s="2255"/>
      <c r="M55" s="1580"/>
      <c r="N55" s="121"/>
      <c r="O55" s="121"/>
      <c r="P55" s="96"/>
      <c r="Q55" s="96"/>
      <c r="R55" s="96"/>
      <c r="S55" s="96"/>
      <c r="T55" s="96"/>
      <c r="U55" s="96"/>
      <c r="V55" s="96"/>
      <c r="W55" s="96"/>
      <c r="X55" s="96"/>
      <c r="Y55" s="96"/>
      <c r="Z55" s="96"/>
      <c r="AA55" s="96"/>
      <c r="AB55" s="96"/>
      <c r="AC55" s="96"/>
      <c r="AD55" s="1392"/>
      <c r="AE55" s="1392"/>
      <c r="AF55" s="1392"/>
      <c r="AG55" s="1392"/>
      <c r="AH55" s="1392"/>
      <c r="AI55" s="1392"/>
      <c r="AN55" s="1392"/>
    </row>
    <row r="56" spans="1:40" ht="20.100000000000001" customHeight="1">
      <c r="A56" s="1579"/>
      <c r="B56" s="601" t="str">
        <f>Uebersetzung!D293</f>
        <v>Respect des exigences:</v>
      </c>
      <c r="C56" s="684"/>
      <c r="D56" s="684"/>
      <c r="E56" s="124"/>
      <c r="F56" s="124"/>
      <c r="G56" s="2222" t="str">
        <f>Uebersetzung!D294</f>
        <v>Exigences</v>
      </c>
      <c r="H56" s="2223"/>
      <c r="I56" s="2222" t="str">
        <f>Uebersetzung!D295</f>
        <v>Valeur calculée</v>
      </c>
      <c r="J56" s="2276"/>
      <c r="K56" s="132"/>
      <c r="L56" s="630" t="str">
        <f>Uebersetzung!D299</f>
        <v>Respectée?</v>
      </c>
      <c r="O56" s="369"/>
    </row>
    <row r="57" spans="1:40" ht="20.100000000000001" hidden="1" customHeight="1">
      <c r="A57" s="1579"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Entrées!F19+Primaer2*_qhs2*Entrées!G19+Primaer3*_qhs3*Entrées!H19+Primaer4*_qhs4*Entrées!I19)/(Primaer1*Entrées!F19+Primaer2*Entrées!G19+Primaer3*Entrées!H19+Primaer4*Entrées!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8" t="s">
        <v>931</v>
      </c>
      <c r="B58" s="69" t="str">
        <f>IF(MUKEN,Uebersetzung!D298,Uebersetzung!D360)</f>
        <v>Valeur limite pour les besoins en énergie finale sans photovoltaïque</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83"/>
      <c r="N58" s="969">
        <f>IF(L58=Standardwerte!AA48,1,2)</f>
        <v>2</v>
      </c>
    </row>
    <row r="59" spans="1:40" ht="20.100000000000001" customHeight="1">
      <c r="A59" s="1588" t="s">
        <v>932</v>
      </c>
      <c r="B59" s="2227" t="str">
        <f>Uebersetzung!D478</f>
        <v>Indice Minergie (MKZ)</v>
      </c>
      <c r="C59" s="2228"/>
      <c r="D59" s="2228"/>
      <c r="E59" s="2228"/>
      <c r="F59" s="2229"/>
      <c r="G59" s="1291">
        <f>MINERGIE!Z43</f>
        <v>0</v>
      </c>
      <c r="H59" s="1112" t="s">
        <v>584</v>
      </c>
      <c r="I59" s="1291">
        <f>MINERGIE!S75</f>
        <v>0</v>
      </c>
      <c r="J59" s="1112" t="s">
        <v>584</v>
      </c>
      <c r="K59" s="1020"/>
      <c r="L59" s="782" t="str">
        <f>IF(AND(G59&lt;&gt;0,I59&lt;&gt;0),IF(ROUND(I59,1)&lt;=ROUND(G59,1),Uebersetzung!D25,Uebersetzung!D26),"")</f>
        <v/>
      </c>
      <c r="M59" s="1583"/>
      <c r="N59" s="942" t="b">
        <f>IF(L60=O2,TRUE,FALSE)</f>
        <v>0</v>
      </c>
    </row>
    <row r="60" spans="1:40" ht="20.100000000000001" customHeight="1">
      <c r="A60" s="1588" t="s">
        <v>2920</v>
      </c>
      <c r="B60" s="1558" t="str">
        <f>Uebersetzung!D307</f>
        <v>Eau chaude avec min. 20% d'énergie renouvelable (pour restaurants, installations sportives, piscines couvertes)</v>
      </c>
      <c r="C60" s="14"/>
      <c r="D60" s="14"/>
      <c r="E60" s="14"/>
      <c r="F60" s="14"/>
      <c r="G60" s="14"/>
      <c r="H60" s="14"/>
      <c r="I60" s="14"/>
      <c r="J60" s="14"/>
      <c r="K60" s="14"/>
      <c r="L60" s="1018" t="s">
        <v>120</v>
      </c>
      <c r="N60" s="969">
        <f>IF(N59,1,2)</f>
        <v>2</v>
      </c>
    </row>
    <row r="61" spans="1:40" ht="20.100000000000001" customHeight="1">
      <c r="B61" s="676" t="str">
        <f>Uebersetzung!D301</f>
        <v>Annexes (déposer toute celles de la colonne de gauche)</v>
      </c>
      <c r="C61" s="690"/>
      <c r="D61" s="690"/>
      <c r="E61" s="677"/>
      <c r="F61" s="970"/>
      <c r="G61" s="759"/>
      <c r="H61" s="691" t="s">
        <v>776</v>
      </c>
      <c r="I61" s="679" t="str">
        <f>Uebersetzung!D302</f>
        <v>Marquer d'une croix ce qui convient</v>
      </c>
      <c r="J61" s="1016"/>
      <c r="K61" s="678"/>
      <c r="L61" s="892"/>
    </row>
    <row r="62" spans="1:40" ht="9.9499999999999993" hidden="1" customHeight="1">
      <c r="A62" s="1579"/>
      <c r="B62" s="2224"/>
      <c r="C62" s="2225"/>
      <c r="D62" s="2225"/>
      <c r="E62" s="2225"/>
      <c r="F62" s="2225"/>
      <c r="G62" s="2225"/>
      <c r="H62" s="151"/>
      <c r="I62" s="151"/>
      <c r="J62" s="151"/>
      <c r="K62" s="151"/>
      <c r="L62" s="606"/>
      <c r="M62" s="1582"/>
    </row>
    <row r="63" spans="1:40" ht="18.95" customHeight="1">
      <c r="A63" s="1579" t="s">
        <v>2921</v>
      </c>
      <c r="B63" s="905" t="s">
        <v>776</v>
      </c>
      <c r="C63" s="2268" t="str">
        <f>Uebersetzung!D303</f>
        <v>Schéma chauffage et ventilation</v>
      </c>
      <c r="D63" s="2268"/>
      <c r="E63" s="2268"/>
      <c r="F63" s="2268"/>
      <c r="G63" s="905"/>
      <c r="H63" s="2277"/>
      <c r="I63" s="2277"/>
      <c r="J63" s="2277"/>
      <c r="K63" s="2277"/>
      <c r="L63" s="2278"/>
      <c r="M63" s="1582"/>
      <c r="N63" s="759" t="s">
        <v>3874</v>
      </c>
      <c r="O63" s="418"/>
      <c r="P63" s="1903" t="b">
        <f>AND(AND(DeckungsgradHeizung&gt;99.8,DeckungsgradHeizung&lt;100.2),IF(qw&gt;0,AND(DeckungsgradWW&gt;99.8,DeckungsgradWW&lt;100.2),TRUE))</f>
        <v>0</v>
      </c>
    </row>
    <row r="64" spans="1:40" ht="18.95" customHeight="1">
      <c r="A64" s="1579" t="s">
        <v>2922</v>
      </c>
      <c r="B64" s="906" t="s">
        <v>776</v>
      </c>
      <c r="C64" s="2226" t="str">
        <f>Uebersetzung!D304</f>
        <v>Calculs externes et fiches techniques</v>
      </c>
      <c r="D64" s="2226"/>
      <c r="E64" s="2226"/>
      <c r="F64" s="2226"/>
      <c r="G64" s="906"/>
      <c r="H64" s="2269"/>
      <c r="I64" s="2269"/>
      <c r="J64" s="2269"/>
      <c r="K64" s="2269"/>
      <c r="L64" s="2270"/>
      <c r="M64" s="1582"/>
    </row>
    <row r="65" spans="1:13" ht="18.95" hidden="1" customHeight="1">
      <c r="A65" s="1579" t="s">
        <v>426</v>
      </c>
      <c r="B65" s="645" t="s">
        <v>771</v>
      </c>
      <c r="C65" s="672"/>
      <c r="D65" s="672"/>
      <c r="E65" s="102"/>
      <c r="F65" s="102"/>
      <c r="G65" s="646"/>
      <c r="H65" s="128"/>
      <c r="I65" s="8" t="s">
        <v>775</v>
      </c>
      <c r="J65" s="8"/>
      <c r="K65" s="8"/>
      <c r="L65" s="644"/>
      <c r="M65" s="1582"/>
    </row>
    <row r="66" spans="1:13" ht="18.95" hidden="1" customHeight="1">
      <c r="A66" s="1579" t="s">
        <v>427</v>
      </c>
      <c r="B66" s="2273" t="s">
        <v>773</v>
      </c>
      <c r="C66" s="2274"/>
      <c r="D66" s="2274"/>
      <c r="E66" s="2274"/>
      <c r="F66" s="2274"/>
      <c r="G66" s="2275"/>
      <c r="H66" s="128"/>
      <c r="I66" s="8" t="s">
        <v>760</v>
      </c>
      <c r="J66" s="8"/>
      <c r="K66" s="8"/>
      <c r="L66" s="644"/>
      <c r="M66" s="1582"/>
    </row>
    <row r="67" spans="1:13" ht="18.95" hidden="1" customHeight="1">
      <c r="A67" s="1579" t="s">
        <v>428</v>
      </c>
      <c r="B67" s="2252"/>
      <c r="C67" s="2253"/>
      <c r="D67" s="2253"/>
      <c r="E67" s="2253"/>
      <c r="F67" s="2253"/>
      <c r="G67" s="2254"/>
      <c r="H67" s="128"/>
      <c r="I67" s="8"/>
      <c r="J67" s="8"/>
      <c r="K67" s="8"/>
      <c r="L67" s="644"/>
      <c r="M67" s="1582"/>
    </row>
    <row r="68" spans="1:13" ht="20.100000000000001" hidden="1" customHeight="1">
      <c r="A68" s="1579" t="s">
        <v>429</v>
      </c>
      <c r="B68" s="2252" t="s">
        <v>761</v>
      </c>
      <c r="C68" s="2253"/>
      <c r="D68" s="2253"/>
      <c r="E68" s="2253"/>
      <c r="F68" s="2253"/>
      <c r="G68" s="2254"/>
      <c r="H68" s="150"/>
      <c r="I68" s="2271"/>
      <c r="J68" s="2271"/>
      <c r="K68" s="2271"/>
      <c r="L68" s="2272"/>
      <c r="M68" s="1582"/>
    </row>
    <row r="69" spans="1:13" ht="15.95" hidden="1" customHeight="1">
      <c r="A69" s="1579"/>
      <c r="B69" s="631"/>
      <c r="C69" s="631"/>
      <c r="D69" s="631"/>
      <c r="E69" s="631"/>
      <c r="F69" s="631"/>
      <c r="G69" s="631"/>
      <c r="H69" s="631"/>
      <c r="I69" s="631"/>
      <c r="J69" s="631"/>
      <c r="K69" s="631"/>
      <c r="L69" s="631"/>
      <c r="M69" s="1582"/>
    </row>
    <row r="70" spans="1:13" ht="6" hidden="1" customHeight="1">
      <c r="A70" s="1579"/>
      <c r="E70" s="608"/>
      <c r="F70" s="608"/>
      <c r="G70" s="608"/>
      <c r="H70" s="102"/>
      <c r="I70" s="608"/>
      <c r="J70" s="608"/>
      <c r="K70" s="608"/>
      <c r="L70" s="608"/>
      <c r="M70" s="1582"/>
    </row>
    <row r="71" spans="1:13" ht="12.95" hidden="1" customHeight="1">
      <c r="A71" s="1579"/>
      <c r="B71" s="607" t="s">
        <v>762</v>
      </c>
      <c r="C71" s="607"/>
      <c r="D71" s="609" t="s">
        <v>763</v>
      </c>
      <c r="E71" s="608"/>
      <c r="F71" s="608"/>
      <c r="G71" s="608"/>
      <c r="H71" s="609" t="s">
        <v>764</v>
      </c>
      <c r="J71" s="610"/>
      <c r="K71" s="608"/>
      <c r="L71" s="608"/>
      <c r="M71" s="1582"/>
    </row>
    <row r="72" spans="1:13" ht="12.95" hidden="1" customHeight="1">
      <c r="A72" s="1579"/>
      <c r="B72" s="608"/>
      <c r="C72" s="608"/>
      <c r="D72" s="611"/>
      <c r="E72" s="608"/>
      <c r="F72" s="608"/>
      <c r="G72" s="608"/>
      <c r="H72" s="271" t="s">
        <v>765</v>
      </c>
      <c r="J72" s="610"/>
      <c r="K72" s="608"/>
      <c r="L72" s="608"/>
      <c r="M72" s="1582"/>
    </row>
    <row r="73" spans="1:13" ht="8.1" hidden="1" customHeight="1">
      <c r="A73" s="1579"/>
      <c r="B73" s="608"/>
      <c r="C73" s="608"/>
      <c r="D73" s="611"/>
      <c r="E73" s="608"/>
      <c r="F73" s="608"/>
      <c r="G73" s="608"/>
      <c r="H73" s="611"/>
      <c r="J73" s="610"/>
      <c r="K73" s="608"/>
      <c r="L73" s="608"/>
      <c r="M73" s="1582"/>
    </row>
    <row r="74" spans="1:13" ht="12.75" hidden="1" customHeight="1">
      <c r="A74" s="1579"/>
      <c r="B74" s="612" t="s">
        <v>766</v>
      </c>
      <c r="C74" s="612"/>
      <c r="D74" s="2264"/>
      <c r="E74" s="2265"/>
      <c r="F74" s="2265"/>
      <c r="G74" s="2266"/>
      <c r="H74" s="2264"/>
      <c r="I74" s="2265"/>
      <c r="J74" s="2265"/>
      <c r="K74" s="2265"/>
      <c r="L74" s="2265"/>
      <c r="M74" s="1582"/>
    </row>
    <row r="75" spans="1:13" ht="12.75" hidden="1" customHeight="1">
      <c r="A75" s="1579"/>
      <c r="B75" s="612" t="s">
        <v>767</v>
      </c>
      <c r="C75" s="612"/>
      <c r="D75" s="2264"/>
      <c r="E75" s="2265"/>
      <c r="F75" s="2265"/>
      <c r="G75" s="2266"/>
      <c r="H75" s="2264"/>
      <c r="I75" s="2265"/>
      <c r="J75" s="2265"/>
      <c r="K75" s="2265"/>
      <c r="L75" s="2265"/>
      <c r="M75" s="1582"/>
    </row>
    <row r="76" spans="1:13" ht="12.75" hidden="1" customHeight="1">
      <c r="B76" s="608"/>
      <c r="C76" s="608"/>
      <c r="D76" s="2203"/>
      <c r="E76" s="2204"/>
      <c r="F76" s="2204"/>
      <c r="G76" s="2267"/>
      <c r="H76" s="2203"/>
      <c r="I76" s="2204"/>
      <c r="J76" s="2204"/>
      <c r="K76" s="2204"/>
      <c r="L76" s="2204"/>
      <c r="M76" s="1582"/>
    </row>
    <row r="77" spans="1:13" ht="6.75" hidden="1" customHeight="1">
      <c r="B77" s="608"/>
      <c r="C77" s="608"/>
      <c r="D77" s="611"/>
      <c r="E77" s="608"/>
      <c r="F77" s="608"/>
      <c r="G77" s="608"/>
      <c r="H77" s="611"/>
      <c r="I77" s="693"/>
      <c r="J77" s="610"/>
      <c r="K77" s="608"/>
      <c r="L77" s="608"/>
      <c r="M77" s="1582"/>
    </row>
    <row r="78" spans="1:13" ht="15.75" hidden="1" customHeight="1">
      <c r="A78" s="1579"/>
      <c r="B78" s="612" t="s">
        <v>768</v>
      </c>
      <c r="C78" s="612"/>
      <c r="D78" s="2203"/>
      <c r="E78" s="2204"/>
      <c r="F78" s="2204"/>
      <c r="G78" s="2267"/>
      <c r="H78" s="2203"/>
      <c r="I78" s="2204"/>
      <c r="J78" s="2204"/>
      <c r="K78" s="2204"/>
      <c r="L78" s="2204"/>
      <c r="M78" s="1582"/>
    </row>
    <row r="79" spans="1:13" ht="18" hidden="1" customHeight="1">
      <c r="A79" s="1579"/>
      <c r="B79" s="612" t="s">
        <v>769</v>
      </c>
      <c r="C79" s="612"/>
      <c r="D79" s="2258"/>
      <c r="E79" s="2259"/>
      <c r="F79" s="2259"/>
      <c r="G79" s="2260"/>
      <c r="H79" s="2258"/>
      <c r="I79" s="2259"/>
      <c r="J79" s="2259"/>
      <c r="K79" s="2259"/>
      <c r="L79" s="2259"/>
      <c r="M79" s="1582"/>
    </row>
    <row r="80" spans="1:13" ht="0.95" hidden="1" customHeight="1">
      <c r="A80" s="1579"/>
      <c r="B80" s="608"/>
      <c r="C80" s="608"/>
      <c r="D80" s="2261"/>
      <c r="E80" s="2262"/>
      <c r="F80" s="2262"/>
      <c r="G80" s="2263"/>
      <c r="H80" s="2261"/>
      <c r="I80" s="2262"/>
      <c r="J80" s="2262"/>
      <c r="K80" s="2262"/>
      <c r="L80" s="2262"/>
      <c r="M80" s="1582"/>
    </row>
    <row r="81" spans="1:13" ht="3.75" hidden="1" customHeight="1">
      <c r="A81" s="1579"/>
      <c r="B81" s="608"/>
      <c r="C81" s="608"/>
      <c r="D81" s="608"/>
      <c r="E81" s="608"/>
      <c r="F81" s="608"/>
      <c r="G81" s="694"/>
      <c r="H81" s="694"/>
      <c r="I81" s="694"/>
      <c r="J81" s="608"/>
      <c r="K81" s="608"/>
      <c r="L81" s="608"/>
      <c r="M81" s="1582"/>
    </row>
    <row r="82" spans="1:13" ht="18" hidden="1" customHeight="1">
      <c r="A82" s="1579"/>
      <c r="B82" s="612" t="s">
        <v>770</v>
      </c>
      <c r="C82" s="608"/>
      <c r="D82" s="685" t="s">
        <v>778</v>
      </c>
      <c r="E82" s="692" t="s">
        <v>776</v>
      </c>
      <c r="F82" s="608"/>
      <c r="G82" s="674" t="s">
        <v>779</v>
      </c>
      <c r="H82" s="1966"/>
      <c r="I82" s="1966"/>
      <c r="J82" s="1966"/>
      <c r="K82" s="1966"/>
      <c r="L82" s="1966"/>
      <c r="M82" s="1582"/>
    </row>
    <row r="83" spans="1:13" ht="3" hidden="1" customHeight="1">
      <c r="A83" s="1579"/>
      <c r="B83" s="613"/>
      <c r="C83" s="613"/>
      <c r="D83" s="613"/>
      <c r="E83" s="613"/>
      <c r="F83" s="613"/>
      <c r="G83" s="613"/>
      <c r="H83" s="613"/>
      <c r="I83" s="613"/>
      <c r="J83" s="613"/>
      <c r="K83" s="613"/>
      <c r="L83" s="613"/>
    </row>
    <row r="84" spans="1:13" ht="9.9499999999999993" customHeight="1">
      <c r="B84" s="2251">
        <f ca="1">NOW()</f>
        <v>44187.699461342592</v>
      </c>
      <c r="C84" s="2251"/>
      <c r="D84" s="2251"/>
      <c r="L84" s="787" t="str">
        <f>Entrées!C8&amp;" / "&amp;Entrées!C7&amp;" / "&amp;Entrées!H7&amp;" / "&amp;Entrées!J7&amp;" / "&amp;Entrées!J8&amp;" / "&amp;Entrées!G55&amp;" / "&amp;Entrées!G57</f>
        <v xml:space="preserve"> /  /  /  /  /  / </v>
      </c>
    </row>
    <row r="86" spans="1:13" hidden="1">
      <c r="B86" s="759" t="s">
        <v>1835</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27" t="s">
        <v>1696</v>
      </c>
      <c r="C87" s="2228"/>
      <c r="D87" s="2228"/>
      <c r="E87" s="2228"/>
      <c r="F87" s="2229"/>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algorithmName="SHA-512" hashValue="Nqr3UKmdGka0QhCj245XWIQCrbAiqK8QwuGF+gLyUBfINTpYaqCdvcS3oTlBiCwHiilt4thA8Hd9KFjNtz9ViQ==" saltValue="3lIbbDmMk/SWjIXmSi2tYw==" spinCount="100000"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90" customWidth="1"/>
    <col min="2" max="2" width="20.7109375" style="1266" customWidth="1"/>
    <col min="3" max="3" width="10.7109375" style="1266" customWidth="1"/>
    <col min="4" max="4" width="8.7109375" style="1266" customWidth="1"/>
    <col min="5" max="5" width="6.7109375" style="1266" customWidth="1"/>
    <col min="6" max="9" width="11.7109375" style="1266" customWidth="1"/>
    <col min="10" max="10" width="0.7109375" style="1266" customWidth="1"/>
    <col min="11" max="11" width="10.7109375" style="1266" customWidth="1"/>
    <col min="12" max="12" width="11.42578125" style="1332"/>
    <col min="13" max="13" width="23.42578125" style="1532" customWidth="1"/>
    <col min="14" max="14" width="6.28515625" style="1532" customWidth="1"/>
    <col min="15" max="15" width="8" style="1532" customWidth="1"/>
    <col min="16" max="16" width="17.85546875" style="1532" customWidth="1"/>
    <col min="17" max="20" width="11.42578125" style="1532"/>
    <col min="21" max="22" width="11.42578125" style="1831"/>
    <col min="23" max="24" width="11.42578125" style="1332"/>
    <col min="25" max="16384" width="11.42578125" style="1266"/>
  </cols>
  <sheetData>
    <row r="1" spans="1:24" s="5" customFormat="1" ht="9.9499999999999993" customHeight="1">
      <c r="A1" s="1564"/>
      <c r="B1" s="1376" t="str">
        <f>MOP!A3</f>
        <v>2021.1</v>
      </c>
      <c r="C1" s="3"/>
      <c r="D1" s="3"/>
      <c r="E1" s="341"/>
      <c r="F1" s="3"/>
      <c r="G1" s="3"/>
      <c r="H1" s="3"/>
      <c r="I1" s="158"/>
      <c r="J1" s="3"/>
      <c r="K1" s="1379" t="str">
        <f>Uebersetzung!D5</f>
        <v>Formulaire MINERGIE 2021.1, à utiliser jusqu'au 31 décembre 2021</v>
      </c>
      <c r="L1" s="812"/>
      <c r="M1" s="1526"/>
      <c r="N1" s="1333"/>
      <c r="O1" s="1333"/>
      <c r="P1" s="1333"/>
      <c r="Q1" s="1333"/>
      <c r="R1" s="1333"/>
      <c r="S1" s="1333"/>
      <c r="T1" s="1333"/>
      <c r="U1" s="1828"/>
      <c r="V1" s="1828"/>
      <c r="W1" s="813"/>
      <c r="X1" s="813"/>
    </row>
    <row r="2" spans="1:24" s="5" customFormat="1" ht="17.100000000000001" customHeight="1">
      <c r="A2" s="1564"/>
      <c r="B2" s="1251"/>
      <c r="C2" s="1252"/>
      <c r="D2" s="1253"/>
      <c r="E2" s="1251"/>
      <c r="F2" s="1253"/>
      <c r="G2" s="2305" t="str">
        <f>Uebersetzung!D318</f>
        <v>Aperçu</v>
      </c>
      <c r="H2" s="2306"/>
      <c r="I2" s="2306"/>
      <c r="J2" s="2306"/>
      <c r="K2" s="2307"/>
      <c r="L2" s="812"/>
      <c r="M2" s="1526"/>
      <c r="N2" s="1333"/>
      <c r="O2" s="1333"/>
      <c r="P2" s="1333"/>
      <c r="Q2" s="1333"/>
      <c r="R2" s="1333"/>
      <c r="S2" s="1333"/>
      <c r="T2" s="1333"/>
      <c r="U2" s="1828"/>
      <c r="V2" s="1828"/>
      <c r="W2" s="813"/>
      <c r="X2" s="813"/>
    </row>
    <row r="3" spans="1:24" s="5" customFormat="1" ht="17.100000000000001" customHeight="1">
      <c r="A3" s="1564"/>
      <c r="B3" s="1254"/>
      <c r="C3" s="1255"/>
      <c r="D3" s="1256"/>
      <c r="E3" s="1257"/>
      <c r="F3" s="1258"/>
      <c r="G3" s="2308" t="str">
        <f>Uebersetzung!D376</f>
        <v>justificatif Minergie</v>
      </c>
      <c r="H3" s="2309"/>
      <c r="I3" s="2309"/>
      <c r="J3" s="2309"/>
      <c r="K3" s="2310"/>
      <c r="L3" s="812"/>
      <c r="M3" s="1526"/>
      <c r="N3" s="1333"/>
      <c r="O3" s="1333"/>
      <c r="P3" s="1333"/>
      <c r="Q3" s="1333"/>
      <c r="R3" s="1333"/>
      <c r="S3" s="1333"/>
      <c r="T3" s="1333"/>
      <c r="U3" s="1828"/>
      <c r="V3" s="1828"/>
      <c r="W3" s="813"/>
      <c r="X3" s="813"/>
    </row>
    <row r="4" spans="1:24" s="5" customFormat="1" ht="9.9499999999999993" customHeight="1">
      <c r="A4" s="1564"/>
      <c r="B4" s="1259"/>
      <c r="C4" s="901"/>
      <c r="D4" s="1260"/>
      <c r="E4" s="1259"/>
      <c r="F4" s="1260"/>
      <c r="G4" s="1261"/>
      <c r="H4" s="1262"/>
      <c r="I4" s="1262"/>
      <c r="J4" s="1262"/>
      <c r="K4" s="1263"/>
      <c r="L4" s="812"/>
      <c r="M4" s="1526"/>
      <c r="N4" s="1333"/>
      <c r="O4" s="1333"/>
      <c r="P4" s="1333"/>
      <c r="Q4" s="1333"/>
      <c r="R4" s="1333"/>
      <c r="S4" s="1333"/>
      <c r="T4" s="1333"/>
      <c r="U4" s="1828"/>
      <c r="V4" s="1828"/>
      <c r="W4" s="813"/>
      <c r="X4" s="813"/>
    </row>
    <row r="5" spans="1:24" s="5" customFormat="1" ht="9.9499999999999993" customHeight="1">
      <c r="A5" s="1564"/>
      <c r="B5" s="3"/>
      <c r="C5" s="3"/>
      <c r="D5" s="3"/>
      <c r="E5" s="341"/>
      <c r="F5" s="3"/>
      <c r="G5" s="3"/>
      <c r="H5" s="3"/>
      <c r="I5" s="158"/>
      <c r="J5" s="3"/>
      <c r="K5" s="4"/>
      <c r="L5" s="812"/>
      <c r="M5" s="1526"/>
      <c r="N5" s="1333"/>
      <c r="O5" s="1333"/>
      <c r="P5" s="1333"/>
      <c r="Q5" s="1333"/>
      <c r="R5" s="1333"/>
      <c r="S5" s="1333"/>
      <c r="T5" s="1333"/>
      <c r="U5" s="1828"/>
      <c r="V5" s="1828"/>
      <c r="W5" s="813"/>
      <c r="X5" s="813"/>
    </row>
    <row r="6" spans="1:24" s="5" customFormat="1" ht="9.9499999999999993" hidden="1" customHeight="1">
      <c r="A6" s="1564"/>
      <c r="B6" s="6"/>
      <c r="C6" s="6"/>
      <c r="D6" s="3"/>
      <c r="E6" s="3"/>
      <c r="F6" s="3"/>
      <c r="G6" s="3"/>
      <c r="H6" s="3"/>
      <c r="I6" s="3"/>
      <c r="J6" s="3"/>
      <c r="L6" s="812"/>
      <c r="M6" s="1526"/>
      <c r="N6" s="1333"/>
      <c r="O6" s="1333"/>
      <c r="P6" s="1333"/>
      <c r="Q6" s="1333"/>
      <c r="R6" s="1333"/>
      <c r="S6" s="1333"/>
      <c r="T6" s="1333"/>
      <c r="U6" s="1828"/>
      <c r="V6" s="1828"/>
      <c r="W6" s="813"/>
      <c r="X6" s="813"/>
    </row>
    <row r="7" spans="1:24" s="299" customFormat="1" ht="12" hidden="1" customHeight="1">
      <c r="A7" s="1564"/>
      <c r="B7" s="8"/>
      <c r="C7" s="8"/>
      <c r="D7" s="9"/>
      <c r="E7" s="9"/>
      <c r="F7" s="9"/>
      <c r="G7" s="9"/>
      <c r="H7" s="5"/>
      <c r="I7" s="5"/>
      <c r="J7" s="5"/>
      <c r="K7" s="5"/>
      <c r="L7" s="812"/>
      <c r="M7" s="1526"/>
      <c r="N7" s="1333"/>
      <c r="O7" s="1333"/>
      <c r="P7" s="1333"/>
      <c r="Q7" s="1333"/>
      <c r="R7" s="1333"/>
      <c r="S7" s="1333"/>
      <c r="T7" s="1333"/>
      <c r="U7" s="1828"/>
      <c r="V7" s="1828"/>
      <c r="W7" s="813"/>
      <c r="X7" s="813"/>
    </row>
    <row r="8" spans="1:24" s="299" customFormat="1" ht="6" customHeight="1">
      <c r="A8" s="1564"/>
      <c r="B8" s="1236"/>
      <c r="C8" s="1000"/>
      <c r="D8" s="1237"/>
      <c r="E8" s="1237"/>
      <c r="F8" s="1237"/>
      <c r="G8" s="1237"/>
      <c r="H8" s="1028"/>
      <c r="I8" s="1028"/>
      <c r="J8" s="1028"/>
      <c r="K8" s="1142"/>
      <c r="L8" s="812"/>
      <c r="M8" s="1526"/>
      <c r="N8" s="1333"/>
      <c r="O8" s="1333"/>
      <c r="P8" s="1333"/>
      <c r="Q8" s="1333"/>
      <c r="R8" s="1333"/>
      <c r="S8" s="1333"/>
      <c r="T8" s="1333"/>
      <c r="U8" s="1828"/>
      <c r="V8" s="1828"/>
      <c r="W8" s="813"/>
      <c r="X8" s="813"/>
    </row>
    <row r="9" spans="1:24" s="299" customFormat="1" ht="14.25" customHeight="1">
      <c r="A9" s="1564" t="s">
        <v>2948</v>
      </c>
      <c r="B9" s="1250" t="str">
        <f>Uebersetzung!D419</f>
        <v>Instructions</v>
      </c>
      <c r="C9" s="8"/>
      <c r="D9" s="9"/>
      <c r="E9" s="9"/>
      <c r="F9" s="9"/>
      <c r="G9" s="9"/>
      <c r="H9" s="143"/>
      <c r="I9" s="143"/>
      <c r="J9" s="143"/>
      <c r="K9" s="1143"/>
      <c r="L9" s="812"/>
      <c r="M9" s="1526"/>
      <c r="N9" s="1333"/>
      <c r="O9" s="1333"/>
      <c r="P9" s="1333"/>
      <c r="Q9" s="1333"/>
      <c r="R9" s="1333"/>
      <c r="S9" s="1333"/>
      <c r="T9" s="1333"/>
      <c r="U9" s="1828"/>
      <c r="V9" s="1828"/>
      <c r="W9" s="813"/>
      <c r="X9" s="813"/>
    </row>
    <row r="10" spans="1:24" s="299" customFormat="1" ht="19.149999999999999" customHeight="1">
      <c r="A10" s="1564"/>
      <c r="B10" s="1238" t="str">
        <f>Uebersetzung!D420</f>
        <v>Le présent formulaire sert à la justification des labels Minergie, Minergie-P et Minergie-A. Le label correspondant peut être</v>
      </c>
      <c r="C10" s="8"/>
      <c r="D10" s="8"/>
      <c r="E10" s="8"/>
      <c r="F10" s="8"/>
      <c r="G10" s="8"/>
      <c r="H10" s="8"/>
      <c r="I10" s="8"/>
      <c r="J10" s="8"/>
      <c r="K10" s="644"/>
      <c r="L10" s="812"/>
      <c r="M10" s="1526"/>
      <c r="N10" s="1333"/>
      <c r="O10" s="1333"/>
      <c r="P10" s="1333"/>
      <c r="Q10" s="1333"/>
      <c r="R10" s="1333"/>
      <c r="S10" s="1333"/>
      <c r="T10" s="1333"/>
      <c r="U10" s="1828"/>
      <c r="V10" s="1828"/>
      <c r="W10" s="813"/>
      <c r="X10" s="813"/>
    </row>
    <row r="11" spans="1:24" s="299" customFormat="1" ht="19.149999999999999" customHeight="1">
      <c r="A11" s="1564"/>
      <c r="B11" s="1238" t="str">
        <f>Uebersetzung!D421</f>
        <v>sélectionné dans la feuille "Entrées". Une fois le justificatif rempli, il doit être téléchargé sur la plateforme Minergie online (MOP).</v>
      </c>
      <c r="C11" s="8"/>
      <c r="D11" s="8"/>
      <c r="E11" s="8"/>
      <c r="F11" s="8"/>
      <c r="G11" s="8"/>
      <c r="H11" s="8"/>
      <c r="I11" s="8"/>
      <c r="J11" s="8"/>
      <c r="K11" s="644"/>
      <c r="L11" s="812"/>
      <c r="M11" s="1526"/>
      <c r="N11" s="1333"/>
      <c r="O11" s="1333"/>
      <c r="P11" s="1333"/>
      <c r="Q11" s="1333"/>
      <c r="R11" s="1333"/>
      <c r="S11" s="1333"/>
      <c r="T11" s="1333"/>
      <c r="U11" s="1828"/>
      <c r="V11" s="1828"/>
      <c r="W11" s="813"/>
      <c r="X11" s="813"/>
    </row>
    <row r="12" spans="1:24" s="299" customFormat="1" ht="19.149999999999999" customHeight="1">
      <c r="A12" s="1564"/>
      <c r="B12" s="1238" t="str">
        <f>Uebersetzung!D422</f>
        <v>Après transmission sur MOP, le formulaire de demande est généré automatiquement. La demande signée, le présent formulaire</v>
      </c>
      <c r="C12" s="8"/>
      <c r="D12" s="8"/>
      <c r="E12" s="8"/>
      <c r="F12" s="8"/>
      <c r="G12" s="8"/>
      <c r="H12" s="8"/>
      <c r="I12" s="8"/>
      <c r="J12" s="8"/>
      <c r="K12" s="644"/>
      <c r="L12" s="812"/>
      <c r="M12" s="1526"/>
      <c r="N12" s="1333"/>
      <c r="O12" s="1333"/>
      <c r="P12" s="1333"/>
      <c r="Q12" s="1333"/>
      <c r="R12" s="1333"/>
      <c r="S12" s="1333"/>
      <c r="T12" s="1333"/>
      <c r="U12" s="1828"/>
      <c r="V12" s="1828"/>
      <c r="W12" s="813"/>
      <c r="X12" s="813"/>
    </row>
    <row r="13" spans="1:24" s="299" customFormat="1" ht="19.149999999999999" customHeight="1">
      <c r="A13" s="1564"/>
      <c r="B13" s="1238" t="str">
        <f>Uebersetzung!D423</f>
        <v>justificatif et tous les éventuels documents notifiés sur la demande doivent être envoyés au format papier à l'office de certification</v>
      </c>
      <c r="C13" s="8"/>
      <c r="D13" s="8"/>
      <c r="E13" s="8"/>
      <c r="F13" s="8"/>
      <c r="G13" s="8"/>
      <c r="H13" s="8"/>
      <c r="I13" s="8"/>
      <c r="J13" s="8"/>
      <c r="K13" s="644"/>
      <c r="L13" s="812"/>
      <c r="M13" s="1526"/>
      <c r="N13" s="1333"/>
      <c r="O13" s="1333"/>
      <c r="P13" s="1333"/>
      <c r="Q13" s="1333"/>
      <c r="R13" s="1333"/>
      <c r="S13" s="1333"/>
      <c r="T13" s="1333"/>
      <c r="U13" s="1828"/>
      <c r="V13" s="1828"/>
      <c r="W13" s="813"/>
      <c r="X13" s="813"/>
    </row>
    <row r="14" spans="1:24" s="299" customFormat="1" ht="18.600000000000001" customHeight="1">
      <c r="A14" s="1564"/>
      <c r="B14" s="1238" t="str">
        <f>Uebersetzung!D424</f>
        <v>compétent. Observer le code couleur suivant pour remplir le formulaire justificatif:</v>
      </c>
      <c r="C14" s="8"/>
      <c r="D14" s="8"/>
      <c r="E14" s="8"/>
      <c r="F14" s="8"/>
      <c r="G14" s="8"/>
      <c r="H14" s="8"/>
      <c r="I14" s="8"/>
      <c r="J14" s="8"/>
      <c r="K14" s="644"/>
      <c r="L14" s="812"/>
      <c r="M14" s="1526"/>
      <c r="N14" s="1333"/>
      <c r="O14" s="1333"/>
      <c r="P14" s="1333"/>
      <c r="Q14" s="1333"/>
      <c r="R14" s="1333"/>
      <c r="S14" s="1333"/>
      <c r="T14" s="1333"/>
      <c r="U14" s="1828"/>
      <c r="V14" s="1828"/>
      <c r="W14" s="813"/>
      <c r="X14" s="813"/>
    </row>
    <row r="15" spans="1:24" s="299" customFormat="1" ht="12" hidden="1" customHeight="1">
      <c r="A15" s="1564"/>
      <c r="B15" s="1238"/>
      <c r="C15" s="8"/>
      <c r="D15" s="8"/>
      <c r="E15" s="8"/>
      <c r="F15" s="8"/>
      <c r="G15" s="8"/>
      <c r="H15" s="8"/>
      <c r="I15" s="8"/>
      <c r="J15" s="8"/>
      <c r="K15" s="644"/>
      <c r="L15" s="812"/>
      <c r="M15" s="1526"/>
      <c r="N15" s="1333"/>
      <c r="O15" s="1333"/>
      <c r="P15" s="1333"/>
      <c r="Q15" s="1333"/>
      <c r="R15" s="1333"/>
      <c r="S15" s="1333"/>
      <c r="T15" s="1333"/>
      <c r="U15" s="1828"/>
      <c r="V15" s="1828"/>
      <c r="W15" s="813"/>
      <c r="X15" s="813"/>
    </row>
    <row r="16" spans="1:24" s="299" customFormat="1" ht="19.149999999999999" hidden="1" customHeight="1">
      <c r="A16" s="1564"/>
      <c r="B16" s="1238"/>
      <c r="C16" s="8"/>
      <c r="D16" s="8"/>
      <c r="E16" s="8"/>
      <c r="F16" s="8"/>
      <c r="G16" s="8"/>
      <c r="H16" s="8"/>
      <c r="I16" s="8"/>
      <c r="J16" s="8"/>
      <c r="K16" s="644"/>
      <c r="L16" s="812"/>
      <c r="M16" s="1526"/>
      <c r="N16" s="1333"/>
      <c r="O16" s="1333"/>
      <c r="P16" s="1333"/>
      <c r="Q16" s="1333"/>
      <c r="R16" s="1333"/>
      <c r="S16" s="1333"/>
      <c r="T16" s="1333"/>
      <c r="U16" s="1828"/>
      <c r="V16" s="1828"/>
      <c r="W16" s="813"/>
      <c r="X16" s="813"/>
    </row>
    <row r="17" spans="1:24" s="299" customFormat="1" ht="9" customHeight="1">
      <c r="A17" s="1564"/>
      <c r="B17" s="1238"/>
      <c r="C17" s="8"/>
      <c r="D17" s="8"/>
      <c r="E17" s="8"/>
      <c r="F17" s="8"/>
      <c r="G17" s="8"/>
      <c r="H17" s="8"/>
      <c r="I17" s="8"/>
      <c r="J17" s="8"/>
      <c r="K17" s="644"/>
      <c r="L17" s="812"/>
      <c r="M17" s="1526"/>
      <c r="N17" s="1333"/>
      <c r="O17" s="1333"/>
      <c r="P17" s="1333"/>
      <c r="Q17" s="1333"/>
      <c r="R17" s="1333"/>
      <c r="S17" s="1333"/>
      <c r="T17" s="1333"/>
      <c r="U17" s="1828"/>
      <c r="V17" s="1828"/>
      <c r="W17" s="813"/>
      <c r="X17" s="813"/>
    </row>
    <row r="18" spans="1:24" s="299" customFormat="1" ht="19.149999999999999" customHeight="1">
      <c r="A18" s="1564"/>
      <c r="B18" s="1563" t="str">
        <f>Uebersetzung!D425</f>
        <v>Champ de saisie (obligatoire)</v>
      </c>
      <c r="C18" s="1310"/>
      <c r="D18" s="2311" t="str">
        <f>Uebersetzung!D426</f>
        <v>Champ de saisie (facultatif)</v>
      </c>
      <c r="E18" s="2311"/>
      <c r="F18" s="2311"/>
      <c r="G18" s="11"/>
      <c r="H18" s="2312" t="str">
        <f>Uebersetzung!D427</f>
        <v>Liste déroulante (obligatoire)</v>
      </c>
      <c r="I18" s="2312"/>
      <c r="J18" s="151"/>
      <c r="K18" s="606"/>
      <c r="L18" s="812"/>
      <c r="M18" s="1526"/>
      <c r="N18" s="1333"/>
      <c r="O18" s="1333"/>
      <c r="P18" s="1333"/>
      <c r="Q18" s="1333"/>
      <c r="R18" s="1333"/>
      <c r="S18" s="1333"/>
      <c r="T18" s="1333"/>
      <c r="U18" s="1828"/>
      <c r="V18" s="1828"/>
      <c r="W18" s="813"/>
      <c r="X18" s="813"/>
    </row>
    <row r="19" spans="1:24" s="299" customFormat="1" ht="9.6" customHeight="1">
      <c r="A19" s="1564"/>
      <c r="B19" s="8"/>
      <c r="C19" s="8"/>
      <c r="D19" s="9"/>
      <c r="E19" s="9"/>
      <c r="F19" s="9"/>
      <c r="G19" s="9"/>
      <c r="H19" s="5"/>
      <c r="I19" s="5"/>
      <c r="J19" s="5"/>
      <c r="K19" s="5"/>
      <c r="L19" s="812"/>
      <c r="M19" s="1526"/>
      <c r="N19" s="1333"/>
      <c r="O19" s="1333"/>
      <c r="P19" s="1333"/>
      <c r="Q19" s="1333"/>
      <c r="R19" s="1333"/>
      <c r="S19" s="1333"/>
      <c r="T19" s="1333"/>
      <c r="U19" s="1828"/>
      <c r="V19" s="1828"/>
      <c r="W19" s="813"/>
      <c r="X19" s="813"/>
    </row>
    <row r="20" spans="1:24" s="299" customFormat="1" ht="20.45" customHeight="1">
      <c r="A20" s="1564" t="s">
        <v>2923</v>
      </c>
      <c r="B20" s="370" t="str">
        <f>Uebersetzung!D418</f>
        <v>Projet</v>
      </c>
      <c r="C20" s="1239"/>
      <c r="D20" s="1240"/>
      <c r="E20" s="1240"/>
      <c r="F20" s="1240"/>
      <c r="G20" s="1240" t="str">
        <f>Uebersetzung!D18</f>
        <v>Justificatif pour:</v>
      </c>
      <c r="H20" s="678"/>
      <c r="I20" s="1240" t="str">
        <f>MINERGIE!F13</f>
        <v>Minergie avec SIA 380/1:2016</v>
      </c>
      <c r="J20" s="678"/>
      <c r="K20" s="892"/>
      <c r="L20" s="812"/>
      <c r="M20" s="1526"/>
      <c r="N20" s="1333"/>
      <c r="O20" s="1333"/>
      <c r="P20" s="1333"/>
      <c r="Q20" s="1333"/>
      <c r="R20" s="1333"/>
      <c r="S20" s="1333"/>
      <c r="T20" s="1333"/>
      <c r="U20" s="1828"/>
      <c r="V20" s="1828"/>
      <c r="W20" s="813"/>
      <c r="X20" s="813"/>
    </row>
    <row r="21" spans="1:24" s="299" customFormat="1" ht="24" customHeight="1">
      <c r="A21" s="1564" t="s">
        <v>2924</v>
      </c>
      <c r="B21" s="785" t="str">
        <f>IF(MUKEN,Uebersetzung!D9,Uebersetzung!D356)</f>
        <v>Nom du projet:</v>
      </c>
      <c r="C21" s="2315" t="str">
        <f>IF(Projekt1="","",Projekt1)</f>
        <v/>
      </c>
      <c r="D21" s="2315"/>
      <c r="E21" s="2315"/>
      <c r="F21" s="2315"/>
      <c r="G21" s="873" t="str">
        <f>Uebersetzung!D10</f>
        <v>N° cadastre:</v>
      </c>
      <c r="H21" s="1267">
        <f>Projekt2</f>
        <v>0</v>
      </c>
      <c r="I21" s="1435" t="str">
        <f>IF(MUKEN,Uebersetzung!D11,Uebersetzung!D358)</f>
        <v xml:space="preserve">N° MOP: </v>
      </c>
      <c r="J21" s="1264"/>
      <c r="K21" s="1268">
        <f>Projekt3</f>
        <v>0</v>
      </c>
      <c r="L21" s="812"/>
      <c r="M21" s="1526"/>
      <c r="N21" s="1333"/>
      <c r="O21" s="1333"/>
      <c r="P21" s="1333"/>
      <c r="Q21" s="1333"/>
      <c r="R21" s="1333"/>
      <c r="S21" s="1333"/>
      <c r="T21" s="1333"/>
      <c r="U21" s="1828"/>
      <c r="V21" s="1828"/>
      <c r="W21" s="813"/>
      <c r="X21" s="813"/>
    </row>
    <row r="22" spans="1:24" s="299" customFormat="1" ht="24" customHeight="1">
      <c r="A22" s="1564" t="s">
        <v>2925</v>
      </c>
      <c r="B22" s="786" t="str">
        <f>IF(MUKEN,Uebersetzung!D13,Uebersetzung!D359)</f>
        <v>Adresse du bâtiment:</v>
      </c>
      <c r="C22" s="2313">
        <f>Entrées!C8</f>
        <v>0</v>
      </c>
      <c r="D22" s="2313"/>
      <c r="E22" s="2313"/>
      <c r="F22" s="2313"/>
      <c r="G22" s="2313"/>
      <c r="H22" s="2313"/>
      <c r="I22" s="2313"/>
      <c r="J22" s="2313"/>
      <c r="K22" s="2314"/>
      <c r="L22" s="812"/>
      <c r="M22" s="812"/>
      <c r="N22" s="812"/>
      <c r="O22" s="812"/>
      <c r="P22" s="812"/>
      <c r="Q22" s="812"/>
      <c r="R22" s="812"/>
      <c r="S22" s="812"/>
      <c r="T22" s="812"/>
      <c r="U22" s="1829"/>
      <c r="V22" s="1829"/>
      <c r="W22" s="812"/>
      <c r="X22" s="813"/>
    </row>
    <row r="23" spans="1:24" s="299" customFormat="1" ht="19.149999999999999" hidden="1" customHeight="1">
      <c r="A23" s="1564"/>
      <c r="B23" s="8"/>
      <c r="C23" s="8"/>
      <c r="D23" s="9"/>
      <c r="E23" s="9"/>
      <c r="F23" s="9"/>
      <c r="G23" s="9"/>
      <c r="H23" s="5"/>
      <c r="I23" s="5"/>
      <c r="J23" s="5"/>
      <c r="K23" s="5"/>
      <c r="L23" s="812"/>
      <c r="M23" s="1526"/>
      <c r="N23" s="1333"/>
      <c r="O23" s="1333"/>
      <c r="P23" s="1333"/>
      <c r="Q23" s="1333"/>
      <c r="R23" s="1333"/>
      <c r="S23" s="1333"/>
      <c r="T23" s="1333"/>
      <c r="U23" s="1828"/>
      <c r="V23" s="1828"/>
      <c r="W23" s="813"/>
      <c r="X23" s="813"/>
    </row>
    <row r="24" spans="1:24" s="299" customFormat="1" ht="19.149999999999999" hidden="1" customHeight="1">
      <c r="A24" s="1564"/>
      <c r="B24" s="8"/>
      <c r="C24" s="8"/>
      <c r="D24" s="9"/>
      <c r="E24" s="9"/>
      <c r="F24" s="9"/>
      <c r="G24" s="9"/>
      <c r="H24" s="5"/>
      <c r="I24" s="5"/>
      <c r="J24" s="5"/>
      <c r="K24" s="5"/>
      <c r="L24" s="812"/>
      <c r="M24" s="1526"/>
      <c r="N24" s="1333"/>
      <c r="O24" s="1333"/>
      <c r="P24" s="1333"/>
      <c r="Q24" s="1333"/>
      <c r="R24" s="1333"/>
      <c r="S24" s="1333"/>
      <c r="T24" s="1333"/>
      <c r="U24" s="1828"/>
      <c r="V24" s="1828"/>
      <c r="W24" s="813"/>
      <c r="X24" s="813"/>
    </row>
    <row r="25" spans="1:24" s="299" customFormat="1" ht="19.149999999999999" hidden="1" customHeight="1">
      <c r="A25" s="1564"/>
      <c r="B25" s="8"/>
      <c r="C25" s="8"/>
      <c r="D25" s="9"/>
      <c r="E25" s="9"/>
      <c r="F25" s="9"/>
      <c r="G25" s="9"/>
      <c r="H25" s="5"/>
      <c r="I25" s="5"/>
      <c r="J25" s="5"/>
      <c r="K25" s="5"/>
      <c r="L25" s="812"/>
      <c r="M25" s="1526"/>
      <c r="N25" s="1333"/>
      <c r="O25" s="1333"/>
      <c r="P25" s="1333"/>
      <c r="Q25" s="1333"/>
      <c r="R25" s="1333"/>
      <c r="S25" s="1333"/>
      <c r="T25" s="1333"/>
      <c r="U25" s="1828"/>
      <c r="V25" s="1828"/>
      <c r="W25" s="813"/>
      <c r="X25" s="813"/>
    </row>
    <row r="26" spans="1:24" s="299" customFormat="1" ht="12" customHeight="1">
      <c r="A26" s="1565"/>
      <c r="B26" s="5"/>
      <c r="C26" s="5"/>
      <c r="D26" s="5"/>
      <c r="E26" s="5"/>
      <c r="F26" s="9"/>
      <c r="G26" s="9"/>
      <c r="H26" s="5"/>
      <c r="I26" s="5"/>
      <c r="J26" s="5"/>
      <c r="K26" s="5"/>
      <c r="L26" s="812"/>
      <c r="M26" s="1526"/>
      <c r="N26" s="1333"/>
      <c r="O26" s="1333"/>
      <c r="P26" s="1333"/>
      <c r="Q26" s="1333"/>
      <c r="R26" s="1333"/>
      <c r="S26" s="1333"/>
      <c r="T26" s="1333"/>
      <c r="U26" s="1828"/>
      <c r="V26" s="1828"/>
      <c r="W26" s="813"/>
      <c r="X26" s="813"/>
    </row>
    <row r="27" spans="1:24" s="299" customFormat="1" ht="1.1499999999999999" customHeight="1">
      <c r="A27" s="1565"/>
      <c r="B27" s="3"/>
      <c r="C27" s="3"/>
      <c r="D27" s="3"/>
      <c r="E27" s="3"/>
      <c r="F27" s="3"/>
      <c r="G27" s="3"/>
      <c r="H27" s="9"/>
      <c r="I27" s="9"/>
      <c r="J27" s="9"/>
      <c r="K27" s="9"/>
      <c r="L27" s="812"/>
      <c r="M27" s="1526"/>
      <c r="N27" s="1333"/>
      <c r="O27" s="1333"/>
      <c r="P27" s="1333"/>
      <c r="Q27" s="1333"/>
      <c r="R27" s="1333"/>
      <c r="S27" s="1333"/>
      <c r="T27" s="1333"/>
      <c r="U27" s="1828"/>
      <c r="V27" s="1828"/>
      <c r="W27" s="813"/>
      <c r="X27" s="813"/>
    </row>
    <row r="28" spans="1:24" s="299" customFormat="1" ht="20.100000000000001" customHeight="1">
      <c r="A28" s="1565" t="s">
        <v>2926</v>
      </c>
      <c r="B28" s="1311" t="str">
        <f>Uebersetzung!D428</f>
        <v>Satisfaction de l'exigence principale</v>
      </c>
      <c r="C28" s="999"/>
      <c r="D28" s="1000"/>
      <c r="E28" s="1001"/>
      <c r="F28" s="1002"/>
      <c r="G28" s="1003"/>
      <c r="H28" s="1004"/>
      <c r="I28" s="1008"/>
      <c r="J28" s="1005"/>
      <c r="K28" s="1006"/>
      <c r="L28" s="812"/>
      <c r="M28" s="1526"/>
      <c r="N28" s="1333"/>
      <c r="O28" s="1333"/>
      <c r="P28" s="1333"/>
      <c r="Q28" s="1333"/>
      <c r="R28" s="1333"/>
      <c r="S28" s="1333"/>
      <c r="T28" s="1333"/>
      <c r="U28" s="1828"/>
      <c r="V28" s="1828"/>
      <c r="W28" s="813"/>
      <c r="X28" s="813"/>
    </row>
    <row r="29" spans="1:24" s="299" customFormat="1" ht="15.95" customHeight="1">
      <c r="A29" s="1565"/>
      <c r="B29" s="1312"/>
      <c r="C29" s="11"/>
      <c r="D29" s="11"/>
      <c r="E29" s="11"/>
      <c r="F29" s="2293" t="str">
        <f>Uebersetzung!D294</f>
        <v>Exigences</v>
      </c>
      <c r="G29" s="2294"/>
      <c r="H29" s="2293" t="str">
        <f>Uebersetzung!D295</f>
        <v>Valeur calculée</v>
      </c>
      <c r="I29" s="2294"/>
      <c r="J29" s="781"/>
      <c r="K29" s="782" t="str">
        <f>Uebersetzung!D299</f>
        <v>Respectée?</v>
      </c>
      <c r="L29" s="812"/>
      <c r="M29" s="1527"/>
      <c r="N29" s="1333"/>
      <c r="O29" s="1333"/>
      <c r="P29" s="1333"/>
      <c r="Q29" s="1333"/>
      <c r="R29" s="1333"/>
      <c r="S29" s="812"/>
      <c r="T29" s="812"/>
      <c r="U29" s="1828"/>
      <c r="V29" s="1828"/>
      <c r="W29" s="813"/>
      <c r="X29" s="813"/>
    </row>
    <row r="30" spans="1:24" s="299" customFormat="1" ht="20.100000000000001" customHeight="1">
      <c r="A30" s="1565" t="s">
        <v>2927</v>
      </c>
      <c r="B30" s="1242" t="str">
        <f>Uebersetzung!D430</f>
        <v>Indice Minergie en kWh/m2</v>
      </c>
      <c r="C30" s="1243"/>
      <c r="D30" s="1243"/>
      <c r="E30" s="1244"/>
      <c r="F30" s="2295">
        <f>MINERGIE!Z43</f>
        <v>0</v>
      </c>
      <c r="G30" s="2296"/>
      <c r="H30" s="2295">
        <f>IF(MUKEN=FALSE,Justificatif!I59)</f>
        <v>0</v>
      </c>
      <c r="I30" s="2296"/>
      <c r="J30" s="1022"/>
      <c r="K30" s="1479" t="str">
        <f>IF(AND(F38&gt;0,H38=0),Uebersetzung!D26,IF(ROUND(F30,1)&gt;=ROUND(H30,1),IF(EBF&gt;0,Uebersetzung!D25,Uebersetzung!D26),Uebersetzung!D26))</f>
        <v>non</v>
      </c>
      <c r="L30" s="1484">
        <f>IF(K30=MINERGIE!$N$12,1,IF(K30=MINERGIE!$N$13,2,0))</f>
        <v>2</v>
      </c>
      <c r="M30" s="1528"/>
      <c r="N30" s="1528"/>
      <c r="O30" s="1333"/>
      <c r="P30" s="1333"/>
      <c r="Q30" s="1333"/>
      <c r="R30" s="1333"/>
      <c r="S30" s="812"/>
      <c r="T30" s="812"/>
      <c r="U30" s="1828"/>
      <c r="V30" s="1828"/>
      <c r="W30" s="813"/>
      <c r="X30" s="813"/>
    </row>
    <row r="31" spans="1:24" s="5" customFormat="1" ht="20.100000000000001" customHeight="1">
      <c r="A31" s="1565" t="s">
        <v>2928</v>
      </c>
      <c r="B31" s="1245" t="str">
        <f>Uebersetzung!D431</f>
        <v>Indice Minergie en CO2/m2</v>
      </c>
      <c r="C31" s="1317"/>
      <c r="D31" s="1317"/>
      <c r="E31" s="1246"/>
      <c r="F31" s="2287" t="str">
        <f>Uebersetzung!D462</f>
        <v>Pas d’exigence</v>
      </c>
      <c r="G31" s="2288"/>
      <c r="H31" s="2287">
        <f>Justificatif!AL45</f>
        <v>0</v>
      </c>
      <c r="I31" s="2288"/>
      <c r="J31" s="1241"/>
      <c r="K31" s="1290"/>
      <c r="L31" s="812"/>
      <c r="M31" s="1526"/>
      <c r="N31" s="1333"/>
      <c r="O31" s="1333"/>
      <c r="P31" s="1333"/>
      <c r="Q31" s="1333"/>
      <c r="R31" s="1333"/>
      <c r="S31" s="1333"/>
      <c r="T31" s="1333"/>
      <c r="U31" s="1828"/>
      <c r="V31" s="1828"/>
      <c r="W31" s="813"/>
      <c r="X31" s="813"/>
    </row>
    <row r="32" spans="1:24" s="5" customFormat="1" ht="9.9499999999999993" customHeight="1">
      <c r="A32" s="1566"/>
      <c r="B32" s="459"/>
      <c r="C32" s="459"/>
      <c r="D32" s="459"/>
      <c r="E32" s="459"/>
      <c r="F32" s="155"/>
      <c r="G32" s="155"/>
      <c r="H32" s="155"/>
      <c r="I32" s="155"/>
      <c r="J32" s="459"/>
      <c r="K32" s="459"/>
      <c r="L32" s="812"/>
      <c r="M32" s="1526"/>
      <c r="N32" s="1333"/>
      <c r="O32" s="1333"/>
      <c r="P32" s="1333"/>
      <c r="Q32" s="1333"/>
      <c r="R32" s="1333"/>
      <c r="S32" s="1333"/>
      <c r="T32" s="1333"/>
      <c r="U32" s="1828"/>
      <c r="V32" s="1828"/>
      <c r="W32" s="813"/>
      <c r="X32" s="813"/>
    </row>
    <row r="33" spans="1:24" s="5" customFormat="1" ht="9.6" hidden="1" customHeight="1">
      <c r="A33" s="1566"/>
      <c r="B33" s="459"/>
      <c r="C33" s="459"/>
      <c r="D33" s="459"/>
      <c r="E33" s="459"/>
      <c r="F33" s="155"/>
      <c r="G33" s="155"/>
      <c r="H33" s="155"/>
      <c r="I33" s="155"/>
      <c r="J33" s="459"/>
      <c r="K33" s="459"/>
      <c r="L33" s="812"/>
      <c r="M33" s="1526"/>
      <c r="N33" s="1333"/>
      <c r="O33" s="1333"/>
      <c r="P33" s="1333"/>
      <c r="Q33" s="1333"/>
      <c r="R33" s="1333"/>
      <c r="S33" s="1333"/>
      <c r="T33" s="1333"/>
      <c r="U33" s="1828"/>
      <c r="V33" s="1828"/>
      <c r="W33" s="813"/>
      <c r="X33" s="813"/>
    </row>
    <row r="34" spans="1:24" s="5" customFormat="1" ht="9.6" hidden="1" customHeight="1">
      <c r="A34" s="1566"/>
      <c r="B34" s="459"/>
      <c r="C34" s="459"/>
      <c r="D34" s="459"/>
      <c r="E34" s="459"/>
      <c r="F34" s="155"/>
      <c r="G34" s="155"/>
      <c r="H34" s="155"/>
      <c r="I34" s="155"/>
      <c r="J34" s="459"/>
      <c r="K34" s="459"/>
      <c r="L34" s="812"/>
      <c r="M34" s="1526"/>
      <c r="N34" s="1333"/>
      <c r="O34" s="1333"/>
      <c r="P34" s="1333"/>
      <c r="Q34" s="1333"/>
      <c r="R34" s="1333"/>
      <c r="S34" s="1333"/>
      <c r="T34" s="1333"/>
      <c r="U34" s="1828"/>
      <c r="V34" s="1828"/>
      <c r="W34" s="813"/>
      <c r="X34" s="813"/>
    </row>
    <row r="35" spans="1:24" s="5" customFormat="1" ht="19.899999999999999" customHeight="1">
      <c r="A35" s="1564" t="s">
        <v>2929</v>
      </c>
      <c r="B35" s="1311" t="str">
        <f>Uebersetzung!D429</f>
        <v>Satisfaction des exigences de base</v>
      </c>
      <c r="C35" s="999"/>
      <c r="D35" s="1000"/>
      <c r="E35" s="1001"/>
      <c r="F35" s="1002"/>
      <c r="G35" s="1003"/>
      <c r="H35" s="1004"/>
      <c r="I35" s="1008"/>
      <c r="J35" s="1005"/>
      <c r="K35" s="1006"/>
      <c r="L35" s="813"/>
      <c r="M35" s="1333"/>
      <c r="N35" s="1333"/>
      <c r="O35" s="1333"/>
      <c r="P35" s="1333"/>
      <c r="Q35" s="1333"/>
      <c r="R35" s="1333"/>
      <c r="S35" s="1333"/>
      <c r="T35" s="1333"/>
      <c r="U35" s="1828"/>
      <c r="V35" s="1828"/>
      <c r="W35" s="813"/>
      <c r="X35" s="813"/>
    </row>
    <row r="36" spans="1:24" s="5" customFormat="1" ht="15.95" customHeight="1">
      <c r="A36" s="1564"/>
      <c r="B36" s="1312"/>
      <c r="C36" s="11"/>
      <c r="D36" s="11"/>
      <c r="E36" s="11"/>
      <c r="F36" s="2293" t="str">
        <f>Uebersetzung!D294</f>
        <v>Exigences</v>
      </c>
      <c r="G36" s="2294"/>
      <c r="H36" s="2293" t="str">
        <f>Uebersetzung!D295</f>
        <v>Valeur calculée</v>
      </c>
      <c r="I36" s="2294"/>
      <c r="J36" s="781"/>
      <c r="K36" s="782" t="str">
        <f>Uebersetzung!D299</f>
        <v>Respectée?</v>
      </c>
      <c r="L36" s="813"/>
      <c r="M36" s="1333"/>
      <c r="N36" s="1333"/>
      <c r="O36" s="1333"/>
      <c r="P36" s="1333"/>
      <c r="Q36" s="1529" t="s">
        <v>2654</v>
      </c>
      <c r="R36" s="1529" t="s">
        <v>2655</v>
      </c>
      <c r="S36" s="1529" t="s">
        <v>2656</v>
      </c>
      <c r="T36" s="1333"/>
      <c r="U36" s="1828"/>
      <c r="V36" s="1828"/>
      <c r="W36" s="813"/>
      <c r="X36" s="813"/>
    </row>
    <row r="37" spans="1:24" s="5" customFormat="1" ht="19.899999999999999" customHeight="1">
      <c r="A37" s="1565" t="s">
        <v>2930</v>
      </c>
      <c r="B37" s="1242" t="str">
        <f>Uebersetzung!D432</f>
        <v>Besoins de chaleur en kWh/m²</v>
      </c>
      <c r="C37" s="1243"/>
      <c r="D37" s="1243"/>
      <c r="E37" s="1546" t="s">
        <v>2663</v>
      </c>
      <c r="F37" s="2295">
        <f>MINERGIE!Z19</f>
        <v>0</v>
      </c>
      <c r="G37" s="2296"/>
      <c r="H37" s="2295">
        <f>MINERGIE!Z25</f>
        <v>0</v>
      </c>
      <c r="I37" s="2296"/>
      <c r="J37" s="1022"/>
      <c r="K37" s="1480">
        <f>IF(AND(F37=0,H37&gt;0),Uebersetzung!D25,IF(AND(F37&gt;0,H37&gt;0),IF(ROUND(F37,1)&gt;=ROUND(H37,1),Uebersetzung!D25,Uebersetzung!D26),))</f>
        <v>0</v>
      </c>
      <c r="L37" s="1484">
        <f>IF(K37=MINERGIE!$N$12,1,IF(K37=MINERGIE!$N$13,2,0))</f>
        <v>0</v>
      </c>
      <c r="M37" s="1333"/>
      <c r="N37" s="1333"/>
      <c r="O37" s="1333"/>
      <c r="P37" s="1333"/>
      <c r="Q37" s="1333">
        <v>0</v>
      </c>
      <c r="R37" s="1333">
        <v>0</v>
      </c>
      <c r="S37" s="1334">
        <f>S60-S38</f>
        <v>0</v>
      </c>
      <c r="T37" s="1333"/>
      <c r="U37" s="1828"/>
      <c r="V37" s="1828"/>
      <c r="W37" s="813"/>
      <c r="X37" s="813"/>
    </row>
    <row r="38" spans="1:24" s="5" customFormat="1" ht="19.899999999999999" customHeight="1">
      <c r="A38" s="1565" t="s">
        <v>2931</v>
      </c>
      <c r="B38" s="1247" t="str">
        <f>Uebersetzung!D433</f>
        <v>Energie finale sans photovoltaïque en kWh/m²</v>
      </c>
      <c r="C38" s="1248"/>
      <c r="D38" s="1248"/>
      <c r="E38" s="1249"/>
      <c r="F38" s="2301">
        <f>IF(Justificatif!L43="",0,Justificatif!L43)</f>
        <v>0</v>
      </c>
      <c r="G38" s="2302"/>
      <c r="H38" s="2301">
        <f>IF(Justificatif!I58="",0,Justificatif!I58)</f>
        <v>0</v>
      </c>
      <c r="I38" s="2302"/>
      <c r="J38" s="1117"/>
      <c r="K38" s="1481" t="str">
        <f>IF(AND(F38&gt;0,H38=0),Uebersetzung!D26,IF(ROUND(F38,1)&gt;=ROUND(H38,1),IF(EBF&gt;0,Uebersetzung!D25,Uebersetzung!D26),Uebersetzung!D26))</f>
        <v>non</v>
      </c>
      <c r="L38" s="1484">
        <f>IF(K38=MINERGIE!$N$12,1,IF(K38=MINERGIE!$N$13,2,0))</f>
        <v>2</v>
      </c>
      <c r="M38" s="1333" t="s">
        <v>2762</v>
      </c>
      <c r="N38" s="1554">
        <v>0</v>
      </c>
      <c r="O38" s="1333"/>
      <c r="P38" s="1333"/>
      <c r="Q38" s="1333">
        <v>0</v>
      </c>
      <c r="R38" s="1333">
        <v>0</v>
      </c>
      <c r="S38" s="1334">
        <f>MAX(MIN(S60,N56),0)</f>
        <v>0</v>
      </c>
      <c r="T38" s="1333"/>
      <c r="U38" s="1828"/>
      <c r="V38" s="1828"/>
      <c r="W38" s="813"/>
      <c r="X38" s="813"/>
    </row>
    <row r="39" spans="1:24" s="5" customFormat="1" ht="20.100000000000001" customHeight="1">
      <c r="A39" s="1565" t="s">
        <v>2932</v>
      </c>
      <c r="B39" s="1238" t="str">
        <f>Uebersetzung!D434</f>
        <v>Valeur limite Minergie pour l'éclairage en kWh/m²</v>
      </c>
      <c r="C39" s="8"/>
      <c r="D39" s="8"/>
      <c r="E39" s="794"/>
      <c r="F39" s="2297">
        <f>MINERGIE!K48</f>
        <v>0</v>
      </c>
      <c r="G39" s="2298"/>
      <c r="H39" s="2297">
        <f>MINERGIE!K49</f>
        <v>0</v>
      </c>
      <c r="I39" s="2298"/>
      <c r="J39" s="1408"/>
      <c r="K39" s="1482" t="str">
        <f>IF(MINERGIE!S63=FALSE,Uebersetzung!D26,IF(AND(F39=0,H39=0),"",IF(AND(F39=0,OR(MINERGIE!S82,MINERGIE!S86,MINERGIE!S90)),Uebersetzung!D26,IF(AND(F39&gt;0,H39&gt;0),IF(ROUND(F39,1)&gt;=ROUND(H39,1),Uebersetzung!D25,Uebersetzung!D26),))))</f>
        <v/>
      </c>
      <c r="L39" s="1484">
        <f>IF(K39=MINERGIE!$N$12,1,IF(K39=MINERGIE!$N$13,2,0))</f>
        <v>0</v>
      </c>
      <c r="M39" s="1333"/>
      <c r="N39" s="1333">
        <f>IF(N38=1,0,1)</f>
        <v>1</v>
      </c>
      <c r="O39" s="1333"/>
      <c r="P39" s="1333"/>
      <c r="Q39" s="1333">
        <v>0</v>
      </c>
      <c r="R39" s="1333">
        <v>0</v>
      </c>
      <c r="S39" s="1334">
        <f>IF(N52&lt;0,MAX(N54-MAX(0,-S60+S38),0),N54)</f>
        <v>0</v>
      </c>
      <c r="T39" s="1333"/>
      <c r="U39" s="1828"/>
      <c r="V39" s="1828"/>
      <c r="W39" s="813"/>
      <c r="X39" s="813"/>
    </row>
    <row r="40" spans="1:24" s="5" customFormat="1" ht="24" customHeight="1">
      <c r="A40" s="1565" t="s">
        <v>2933</v>
      </c>
      <c r="B40" s="2289" t="str">
        <f>MINERGIE!B57</f>
        <v>Taille minimale de l'installation d’autoproduction d’électricité:</v>
      </c>
      <c r="C40" s="2290"/>
      <c r="D40" s="2290"/>
      <c r="E40" s="1409" t="s">
        <v>2244</v>
      </c>
      <c r="F40" s="2303">
        <f>MINERGIE!E57</f>
        <v>0</v>
      </c>
      <c r="G40" s="2304"/>
      <c r="H40" s="2303">
        <f>MINERGIE!E55</f>
        <v>0</v>
      </c>
      <c r="I40" s="2304"/>
      <c r="J40" s="1117"/>
      <c r="K40" s="1481" t="str">
        <f>IF(wkk,Uebersetzung!D25,IF(ROUND(H40,2)&gt;=ROUND(F40,2),IF(EBF&gt;0,Uebersetzung!D25,Uebersetzung!D26),Uebersetzung!D26))</f>
        <v>non</v>
      </c>
      <c r="L40" s="1484">
        <f>IF(K40=MINERGIE!$N$12,1,IF(K40=MINERGIE!$N$13,2,0))</f>
        <v>2</v>
      </c>
      <c r="M40" s="1333"/>
      <c r="N40" s="1333"/>
      <c r="O40" s="1333"/>
      <c r="P40" s="1333"/>
      <c r="Q40" s="1333">
        <v>0</v>
      </c>
      <c r="R40" s="1333">
        <v>0</v>
      </c>
      <c r="S40" s="1334">
        <f>IF(N52&lt;0,MIN(N53,N55),N53)</f>
        <v>0</v>
      </c>
      <c r="T40" s="1333"/>
      <c r="U40" s="1828"/>
      <c r="V40" s="1828"/>
      <c r="W40" s="813"/>
      <c r="X40" s="813"/>
    </row>
    <row r="41" spans="1:24" s="5" customFormat="1" ht="19.899999999999999" customHeight="1">
      <c r="A41" s="1565" t="s">
        <v>2934</v>
      </c>
      <c r="B41" s="1247" t="str">
        <f>Uebersetzung!D320</f>
        <v>Protection thermique estivale dans le label Minergie</v>
      </c>
      <c r="C41" s="1441"/>
      <c r="D41" s="1441"/>
      <c r="E41" s="1442"/>
      <c r="F41" s="1469"/>
      <c r="G41" s="1470"/>
      <c r="H41" s="1469"/>
      <c r="I41" s="1470"/>
      <c r="J41" s="200"/>
      <c r="K41" s="1483" t="str">
        <f>IF(Eté!S52,Uebersetzung!D25,Uebersetzung!D26)</f>
        <v>non</v>
      </c>
      <c r="L41" s="1484">
        <f>IF(K41=MINERGIE!$N$12,1,IF(K41=MINERGIE!$N$13,2,0))</f>
        <v>2</v>
      </c>
      <c r="M41" s="1526"/>
      <c r="N41" s="1333"/>
      <c r="O41" s="1333"/>
      <c r="P41" s="1552" t="str">
        <f>M43</f>
        <v>Chauffage</v>
      </c>
      <c r="Q41" s="1334" t="e">
        <f>(MINERGIE!Z46)*(1/(R43+R42+R41)*R41)*N39</f>
        <v>#DIV/0!</v>
      </c>
      <c r="R41" s="1334">
        <f t="shared" ref="R41:R46" si="0">N43</f>
        <v>0</v>
      </c>
      <c r="S41" s="1333">
        <v>0</v>
      </c>
      <c r="T41" s="1333"/>
      <c r="U41" s="1828"/>
      <c r="V41" s="1828"/>
      <c r="W41" s="813"/>
      <c r="X41" s="813"/>
    </row>
    <row r="42" spans="1:24" s="5" customFormat="1" ht="19.899999999999999" customHeight="1">
      <c r="A42" s="1565" t="s">
        <v>2935</v>
      </c>
      <c r="B42" s="1123" t="str">
        <f>Uebersetzung!D464</f>
        <v>Part d'énergies fossiles</v>
      </c>
      <c r="C42" s="1452"/>
      <c r="D42" s="1452"/>
      <c r="E42" s="1453" t="s">
        <v>2541</v>
      </c>
      <c r="F42" s="2285">
        <f>IF(AND(MINERGIE!AH37&gt;0,H42&gt;0),MINERGIE!AH25,)</f>
        <v>0</v>
      </c>
      <c r="G42" s="2286"/>
      <c r="H42" s="2285">
        <f>IF(MINERGIE!AH14&gt;0,MINERGIE!AH38,)</f>
        <v>0</v>
      </c>
      <c r="I42" s="2286"/>
      <c r="J42" s="1452"/>
      <c r="K42" s="1482" t="str">
        <f>IF(Justificatif!P63=FALSE,Uebersetzung!D26,IF(ROUND(H42,3)&lt;=ROUND(F42,3),Uebersetzung!D25,Uebersetzung!D26))</f>
        <v>non</v>
      </c>
      <c r="L42" s="1484">
        <f>IF(K42=MINERGIE!$N$12,1,IF(K42=MINERGIE!$N$13,2,0))</f>
        <v>2</v>
      </c>
      <c r="M42" s="1526" t="str">
        <f>Uebersetzung!D446</f>
        <v>Besoins</v>
      </c>
      <c r="N42" s="1333"/>
      <c r="O42" s="1333"/>
      <c r="P42" s="1552" t="str">
        <f>M44</f>
        <v>Eau chaude</v>
      </c>
      <c r="Q42" s="1334" t="e">
        <f>(MINERGIE!Z46)*(1/(R43+R42+R41)*R42)*N39</f>
        <v>#DIV/0!</v>
      </c>
      <c r="R42" s="1334">
        <f t="shared" si="0"/>
        <v>0</v>
      </c>
      <c r="S42" s="1333">
        <v>0</v>
      </c>
      <c r="T42" s="1333"/>
      <c r="U42" s="1828"/>
      <c r="V42" s="1828"/>
      <c r="W42" s="813"/>
      <c r="X42" s="813"/>
    </row>
    <row r="43" spans="1:24" s="5" customFormat="1" ht="23.1" customHeight="1">
      <c r="A43" s="1565" t="s">
        <v>2936</v>
      </c>
      <c r="B43" s="2291" t="str">
        <f>IF(minergiea,Uebersetzung!D465,"")</f>
        <v/>
      </c>
      <c r="C43" s="2292"/>
      <c r="D43" s="2292"/>
      <c r="E43" s="865" t="s">
        <v>2259</v>
      </c>
      <c r="F43" s="2299" t="str">
        <f>IF(minergiea,MINERGIE!G59,"")</f>
        <v/>
      </c>
      <c r="G43" s="2300"/>
      <c r="H43" s="2299" t="str">
        <f>IF(minergiea,MINERGIE!H59,"")</f>
        <v/>
      </c>
      <c r="I43" s="2300"/>
      <c r="J43" s="17"/>
      <c r="K43" s="1561">
        <f>IF(minergiea,IF(AND(F43&gt;0,H43&gt;0),IF(ROUND(F43,1)&lt;=ROUND(H43,1),Uebersetzung!D25,Uebersetzung!D26),),)</f>
        <v>0</v>
      </c>
      <c r="L43" s="1484">
        <f>IF(K43=MINERGIE!$N$12,1,IF(K43=MINERGIE!$N$13,2,0))</f>
        <v>0</v>
      </c>
      <c r="M43" s="1333" t="str">
        <f>Uebersetzung!D436</f>
        <v>Chauffage</v>
      </c>
      <c r="N43" s="1334">
        <f>MINERGIE!S103</f>
        <v>0</v>
      </c>
      <c r="O43" s="1333" t="s">
        <v>524</v>
      </c>
      <c r="P43" s="1552" t="str">
        <f>M45</f>
        <v>ventilation et climatisation</v>
      </c>
      <c r="Q43" s="1334" t="e">
        <f>(MINERGIE!Z46)*(1/(R43+R42+R41)*R43)*N39</f>
        <v>#DIV/0!</v>
      </c>
      <c r="R43" s="1334">
        <f t="shared" si="0"/>
        <v>0</v>
      </c>
      <c r="S43" s="1333">
        <v>0</v>
      </c>
      <c r="T43" s="1333"/>
      <c r="U43" s="1828"/>
      <c r="V43" s="1828"/>
      <c r="W43" s="813"/>
      <c r="X43" s="813"/>
    </row>
    <row r="44" spans="1:24" s="5" customFormat="1" ht="19.899999999999999" customHeight="1">
      <c r="A44" s="1565" t="s">
        <v>2937</v>
      </c>
      <c r="B44" s="1450" t="str">
        <f>"   "&amp;Uebersetzung!D435</f>
        <v xml:space="preserve">   Visualisation de l'indice Minergie</v>
      </c>
      <c r="C44" s="1296"/>
      <c r="D44" s="143"/>
      <c r="E44" s="143"/>
      <c r="F44" s="143"/>
      <c r="G44" s="143"/>
      <c r="H44" s="143"/>
      <c r="I44" s="143"/>
      <c r="J44" s="143"/>
      <c r="K44" s="1451" t="s">
        <v>2489</v>
      </c>
      <c r="L44" s="813"/>
      <c r="M44" s="1333" t="str">
        <f>Uebersetzung!D437</f>
        <v>Eau chaude</v>
      </c>
      <c r="N44" s="1334">
        <f>MINERGIE!S18</f>
        <v>0</v>
      </c>
      <c r="O44" s="1333" t="s">
        <v>524</v>
      </c>
      <c r="P44" s="1552" t="str">
        <f>M46</f>
        <v>Electricité d'habitation</v>
      </c>
      <c r="Q44" s="1334">
        <f>MINERGIE!Z47</f>
        <v>0</v>
      </c>
      <c r="R44" s="1334">
        <f t="shared" si="0"/>
        <v>0</v>
      </c>
      <c r="S44" s="1333">
        <v>0</v>
      </c>
      <c r="T44" s="1333"/>
      <c r="U44" s="1828"/>
      <c r="V44" s="1828"/>
      <c r="W44" s="813"/>
      <c r="X44" s="813"/>
    </row>
    <row r="45" spans="1:24" s="5" customFormat="1" ht="19.899999999999999" customHeight="1">
      <c r="A45" s="1565"/>
      <c r="B45" s="2283" t="str">
        <f>M67&amp;"    "</f>
        <v xml:space="preserve">                                  E HWLK,li +
                        Besoins standard électricité
      </v>
      </c>
      <c r="C45" s="2284"/>
      <c r="D45" s="2284"/>
      <c r="E45" s="2284" t="str">
        <f>"             
 "&amp;M65</f>
        <v xml:space="preserve">             
        Valeur de l'objet
 </v>
      </c>
      <c r="F45" s="2284"/>
      <c r="G45" s="2284"/>
      <c r="H45" s="2172" t="str">
        <f>M63</f>
        <v xml:space="preserve">   Production PV</v>
      </c>
      <c r="I45" s="2172"/>
      <c r="J45" s="143"/>
      <c r="K45" s="1439" t="str">
        <f>Uebersetzung!D479&amp;" "&amp;Uebersetzung!D480</f>
        <v>MKZ H</v>
      </c>
      <c r="L45" s="813"/>
      <c r="M45" s="1333" t="str">
        <f>Uebersetzung!D470</f>
        <v>ventilation et climatisation</v>
      </c>
      <c r="N45" s="1550">
        <f>MINERGIE!S104</f>
        <v>0</v>
      </c>
      <c r="O45" s="1333" t="s">
        <v>524</v>
      </c>
      <c r="P45" s="1555" t="str">
        <f>M47</f>
        <v>Eclairage</v>
      </c>
      <c r="Q45" s="1334">
        <f>MINERGIE!Z48</f>
        <v>0</v>
      </c>
      <c r="R45" s="1334">
        <f t="shared" si="0"/>
        <v>0</v>
      </c>
      <c r="S45" s="1333">
        <v>0</v>
      </c>
      <c r="T45" s="1333"/>
      <c r="U45" s="1828"/>
      <c r="V45" s="1828"/>
      <c r="W45" s="813"/>
      <c r="X45" s="813"/>
    </row>
    <row r="46" spans="1:24" s="5" customFormat="1" ht="24" customHeight="1">
      <c r="A46" s="1565" t="s">
        <v>2938</v>
      </c>
      <c r="B46" s="2283"/>
      <c r="C46" s="2284"/>
      <c r="D46" s="2284"/>
      <c r="E46" s="2284"/>
      <c r="F46" s="2284"/>
      <c r="G46" s="2284"/>
      <c r="H46" s="2172"/>
      <c r="I46" s="2172"/>
      <c r="J46" s="143"/>
      <c r="K46" s="1440">
        <f>N43</f>
        <v>0</v>
      </c>
      <c r="L46" s="813"/>
      <c r="M46" s="1333" t="str">
        <f>Uebersetzung!D443</f>
        <v>Electricité d'habitation</v>
      </c>
      <c r="N46" s="1334">
        <f>MINERGIE!S44</f>
        <v>0</v>
      </c>
      <c r="O46" s="1333" t="s">
        <v>524</v>
      </c>
      <c r="P46" s="1552" t="s">
        <v>1864</v>
      </c>
      <c r="Q46" s="1334">
        <f>MINERGIE!Z49</f>
        <v>0</v>
      </c>
      <c r="R46" s="1334">
        <f t="shared" si="0"/>
        <v>0</v>
      </c>
      <c r="S46" s="1333">
        <v>0</v>
      </c>
      <c r="T46" s="1333"/>
      <c r="U46" s="1828"/>
      <c r="V46" s="1828"/>
      <c r="W46" s="813"/>
      <c r="X46" s="813"/>
    </row>
    <row r="47" spans="1:24" s="5" customFormat="1" ht="20.100000000000001" customHeight="1">
      <c r="A47" s="1565"/>
      <c r="B47" s="2283"/>
      <c r="C47" s="2284"/>
      <c r="D47" s="2284"/>
      <c r="E47" s="1593"/>
      <c r="F47" s="1593"/>
      <c r="G47" s="1593"/>
      <c r="H47" s="1562"/>
      <c r="I47" s="1562"/>
      <c r="J47" s="143"/>
      <c r="K47" s="1439" t="str">
        <f>Uebersetzung!D479&amp;" "&amp;Uebersetzung!D481</f>
        <v>MKZ ww</v>
      </c>
      <c r="L47" s="813"/>
      <c r="M47" s="1333" t="str">
        <f>Uebersetzung!D438</f>
        <v>Eclairage</v>
      </c>
      <c r="N47" s="1334">
        <f>MINERGIE!S56+MINERGIE!S94+MINERGIE!S100</f>
        <v>0</v>
      </c>
      <c r="O47" s="1333" t="s">
        <v>524</v>
      </c>
      <c r="P47" s="1333" t="str">
        <f>M49</f>
        <v>Installations techn. du bâtiment</v>
      </c>
      <c r="Q47" s="1334">
        <f>MINERGIE!Z50</f>
        <v>0</v>
      </c>
      <c r="R47" s="1334">
        <f>N49</f>
        <v>0</v>
      </c>
      <c r="S47" s="1333">
        <v>0</v>
      </c>
      <c r="T47" s="1333"/>
      <c r="U47" s="1828"/>
      <c r="V47" s="1828"/>
      <c r="W47" s="813"/>
      <c r="X47" s="813"/>
    </row>
    <row r="48" spans="1:24" s="5" customFormat="1" ht="20.100000000000001" customHeight="1">
      <c r="A48" s="1565" t="s">
        <v>2939</v>
      </c>
      <c r="B48" s="1295"/>
      <c r="C48" s="1296"/>
      <c r="D48" s="143"/>
      <c r="E48" s="143"/>
      <c r="F48" s="143"/>
      <c r="G48" s="143"/>
      <c r="H48" s="143"/>
      <c r="I48" s="143"/>
      <c r="J48" s="143"/>
      <c r="K48" s="1440">
        <f>N44</f>
        <v>0</v>
      </c>
      <c r="L48" s="813"/>
      <c r="M48" s="1333" t="str">
        <f>Uebersetzung!D439</f>
        <v>Appareils</v>
      </c>
      <c r="N48" s="1334">
        <f>MINERGIE!S59</f>
        <v>0</v>
      </c>
      <c r="O48" s="1333" t="s">
        <v>524</v>
      </c>
      <c r="P48" s="1551" t="s">
        <v>2659</v>
      </c>
      <c r="Q48" s="1334">
        <f>MINERGIE!Z46*N38</f>
        <v>0</v>
      </c>
      <c r="R48" s="1333">
        <v>0</v>
      </c>
      <c r="S48" s="1333">
        <v>0</v>
      </c>
      <c r="T48" s="1333"/>
      <c r="U48" s="1828"/>
      <c r="V48" s="1828"/>
      <c r="W48" s="813"/>
      <c r="X48" s="813"/>
    </row>
    <row r="49" spans="1:24" s="5" customFormat="1" ht="20.100000000000001" customHeight="1">
      <c r="A49" s="1589"/>
      <c r="B49" s="1109"/>
      <c r="C49" s="143"/>
      <c r="D49" s="143"/>
      <c r="E49" s="143"/>
      <c r="F49" s="143"/>
      <c r="G49" s="143"/>
      <c r="H49" s="143"/>
      <c r="I49" s="143"/>
      <c r="J49" s="143"/>
      <c r="K49" s="1439" t="str">
        <f>Uebersetzung!D479&amp;" "&amp;Uebersetzung!D482</f>
        <v>MKZ LK</v>
      </c>
      <c r="L49" s="813"/>
      <c r="M49" s="1333" t="str">
        <f>Uebersetzung!D440</f>
        <v>Installations techn. du bâtiment</v>
      </c>
      <c r="N49" s="1334">
        <f>MINERGIE!S68</f>
        <v>0</v>
      </c>
      <c r="O49" s="1333" t="s">
        <v>524</v>
      </c>
      <c r="P49" s="1333"/>
      <c r="Q49" s="1334">
        <v>0</v>
      </c>
      <c r="R49" s="1333"/>
      <c r="S49" s="1333"/>
      <c r="T49" s="1333"/>
      <c r="U49" s="1828"/>
      <c r="V49" s="1828"/>
      <c r="W49" s="813"/>
      <c r="X49" s="813"/>
    </row>
    <row r="50" spans="1:24" s="5" customFormat="1" ht="20.100000000000001" customHeight="1">
      <c r="A50" s="1567" t="s">
        <v>2940</v>
      </c>
      <c r="B50" s="1109"/>
      <c r="C50" s="143"/>
      <c r="D50" s="143"/>
      <c r="E50" s="143"/>
      <c r="F50" s="143"/>
      <c r="G50" s="143"/>
      <c r="H50" s="143"/>
      <c r="I50" s="143"/>
      <c r="J50" s="143"/>
      <c r="K50" s="1440">
        <f>N45</f>
        <v>0</v>
      </c>
      <c r="L50" s="813"/>
      <c r="M50" s="1333" t="s">
        <v>691</v>
      </c>
      <c r="N50" s="1334">
        <f>SUM(N43:N49)</f>
        <v>0</v>
      </c>
      <c r="O50" s="1333" t="s">
        <v>524</v>
      </c>
      <c r="P50" s="1333"/>
      <c r="Q50" s="1334">
        <v>0</v>
      </c>
      <c r="R50" s="1333">
        <v>0</v>
      </c>
      <c r="S50" s="1333">
        <v>0</v>
      </c>
      <c r="T50" s="1333"/>
      <c r="U50" s="1828"/>
      <c r="V50" s="1828"/>
      <c r="W50" s="813"/>
      <c r="X50" s="813"/>
    </row>
    <row r="51" spans="1:24" s="5" customFormat="1" ht="20.100000000000001" customHeight="1">
      <c r="A51" s="1567"/>
      <c r="B51" s="1109"/>
      <c r="C51" s="143"/>
      <c r="D51" s="143"/>
      <c r="E51" s="143"/>
      <c r="F51" s="143"/>
      <c r="G51" s="143"/>
      <c r="H51" s="143"/>
      <c r="I51" s="143"/>
      <c r="J51" s="143"/>
      <c r="K51" s="1557" t="str">
        <f>Uebersetzung!D479&amp;" "&amp;Uebersetzung!D483</f>
        <v>MKZ el,wohn.</v>
      </c>
      <c r="L51" s="813"/>
      <c r="M51" s="1333" t="str">
        <f>Uebersetzung!D441</f>
        <v>Besoins d'énergie finale</v>
      </c>
      <c r="N51" s="1334"/>
      <c r="O51" s="1333"/>
      <c r="P51" s="1552"/>
      <c r="Q51" s="813"/>
      <c r="R51" s="1333">
        <v>0</v>
      </c>
      <c r="S51" s="1333">
        <v>0</v>
      </c>
      <c r="T51" s="1333"/>
      <c r="U51" s="1828"/>
      <c r="V51" s="1828"/>
      <c r="W51" s="813"/>
      <c r="X51" s="813"/>
    </row>
    <row r="52" spans="1:24" s="5" customFormat="1" ht="20.100000000000001" customHeight="1">
      <c r="A52" s="1567" t="s">
        <v>2941</v>
      </c>
      <c r="B52" s="1109"/>
      <c r="C52" s="880"/>
      <c r="D52" s="143"/>
      <c r="E52" s="143"/>
      <c r="F52" s="143"/>
      <c r="G52" s="143"/>
      <c r="H52" s="143"/>
      <c r="I52" s="143"/>
      <c r="J52" s="143"/>
      <c r="K52" s="1440">
        <f>N46</f>
        <v>0</v>
      </c>
      <c r="L52" s="813"/>
      <c r="M52" s="1333" t="str">
        <f>Uebersetzung!D442</f>
        <v>Indice Minergie calculé</v>
      </c>
      <c r="N52" s="1334">
        <f>H30</f>
        <v>0</v>
      </c>
      <c r="O52" s="1333" t="s">
        <v>524</v>
      </c>
      <c r="P52" s="1552"/>
      <c r="Q52" s="813"/>
      <c r="R52" s="1333">
        <v>0</v>
      </c>
      <c r="S52" s="1333">
        <v>0</v>
      </c>
      <c r="T52" s="1333"/>
      <c r="U52" s="1828"/>
      <c r="V52" s="1828"/>
      <c r="W52" s="813"/>
      <c r="X52" s="813"/>
    </row>
    <row r="53" spans="1:24" s="5" customFormat="1" ht="20.100000000000001" customHeight="1">
      <c r="A53" s="1568"/>
      <c r="B53" s="1109"/>
      <c r="C53" s="880"/>
      <c r="D53" s="880"/>
      <c r="E53" s="880"/>
      <c r="F53" s="880"/>
      <c r="G53" s="880"/>
      <c r="H53" s="880"/>
      <c r="I53" s="880"/>
      <c r="J53" s="880"/>
      <c r="K53" s="1439" t="str">
        <f>Uebersetzung!D479&amp;" "&amp;Uebersetzung!D484</f>
        <v>MKZ Bel</v>
      </c>
      <c r="L53" s="883"/>
      <c r="M53" s="1333" t="str">
        <f>Uebersetzung!D444</f>
        <v>PV autoconsommation</v>
      </c>
      <c r="N53" s="1334">
        <f>MINERGIE!S71</f>
        <v>0</v>
      </c>
      <c r="O53" s="1333" t="s">
        <v>524</v>
      </c>
      <c r="P53" s="813"/>
      <c r="Q53" s="813"/>
      <c r="R53" s="1333">
        <v>0</v>
      </c>
      <c r="S53" s="1333">
        <v>0</v>
      </c>
      <c r="T53" s="1333"/>
      <c r="U53" s="1828"/>
      <c r="V53" s="1828"/>
      <c r="W53" s="813"/>
      <c r="X53" s="813"/>
    </row>
    <row r="54" spans="1:24" s="5" customFormat="1" ht="20.100000000000001" customHeight="1">
      <c r="A54" s="1565" t="s">
        <v>2942</v>
      </c>
      <c r="B54" s="1295"/>
      <c r="C54" s="880"/>
      <c r="D54" s="880"/>
      <c r="E54" s="880"/>
      <c r="F54" s="880"/>
      <c r="G54" s="880"/>
      <c r="H54" s="880"/>
      <c r="I54" s="880"/>
      <c r="J54" s="880"/>
      <c r="K54" s="1440">
        <f>N47</f>
        <v>0</v>
      </c>
      <c r="L54" s="883"/>
      <c r="M54" s="1333" t="str">
        <f>Uebersetzung!D445</f>
        <v>PV part injectée</v>
      </c>
      <c r="N54" s="1553">
        <f>MINERGIE!S72</f>
        <v>0</v>
      </c>
      <c r="O54" s="1333" t="s">
        <v>524</v>
      </c>
      <c r="P54" s="1552"/>
      <c r="Q54" s="813"/>
      <c r="R54" s="1333">
        <v>0</v>
      </c>
      <c r="S54" s="1333">
        <v>0</v>
      </c>
      <c r="T54" s="1333"/>
      <c r="U54" s="1828"/>
      <c r="V54" s="1828"/>
      <c r="W54" s="813"/>
      <c r="X54" s="813"/>
    </row>
    <row r="55" spans="1:24" s="5" customFormat="1" ht="20.100000000000001" customHeight="1">
      <c r="A55" s="1564"/>
      <c r="B55" s="1295"/>
      <c r="C55" s="1297"/>
      <c r="D55" s="1118"/>
      <c r="E55" s="143"/>
      <c r="F55" s="143"/>
      <c r="G55" s="143"/>
      <c r="H55" s="143"/>
      <c r="I55" s="143"/>
      <c r="J55" s="143"/>
      <c r="K55" s="1439" t="str">
        <f>Uebersetzung!D479&amp;" "&amp;Uebersetzung!D485</f>
        <v>MKZ Geräte</v>
      </c>
      <c r="L55" s="812"/>
      <c r="M55" s="1526" t="s">
        <v>691</v>
      </c>
      <c r="N55" s="1528">
        <f>SUM(N52:N54)</f>
        <v>0</v>
      </c>
      <c r="O55" s="1333" t="s">
        <v>524</v>
      </c>
      <c r="P55" s="1333"/>
      <c r="Q55" s="1334" t="e">
        <f>SUM(Q37:Q53)</f>
        <v>#DIV/0!</v>
      </c>
      <c r="R55" s="1334">
        <f>SUM(R30:R54)</f>
        <v>0</v>
      </c>
      <c r="S55" s="1334">
        <f>SUM(S37:S40)</f>
        <v>0</v>
      </c>
      <c r="T55" s="1334">
        <f>S55</f>
        <v>0</v>
      </c>
      <c r="U55" s="1828"/>
      <c r="V55" s="1828"/>
      <c r="W55" s="813"/>
      <c r="X55" s="813"/>
    </row>
    <row r="56" spans="1:24" s="5" customFormat="1" ht="20.100000000000001" customHeight="1">
      <c r="A56" s="1564" t="s">
        <v>2943</v>
      </c>
      <c r="B56" s="1295"/>
      <c r="C56" s="1296"/>
      <c r="D56" s="1118"/>
      <c r="E56" s="143"/>
      <c r="F56" s="143"/>
      <c r="G56" s="143"/>
      <c r="H56" s="143"/>
      <c r="I56" s="143"/>
      <c r="J56" s="143"/>
      <c r="K56" s="1440">
        <f>N48</f>
        <v>0</v>
      </c>
      <c r="L56" s="813"/>
      <c r="M56" s="1333" t="str">
        <f>Uebersetzung!D473</f>
        <v>PV non pris en compte</v>
      </c>
      <c r="N56" s="1334">
        <f>N54/4*6</f>
        <v>0</v>
      </c>
      <c r="O56" s="1333" t="s">
        <v>524</v>
      </c>
      <c r="P56" s="1333"/>
      <c r="Q56" s="1334">
        <v>1</v>
      </c>
      <c r="R56" s="1333">
        <v>3</v>
      </c>
      <c r="S56" s="1333">
        <v>1</v>
      </c>
      <c r="T56" s="1333">
        <v>3</v>
      </c>
      <c r="U56" s="1828"/>
      <c r="V56" s="1828"/>
      <c r="W56" s="813"/>
      <c r="X56" s="813"/>
    </row>
    <row r="57" spans="1:24" s="5" customFormat="1" ht="17.25" customHeight="1">
      <c r="A57" s="1565"/>
      <c r="B57" s="1295"/>
      <c r="C57" s="1298"/>
      <c r="D57" s="1299"/>
      <c r="E57" s="143"/>
      <c r="F57" s="143"/>
      <c r="G57" s="143"/>
      <c r="H57" s="143"/>
      <c r="I57" s="143"/>
      <c r="J57" s="143"/>
      <c r="K57" s="1439" t="str">
        <f>Uebersetzung!D479&amp;" "&amp;Uebersetzung!D486</f>
        <v>MKZ AGT</v>
      </c>
      <c r="L57" s="813"/>
      <c r="M57" s="1333"/>
      <c r="N57" s="1333"/>
      <c r="O57" s="1333"/>
      <c r="P57" s="1333"/>
      <c r="Q57" s="1333"/>
      <c r="R57" s="1333"/>
      <c r="S57" s="1333"/>
      <c r="T57" s="1333"/>
      <c r="U57" s="1828"/>
      <c r="V57" s="1828"/>
      <c r="W57" s="813"/>
      <c r="X57" s="813"/>
    </row>
    <row r="58" spans="1:24" s="5" customFormat="1" ht="17.25" customHeight="1">
      <c r="A58" s="1565" t="s">
        <v>2944</v>
      </c>
      <c r="B58" s="1295"/>
      <c r="C58" s="1298"/>
      <c r="D58" s="1118"/>
      <c r="E58" s="143"/>
      <c r="F58" s="143"/>
      <c r="G58" s="143"/>
      <c r="H58" s="143"/>
      <c r="I58" s="143"/>
      <c r="J58" s="143"/>
      <c r="K58" s="1440">
        <f>N49</f>
        <v>0</v>
      </c>
      <c r="L58" s="813"/>
      <c r="M58" s="1333" t="str">
        <f>Uebersetzung!D447</f>
        <v>Potentiel d'optimisation</v>
      </c>
      <c r="N58" s="1334">
        <f>H30-F30</f>
        <v>0</v>
      </c>
      <c r="O58" s="1333" t="s">
        <v>524</v>
      </c>
      <c r="P58" s="1333"/>
      <c r="Q58" s="1334"/>
      <c r="R58" s="1333"/>
      <c r="S58" s="1333"/>
      <c r="T58" s="1333"/>
      <c r="U58" s="1828"/>
      <c r="V58" s="1828"/>
      <c r="W58" s="813"/>
      <c r="X58" s="813"/>
    </row>
    <row r="59" spans="1:24" s="5" customFormat="1" ht="17.25" customHeight="1">
      <c r="A59" s="1565"/>
      <c r="B59" s="1295"/>
      <c r="C59" s="1298"/>
      <c r="D59" s="1118"/>
      <c r="E59" s="143"/>
      <c r="F59" s="143"/>
      <c r="G59" s="143"/>
      <c r="H59" s="143"/>
      <c r="I59" s="143"/>
      <c r="J59" s="143"/>
      <c r="K59" s="1439" t="str">
        <f>"E "&amp;Uebersetzung!D487</f>
        <v>E EB</v>
      </c>
      <c r="L59" s="813"/>
      <c r="M59" s="1333"/>
      <c r="N59" s="1333"/>
      <c r="O59" s="1333"/>
      <c r="P59" s="1333"/>
      <c r="Q59" s="1334"/>
      <c r="R59" s="1333"/>
      <c r="S59" s="1333">
        <v>1</v>
      </c>
      <c r="T59" s="1333">
        <v>3</v>
      </c>
      <c r="U59" s="1828"/>
      <c r="V59" s="1828"/>
      <c r="W59" s="813"/>
      <c r="X59" s="813"/>
    </row>
    <row r="60" spans="1:24" s="5" customFormat="1" ht="17.25" customHeight="1">
      <c r="A60" s="1565" t="s">
        <v>2945</v>
      </c>
      <c r="B60" s="1295"/>
      <c r="C60" s="1298" t="b">
        <v>0</v>
      </c>
      <c r="D60" s="1118"/>
      <c r="E60" s="143"/>
      <c r="F60" s="143"/>
      <c r="G60" s="143"/>
      <c r="H60" s="143"/>
      <c r="I60" s="143"/>
      <c r="J60" s="143"/>
      <c r="K60" s="1440">
        <f>N53</f>
        <v>0</v>
      </c>
      <c r="L60" s="813"/>
      <c r="M60" s="1333" t="str">
        <f>M52</f>
        <v>Indice Minergie calculé</v>
      </c>
      <c r="N60" s="1329">
        <f>H30</f>
        <v>0</v>
      </c>
      <c r="O60" s="1333" t="s">
        <v>524</v>
      </c>
      <c r="P60" s="1333"/>
      <c r="Q60" s="813"/>
      <c r="R60" s="813"/>
      <c r="S60" s="1334">
        <f>N60</f>
        <v>0</v>
      </c>
      <c r="T60" s="1334">
        <f>S60</f>
        <v>0</v>
      </c>
      <c r="U60" s="1828"/>
      <c r="V60" s="1828"/>
      <c r="W60" s="813"/>
      <c r="X60" s="813"/>
    </row>
    <row r="61" spans="1:24" s="5" customFormat="1" ht="17.25" customHeight="1">
      <c r="A61" s="1565"/>
      <c r="B61" s="1295"/>
      <c r="C61" s="1298" t="b">
        <v>0</v>
      </c>
      <c r="D61" s="1118"/>
      <c r="E61" s="143"/>
      <c r="F61" s="143"/>
      <c r="G61" s="143"/>
      <c r="H61" s="143"/>
      <c r="I61" s="143"/>
      <c r="J61" s="143"/>
      <c r="K61" s="1439" t="str">
        <f>"E "&amp;Uebersetzung!D488</f>
        <v>E Netz</v>
      </c>
      <c r="L61" s="813"/>
      <c r="M61" s="1333" t="str">
        <f>Uebersetzung!D450</f>
        <v>Indice Minergie max.</v>
      </c>
      <c r="N61" s="1334">
        <f>F30</f>
        <v>0</v>
      </c>
      <c r="O61" s="1333" t="s">
        <v>524</v>
      </c>
      <c r="P61" s="1333"/>
      <c r="Q61" s="813"/>
      <c r="R61" s="813"/>
      <c r="S61" s="1334">
        <f>N61</f>
        <v>0</v>
      </c>
      <c r="T61" s="1334">
        <f>S61</f>
        <v>0</v>
      </c>
      <c r="U61" s="1828"/>
      <c r="V61" s="1828"/>
      <c r="W61" s="813"/>
      <c r="X61" s="813"/>
    </row>
    <row r="62" spans="1:24" s="5" customFormat="1" ht="17.25" customHeight="1">
      <c r="A62" s="1565" t="s">
        <v>2946</v>
      </c>
      <c r="B62" s="1295"/>
      <c r="C62" s="1298" t="b">
        <v>1</v>
      </c>
      <c r="D62" s="1118"/>
      <c r="E62" s="143"/>
      <c r="F62" s="143"/>
      <c r="G62" s="143"/>
      <c r="H62" s="143"/>
      <c r="I62" s="143"/>
      <c r="J62" s="143"/>
      <c r="K62" s="1440">
        <f>N54</f>
        <v>0</v>
      </c>
      <c r="L62" s="1329"/>
      <c r="M62" s="1333" t="str">
        <f>Uebersetzung!D449</f>
        <v>Besoins</v>
      </c>
      <c r="N62" s="1333"/>
      <c r="O62" s="1333"/>
      <c r="P62" s="1333"/>
      <c r="Q62" s="1334"/>
      <c r="R62" s="1333"/>
      <c r="S62" s="1333"/>
      <c r="T62" s="1333"/>
      <c r="U62" s="1828"/>
      <c r="V62" s="1828"/>
      <c r="W62" s="813"/>
      <c r="X62" s="813"/>
    </row>
    <row r="63" spans="1:24" s="5" customFormat="1" ht="17.25" customHeight="1">
      <c r="A63" s="1565" t="s">
        <v>2947</v>
      </c>
      <c r="B63" s="209"/>
      <c r="C63" s="1300"/>
      <c r="D63" s="1301"/>
      <c r="E63" s="151"/>
      <c r="F63" s="151"/>
      <c r="G63" s="151"/>
      <c r="H63" s="151"/>
      <c r="I63" s="151"/>
      <c r="J63" s="151"/>
      <c r="K63" s="1520" t="str">
        <f>Uebersetzung!D479&amp;" = "&amp;ROUND(N52,1)</f>
        <v>MKZ = 0</v>
      </c>
      <c r="L63" s="813"/>
      <c r="M63" s="1333" t="str">
        <f>Uebersetzung!D471</f>
        <v xml:space="preserve">   Production PV</v>
      </c>
      <c r="N63" s="1333"/>
      <c r="O63" s="1333"/>
      <c r="P63" s="1333"/>
      <c r="Q63" s="1333"/>
      <c r="R63" s="1333"/>
      <c r="S63" s="1333"/>
      <c r="T63" s="1333"/>
      <c r="U63" s="1828"/>
      <c r="V63" s="1828"/>
      <c r="W63" s="813"/>
      <c r="X63" s="813"/>
    </row>
    <row r="64" spans="1:24" s="5" customFormat="1" ht="17.25" hidden="1" customHeight="1">
      <c r="A64" s="1565" t="s">
        <v>116</v>
      </c>
      <c r="B64" s="1312" t="str">
        <f>IF(auswahl8&gt;0,INDEX(#REF!,9),"")</f>
        <v/>
      </c>
      <c r="C64" s="1313"/>
      <c r="D64" s="1029" t="str">
        <f>IF(auswahl8&gt;0,INDEX(#REF!,9),"")</f>
        <v/>
      </c>
      <c r="E64" s="1030"/>
      <c r="F64" s="1031"/>
      <c r="G64" s="1032" t="s">
        <v>310</v>
      </c>
      <c r="H64" s="1032" t="s">
        <v>311</v>
      </c>
      <c r="I64" s="1033">
        <f>IF(OR(minergiep,minergiea),IF(Neubau=2,"0.6 1/h",IF(Neubau=3,"1.5 1/h","0.6 (bzw. 1.5)")),)</f>
        <v>0</v>
      </c>
      <c r="J64" s="1314"/>
      <c r="K64" s="1315"/>
      <c r="L64" s="812"/>
      <c r="M64" s="1526" t="b">
        <v>0</v>
      </c>
      <c r="N64" s="1333"/>
      <c r="O64" s="1333"/>
      <c r="P64" s="1333"/>
      <c r="Q64" s="1333"/>
      <c r="R64" s="1333"/>
      <c r="S64" s="1333"/>
      <c r="T64" s="1333"/>
      <c r="U64" s="1828"/>
      <c r="V64" s="1828"/>
      <c r="W64" s="813"/>
      <c r="X64" s="813"/>
    </row>
    <row r="65" spans="1:24" s="498" customFormat="1">
      <c r="A65" s="1567"/>
      <c r="B65" s="1316">
        <f ca="1">NOW()</f>
        <v>44187.699461342592</v>
      </c>
      <c r="C65" s="5"/>
      <c r="D65" s="5"/>
      <c r="E65" s="5"/>
      <c r="F65" s="5"/>
      <c r="G65" s="5"/>
      <c r="H65" s="5"/>
      <c r="I65" s="5"/>
      <c r="J65" s="5"/>
      <c r="K65" s="787" t="str">
        <f>Entrées!K47</f>
        <v xml:space="preserve"> /  /  /  /  /  / </v>
      </c>
      <c r="L65" s="1330"/>
      <c r="M65" s="1333" t="str">
        <f>Uebersetzung!D472</f>
        <v xml:space="preserve">       Valeur de l'objet
 </v>
      </c>
      <c r="N65" s="1530"/>
      <c r="O65" s="1530"/>
      <c r="P65" s="1530"/>
      <c r="Q65" s="1530"/>
      <c r="R65" s="1530"/>
      <c r="S65" s="1530"/>
      <c r="T65" s="1530"/>
      <c r="U65" s="1830"/>
      <c r="V65" s="1830"/>
      <c r="W65" s="1331"/>
      <c r="X65" s="1331"/>
    </row>
    <row r="66" spans="1:24" s="498" customFormat="1">
      <c r="A66" s="1567"/>
      <c r="F66" s="1265"/>
      <c r="G66" s="1265"/>
      <c r="H66" s="1265"/>
      <c r="I66" s="1649"/>
      <c r="L66" s="1330"/>
      <c r="M66" s="1531"/>
      <c r="N66" s="1530"/>
      <c r="O66" s="1530"/>
      <c r="P66" s="1530"/>
      <c r="Q66" s="1530"/>
      <c r="R66" s="1530"/>
      <c r="S66" s="1530"/>
      <c r="T66" s="1530"/>
      <c r="U66" s="1830"/>
      <c r="V66" s="1830"/>
      <c r="W66" s="1331"/>
      <c r="X66" s="1331"/>
    </row>
    <row r="67" spans="1:24">
      <c r="K67" s="1647"/>
      <c r="M67" s="1532" t="str">
        <f>Uebersetzung!D477</f>
        <v xml:space="preserve">                                  E HWLK,li +
                        Besoins standard électricité
  </v>
      </c>
    </row>
  </sheetData>
  <sheetProtection algorithmName="SHA-512" hashValue="sAAxb1fNujUdxZay/HKc/LGI0V5jHbOQJM+COd+qRrPUeHMPjfoXu2Z5ndAYSTB0vySbk+8zW47jyFvsMHDLFQ==" saltValue="yW27MMf9aJUO7mvWRfOyHg==" spinCount="100000"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Entrées!K1</f>
        <v>Formulaire MINERGIE 2021.1, à utiliser jusqu'au 31 décembre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IF(Entrées!$I$14="",1,VLOOKUP(Entrées!$I$14,Standardwerte!$A$7:$G$47,7,FALSE))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IF(AND(Kategorie1=13,BadMisch),0,Entrées!F19)</f>
        <v>0</v>
      </c>
      <c r="L5" s="294" t="s">
        <v>169</v>
      </c>
      <c r="M5" s="297">
        <f>IF(Zonen&gt;1,IF(AND(Kategorie2=13,BadMisch),0,Entrées!G19),0)</f>
        <v>0</v>
      </c>
      <c r="N5" s="294" t="s">
        <v>170</v>
      </c>
      <c r="O5" s="297">
        <f>IF(Zonen&gt;2,IF(AND(Kategorie3=13,BadMisch),0,Entrées!H19),0)</f>
        <v>0</v>
      </c>
      <c r="P5" s="294" t="s">
        <v>171</v>
      </c>
      <c r="Q5" s="297">
        <f>IF(Zonen&gt;3,IF(AND(Kategorie4=13,BadMisch),0,Entrées!I19),0)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50" t="str">
        <f>IF(auswahl2=1,INDEX(Standardwerte!$AF$5:$AF$13,3),"")</f>
        <v/>
      </c>
      <c r="AF5" s="1352"/>
      <c r="AG5" s="141"/>
      <c r="AH5" s="141" t="str">
        <f>INDEX($I$9:$I$21,AH4,1)</f>
        <v>Habitat collectif</v>
      </c>
      <c r="AI5" s="141" t="str">
        <f t="shared" ref="AI5:AS5" si="0">INDEX($I$9:$I$21,AI4,1)</f>
        <v>Habitat individuel</v>
      </c>
      <c r="AJ5" s="141" t="str">
        <f t="shared" si="0"/>
        <v>Administration</v>
      </c>
      <c r="AK5" s="141" t="str">
        <f t="shared" si="0"/>
        <v>Ecole</v>
      </c>
      <c r="AL5" s="141" t="str">
        <f t="shared" si="0"/>
        <v>Commerce</v>
      </c>
      <c r="AM5" s="141" t="str">
        <f t="shared" si="0"/>
        <v>Restaurant</v>
      </c>
      <c r="AN5" s="141" t="str">
        <f t="shared" si="0"/>
        <v>Lieu de rassemblement</v>
      </c>
      <c r="AO5" s="141" t="str">
        <f t="shared" si="0"/>
        <v>Hôpital</v>
      </c>
      <c r="AP5" s="141" t="str">
        <f t="shared" si="0"/>
        <v>Industrie</v>
      </c>
      <c r="AQ5" s="141" t="str">
        <f t="shared" si="0"/>
        <v>Entrepôt</v>
      </c>
      <c r="AR5" s="141" t="str">
        <f t="shared" si="0"/>
        <v>Installation sportive</v>
      </c>
      <c r="AS5" s="321" t="str">
        <f t="shared" si="0"/>
        <v>Piscine couverte</v>
      </c>
      <c r="AT5" s="324" t="s">
        <v>650</v>
      </c>
      <c r="AU5" s="324" t="s">
        <v>651</v>
      </c>
      <c r="AV5" s="323" t="s">
        <v>555</v>
      </c>
      <c r="AW5" s="140" t="s">
        <v>556</v>
      </c>
      <c r="AX5" s="140" t="s">
        <v>234</v>
      </c>
      <c r="AY5" s="140" t="s">
        <v>235</v>
      </c>
      <c r="AZ5" s="140" t="s">
        <v>212</v>
      </c>
      <c r="BA5" s="516"/>
      <c r="BB5" s="88">
        <v>2</v>
      </c>
      <c r="BC5" s="525" t="str">
        <f t="shared" ref="BC5:BC32" si="1">A98</f>
        <v>Argovie</v>
      </c>
      <c r="BD5" s="285" t="b">
        <v>1</v>
      </c>
      <c r="BE5" s="88">
        <v>2</v>
      </c>
    </row>
    <row r="6" spans="1:57" ht="15" customHeight="1">
      <c r="A6" s="85"/>
      <c r="B6" s="81"/>
      <c r="C6" s="81" t="s">
        <v>250</v>
      </c>
      <c r="D6" s="82" t="s">
        <v>213</v>
      </c>
      <c r="E6" s="81" t="s">
        <v>251</v>
      </c>
      <c r="F6" s="86" t="s">
        <v>206</v>
      </c>
      <c r="G6" s="565"/>
      <c r="I6" s="326"/>
      <c r="J6" s="295" t="s">
        <v>172</v>
      </c>
      <c r="K6" s="296">
        <f>IF(AND(Kategorie1=13,BadMisch),0,Entrées!F91)</f>
        <v>0</v>
      </c>
      <c r="L6" s="295" t="s">
        <v>173</v>
      </c>
      <c r="M6" s="296">
        <f>IF(Zonen&gt;1,IF(AND(Kategorie2=13,BadMisch),0,Entrées!G91),0)</f>
        <v>0</v>
      </c>
      <c r="N6" s="295" t="s">
        <v>174</v>
      </c>
      <c r="O6" s="296">
        <f>IF(Zonen&gt;2,IF(AND(Kategorie3=13,BadMisch),0,Entrées!H91),0)</f>
        <v>0</v>
      </c>
      <c r="P6" s="295" t="s">
        <v>175</v>
      </c>
      <c r="Q6" s="296">
        <f>IF(Zonen&gt;3,IF(AND(Kategorie4=13,BadMisch),0,Entrées!I91),0)</f>
        <v>0</v>
      </c>
      <c r="R6" s="274" t="b">
        <f>OR(WWBonus1,WWBonus2,WWBonus3,WWBonus4)</f>
        <v>0</v>
      </c>
      <c r="S6" s="274"/>
      <c r="AE6" s="1771">
        <v>1</v>
      </c>
      <c r="AF6" s="1772" t="str">
        <f>Uebersetzung!D389</f>
        <v>Etanchéité de la surface de l'enveloppe</v>
      </c>
      <c r="AG6" s="1351"/>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Concept d'étanchéité annexé?</v>
      </c>
      <c r="BB6" s="120">
        <v>3</v>
      </c>
      <c r="BC6" s="526" t="str">
        <f t="shared" si="1"/>
        <v>Appenzell Rhodes-Intérieures</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12" t="s">
        <v>819</v>
      </c>
      <c r="W7" s="84"/>
      <c r="AE7" s="1758">
        <v>1</v>
      </c>
      <c r="AF7" s="523" t="str">
        <f>Uebersetzung!D390</f>
        <v>Etanchéité de la surface de l'enveloppe, rénovation</v>
      </c>
      <c r="AG7" s="1351"/>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 Rhodes-Extérieures</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8">
        <v>1</v>
      </c>
      <c r="AF8" s="523" t="str">
        <f>Uebersetzung!D392</f>
        <v>Eau chaude</v>
      </c>
      <c r="AG8" s="1351"/>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Recours à 20% d'énergies renouvelables?</v>
      </c>
      <c r="BB8" s="120">
        <v>5</v>
      </c>
      <c r="BC8" s="526" t="str">
        <f t="shared" si="1"/>
        <v>Berne</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8">
        <v>1</v>
      </c>
      <c r="AF9" s="523" t="str">
        <f>IF(AZ16,Uebersetzung!D397,"")</f>
        <v/>
      </c>
      <c r="AG9" s="1351"/>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Bâle-Campagne</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Habitat collectif</v>
      </c>
      <c r="J10" s="1795">
        <f t="shared" ref="J10:J21" si="5">IF(_SIA2009,AJ72,AG72)*3.6</f>
        <v>46.800000000000004</v>
      </c>
      <c r="K10" s="1795">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8">
        <v>1</v>
      </c>
      <c r="AF10" s="523" t="str">
        <f>Uebersetzung!D394</f>
        <v>Rejets thermiques</v>
      </c>
      <c r="AG10" s="1351"/>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Production de rejets thermiques?</v>
      </c>
      <c r="BB10" s="120">
        <v>7</v>
      </c>
      <c r="BC10" s="526" t="str">
        <f t="shared" si="1"/>
        <v>Bâle-Ville</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Habitat individuel</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8">
        <v>1</v>
      </c>
      <c r="AF11" s="523" t="str">
        <f>IF(MINERGIE!I67=MINERGIE!N12,Uebersetzung!D395,"")</f>
        <v/>
      </c>
      <c r="AG11" s="1351"/>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Fribourg</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Administration</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8">
        <v>0</v>
      </c>
      <c r="AF12" s="523" t="str">
        <f>Uebersetzung!D396</f>
        <v>Exploitation optimisée piscine couverte</v>
      </c>
      <c r="AG12" s="1351"/>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RC avec PAC sur ventilation, RC des eaux de piscine</v>
      </c>
      <c r="BB12" s="120">
        <v>9</v>
      </c>
      <c r="BC12" s="526" t="str">
        <f t="shared" si="1"/>
        <v>Genève</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Ecole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8">
        <v>1</v>
      </c>
      <c r="AF13" s="523" t="str">
        <f>IF(AND(minergiea=FALSE,AND(EBF&gt;2000,MINERGIE!Z59&gt;0,MINERGIE!Z58&lt;2000)),Uebersetzung!D416,"")</f>
        <v/>
      </c>
      <c r="AG13" s="1351"/>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4" t="str">
        <f>IF(AND(minergiea=FALSE,AND(EBF&gt;2000,MINERGIE!Z59&gt;0,MINERGIE!Z58&lt;2000)),Uebersetzung!D415,"")</f>
        <v/>
      </c>
      <c r="BB13" s="120">
        <v>10</v>
      </c>
      <c r="BC13" s="526" t="str">
        <f t="shared" si="1"/>
        <v>Glaris</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Commerce</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8">
        <v>1</v>
      </c>
      <c r="AF14" s="37" t="str">
        <f>IF(MINERGIE!Z62,Uebersetzung!D416,"")</f>
        <v/>
      </c>
      <c r="AG14" s="1351"/>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4" t="str">
        <f>IF(MINERGIE!Z62,Uebersetzung!D417,"")</f>
        <v/>
      </c>
      <c r="BB14" s="120">
        <v>11</v>
      </c>
      <c r="BC14" s="526" t="str">
        <f t="shared" si="1"/>
        <v>Grisons</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Restaurant</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9">
        <v>1</v>
      </c>
      <c r="AF15" s="142" t="str">
        <f>IF(AZ15&gt;0,Uebersetzung!D543,"")</f>
        <v/>
      </c>
      <c r="AG15" s="1351"/>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Jura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Lieu de rassemblement</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3"/>
      <c r="AG16" s="43"/>
      <c r="AZ16" s="1474" t="b">
        <v>0</v>
      </c>
      <c r="BA16" s="1475" t="s">
        <v>2578</v>
      </c>
      <c r="BB16" s="120">
        <v>13</v>
      </c>
      <c r="BC16" s="526" t="str">
        <f t="shared" si="1"/>
        <v>Lucerne</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Hôpital</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7" t="s">
        <v>653</v>
      </c>
      <c r="AF17" s="327">
        <f>Kategorie1</f>
        <v>1</v>
      </c>
      <c r="AG17" s="43"/>
      <c r="BB17" s="120">
        <v>14</v>
      </c>
      <c r="BC17" s="526" t="str">
        <f t="shared" si="1"/>
        <v>Neuchâtel</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8" t="s">
        <v>654</v>
      </c>
      <c r="AF18" s="328">
        <f>Kategorie2</f>
        <v>1</v>
      </c>
      <c r="AG18" s="43"/>
      <c r="BB18" s="120">
        <v>15</v>
      </c>
      <c r="BC18" s="526" t="str">
        <f t="shared" si="1"/>
        <v>Nidwald</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Entrepôt</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8" t="s">
        <v>655</v>
      </c>
      <c r="AF19" s="328">
        <f>Kategorie3</f>
        <v>1</v>
      </c>
      <c r="BB19" s="120">
        <v>16</v>
      </c>
      <c r="BC19" s="526" t="str">
        <f t="shared" si="1"/>
        <v>Obwald</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Installation sportive</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9" t="s">
        <v>656</v>
      </c>
      <c r="AF20" s="329">
        <f>Kategorie4</f>
        <v>1</v>
      </c>
      <c r="AN20" s="251"/>
      <c r="BB20" s="120">
        <v>17</v>
      </c>
      <c r="BC20" s="526" t="str">
        <f t="shared" si="1"/>
        <v>St-Gall</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Piscine couverte</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41"/>
      <c r="AW21" s="2341"/>
      <c r="AY21" s="2"/>
      <c r="BB21" s="120">
        <v>18</v>
      </c>
      <c r="BC21" s="526" t="str">
        <f t="shared" si="1"/>
        <v>Schaffhouse</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Soleure</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28" t="s">
        <v>3693</v>
      </c>
      <c r="V23" s="2330"/>
      <c r="W23" s="2330"/>
      <c r="X23" s="2329"/>
      <c r="AE23" s="88" t="str">
        <f>""</f>
        <v/>
      </c>
      <c r="AF23" s="565">
        <v>1</v>
      </c>
      <c r="AG23" s="488">
        <f>IF(Entrées!$F$22="",1,VLOOKUP(Entrées!$F$22,$AE$23:$AF$29,2,FALSE))</f>
        <v>1</v>
      </c>
      <c r="AH23" s="634" t="s">
        <v>555</v>
      </c>
      <c r="AI23" s="36" t="str">
        <f>Q40</f>
        <v xml:space="preserve"> </v>
      </c>
      <c r="AJ23" s="35"/>
      <c r="AK23" s="35"/>
      <c r="AL23" s="115"/>
      <c r="AM23" s="27">
        <v>1</v>
      </c>
      <c r="BB23" s="120">
        <v>20</v>
      </c>
      <c r="BC23" s="526" t="str">
        <f t="shared" si="1"/>
        <v>Schwytz</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IF(Entrées!F16="",1,VLOOKUP(Entrées!F16,Standardwerte!I9:T21,12,FALSE))</f>
        <v>1</v>
      </c>
      <c r="O24" s="260" t="s">
        <v>633</v>
      </c>
      <c r="P24" s="487">
        <f>IF(R24=0,1,R24)</f>
        <v>1</v>
      </c>
      <c r="Q24" s="261" t="str">
        <f>M4</f>
        <v/>
      </c>
      <c r="R24" s="486">
        <f>IF(Entrées!G16="",1,VLOOKUP(Entrées!G16,Standardwerte!I9:T21,12,FALSE))</f>
        <v>1</v>
      </c>
      <c r="T24" s="243" t="str">
        <f>""</f>
        <v/>
      </c>
      <c r="U24" s="1711"/>
      <c r="V24" s="851"/>
      <c r="W24" s="851"/>
      <c r="X24" s="1489"/>
      <c r="AE24" s="120" t="s">
        <v>518</v>
      </c>
      <c r="AF24" s="565">
        <v>2</v>
      </c>
      <c r="AG24" s="489">
        <f>IF(Entrées!G22="",1,VLOOKUP(Entrées!G22,$AE$23:$AF$29,2,FALSE))</f>
        <v>1</v>
      </c>
      <c r="AH24" s="635" t="s">
        <v>556</v>
      </c>
      <c r="AI24" s="43" t="str">
        <f>Q41</f>
        <v>oui</v>
      </c>
      <c r="AJ24" s="42"/>
      <c r="AK24" s="42"/>
      <c r="AL24" s="53"/>
      <c r="AM24" s="27">
        <v>2</v>
      </c>
      <c r="BB24" s="120">
        <v>21</v>
      </c>
      <c r="BC24" s="526" t="str">
        <f t="shared" si="1"/>
        <v>Thurgovie</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non</v>
      </c>
      <c r="K25" s="252" t="s">
        <v>478</v>
      </c>
      <c r="L25" s="259" t="str">
        <f>INDEX($O$35:$O$46,Lüftung1,1)</f>
        <v/>
      </c>
      <c r="M25" s="845" t="s">
        <v>821</v>
      </c>
      <c r="N25" s="854">
        <f>IF(Entrées!F35="",1,VLOOKUP(Entrées!F35,$AB$48:$AC$49,2,FALSE))</f>
        <v>1</v>
      </c>
      <c r="O25" s="252" t="s">
        <v>478</v>
      </c>
      <c r="P25" s="259" t="str">
        <f>INDEX($O$35:$O$46,Lüftung2,1)</f>
        <v/>
      </c>
      <c r="Q25" s="845" t="s">
        <v>821</v>
      </c>
      <c r="R25" s="854">
        <f>IF(Entrées!G35="",1,VLOOKUP(Entrées!G35,$AB$48:$AC$49,2,FALSE))</f>
        <v>1</v>
      </c>
      <c r="T25" s="845" t="str">
        <f>O36</f>
        <v>Pas de ventilation</v>
      </c>
      <c r="U25" s="846">
        <v>0</v>
      </c>
      <c r="V25" s="849">
        <v>0</v>
      </c>
      <c r="W25" s="849">
        <v>0</v>
      </c>
      <c r="X25" s="852">
        <v>0</v>
      </c>
      <c r="AE25" s="120" t="s">
        <v>519</v>
      </c>
      <c r="AF25" s="565">
        <v>3</v>
      </c>
      <c r="AG25" s="489">
        <f>IF(Entrées!$H$22="",1,VLOOKUP(Entrées!$H$22,$AE$23:$AF$29,2,FALSE))</f>
        <v>1</v>
      </c>
      <c r="AH25" s="635" t="s">
        <v>234</v>
      </c>
      <c r="AI25" s="43" t="str">
        <f>Q42</f>
        <v>non</v>
      </c>
      <c r="AJ25" s="42"/>
      <c r="AK25" s="42"/>
      <c r="AL25" s="53"/>
      <c r="AM25" s="27">
        <v>3</v>
      </c>
      <c r="BB25" s="120">
        <v>22</v>
      </c>
      <c r="BC25" s="526" t="str">
        <f t="shared" si="1"/>
        <v>Tessin</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oui</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FOU/REP sans RC</v>
      </c>
      <c r="U26" s="847">
        <f>0.24+0.7</f>
        <v>0.94</v>
      </c>
      <c r="V26" s="848">
        <f>0.24+0.7</f>
        <v>0.94</v>
      </c>
      <c r="W26" s="848">
        <f>0.18+0.7</f>
        <v>0.87999999999999989</v>
      </c>
      <c r="X26" s="853">
        <f>0.18+0.7</f>
        <v>0.87999999999999989</v>
      </c>
      <c r="AE26" s="120" t="s">
        <v>349</v>
      </c>
      <c r="AF26" s="565">
        <v>4</v>
      </c>
      <c r="AG26" s="490">
        <f>IF(Entrées!$I$22="",1,VLOOKUP(Entrées!$I$22,$AE$23:$AF$29,2,FALSE))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IF(Entrées!$F$30="",1,VLOOKUP(Entrées!$F$30,AG39:AO41,9,FALSE))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Double flux</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Vaud</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IF(Zonen&gt;1,IF(Entrées!$G$30="",1,VLOOKUP(Entrées!$G$30,AI39:AO41,7,FALSE)),1)</f>
        <v>1</v>
      </c>
      <c r="K28" s="260" t="s">
        <v>633</v>
      </c>
      <c r="L28" s="487">
        <f>IF(N28=0,1,N28)</f>
        <v>1</v>
      </c>
      <c r="M28" s="261" t="str">
        <f>O4</f>
        <v/>
      </c>
      <c r="N28" s="485">
        <f>IF(Entrées!H16="",1,VLOOKUP(Entrées!H16,Standardwerte!I9:T21,12,FALSE))</f>
        <v>1</v>
      </c>
      <c r="O28" s="260" t="s">
        <v>633</v>
      </c>
      <c r="P28" s="487">
        <f>IF(R28=0,1,R28)</f>
        <v>1</v>
      </c>
      <c r="Q28" s="261" t="str">
        <f>Q4</f>
        <v/>
      </c>
      <c r="R28" s="486">
        <f>IF(Entrées!I16="",1,VLOOKUP(Entrées!I16,Standardwerte!I9:T21,12,FALSE))</f>
        <v>1</v>
      </c>
      <c r="T28" s="845" t="str">
        <f t="shared" si="10"/>
        <v>FOU/REP+PAC</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Valais</v>
      </c>
      <c r="BD28" s="168" t="b">
        <v>1</v>
      </c>
      <c r="BE28" s="120">
        <v>25</v>
      </c>
      <c r="BI28" s="2335" t="s">
        <v>180</v>
      </c>
      <c r="BJ28" s="2336"/>
      <c r="BK28" s="531">
        <f>BN28</f>
        <v>2</v>
      </c>
      <c r="BL28" s="127" t="s">
        <v>661</v>
      </c>
      <c r="BM28" s="1222"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IF(Zonen&gt;2,IF(Entrées!$H$30="",1,VLOOKUP(Entrées!$H$30,AK39:AO41,5,FALSE)),1)</f>
        <v>1</v>
      </c>
      <c r="K29" s="252" t="s">
        <v>478</v>
      </c>
      <c r="L29" s="259" t="str">
        <f>INDEX($O$35:$O$46,Lüftung3,1)</f>
        <v/>
      </c>
      <c r="M29" s="845" t="s">
        <v>821</v>
      </c>
      <c r="N29" s="854">
        <f>IF(Entrées!H35="",1,VLOOKUP(Entrées!H35,$AB$48:$AC$49,2,FALSE))</f>
        <v>1</v>
      </c>
      <c r="O29" s="252" t="s">
        <v>478</v>
      </c>
      <c r="P29" s="259" t="str">
        <f>INDEX($O$35:$O$46,Lüftung4,1)</f>
        <v/>
      </c>
      <c r="Q29" s="845" t="s">
        <v>821</v>
      </c>
      <c r="R29" s="854">
        <f>IF(Entrées!I35="",1,VLOOKUP(Entrées!I35,$AB$48:$AC$49,2,FALSE))</f>
        <v>1</v>
      </c>
      <c r="T29" s="845" t="str">
        <f t="shared" si="10"/>
        <v>REP</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Zoug</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IF(Zonen&gt;3,IF(Entrées!$I$30="",1,VLOOKUP(Entrées!$I$30,AM39:AO41,3,FALSE)),1)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REP+PAC</v>
      </c>
      <c r="U30" s="847">
        <f>0.18+0.5</f>
        <v>0.67999999999999994</v>
      </c>
      <c r="V30" s="848">
        <f>0.18+0.5</f>
        <v>0.67999999999999994</v>
      </c>
      <c r="W30" s="848">
        <f>0.18+0.5</f>
        <v>0.67999999999999994</v>
      </c>
      <c r="X30" s="853">
        <f>0.18+0.5</f>
        <v>0.67999999999999994</v>
      </c>
      <c r="BB30" s="120">
        <v>27</v>
      </c>
      <c r="BC30" s="526" t="str">
        <f t="shared" si="1"/>
        <v>Zurich</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Par Local</v>
      </c>
      <c r="U31" s="847">
        <f>0.7</f>
        <v>0.7</v>
      </c>
      <c r="V31" s="848">
        <f>0.7</f>
        <v>0.7</v>
      </c>
      <c r="W31" s="848">
        <f>0.7</f>
        <v>0.7</v>
      </c>
      <c r="X31" s="853">
        <f>0.7</f>
        <v>0.7</v>
      </c>
      <c r="AE31" s="251" t="s">
        <v>680</v>
      </c>
      <c r="BB31" s="120">
        <v>28</v>
      </c>
      <c r="BC31" s="526" t="str">
        <f t="shared" si="1"/>
        <v>Principauté du Liechtenstein</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Fen. auto</v>
      </c>
      <c r="U32" s="1876">
        <f>0.012</f>
        <v>1.2E-2</v>
      </c>
      <c r="V32" s="1875">
        <f>0.012</f>
        <v>1.2E-2</v>
      </c>
      <c r="W32" s="1875">
        <f>0.032</f>
        <v>3.2000000000000001E-2</v>
      </c>
      <c r="X32" s="1877">
        <f>0.032</f>
        <v>3.2000000000000001E-2</v>
      </c>
      <c r="AV32" s="251"/>
      <c r="BB32" s="142">
        <v>29</v>
      </c>
      <c r="BC32" s="527" t="str">
        <f t="shared" si="1"/>
        <v>spécial</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Vent. de transfert d’air</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3" t="s">
        <v>162</v>
      </c>
      <c r="AH33" s="2334"/>
      <c r="AI33" s="2333" t="s">
        <v>163</v>
      </c>
      <c r="AJ33" s="2334"/>
      <c r="AK33" s="2333" t="s">
        <v>164</v>
      </c>
      <c r="AL33" s="2334"/>
      <c r="AM33" s="2333" t="s">
        <v>165</v>
      </c>
      <c r="AN33" s="2334"/>
      <c r="BB33" s="520">
        <f>IF(Entrées!I13="",1,VLOOKUP(Entrées!I13,Standardwerte!BC4:BE32,3,FALSE))</f>
        <v>1</v>
      </c>
      <c r="BC33" s="307">
        <f>IF(Kanton&gt;0,INDEX(BC4:BC32,Kanton,1),"")</f>
        <v>0</v>
      </c>
      <c r="BD33" s="515">
        <f>IF(Kanton&gt;0,INDEX(BD4:BD32,Kanton,1),TRUE)</f>
        <v>0</v>
      </c>
      <c r="BI33" s="42"/>
      <c r="BJ33" s="42"/>
      <c r="BL33" s="127" t="s">
        <v>379</v>
      </c>
      <c r="BM33" s="1222"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1905</v>
      </c>
      <c r="J34" s="492"/>
      <c r="L34" s="29" t="s">
        <v>361</v>
      </c>
      <c r="M34" s="30"/>
      <c r="N34" s="30"/>
      <c r="O34" s="31"/>
      <c r="P34" s="29" t="s">
        <v>639</v>
      </c>
      <c r="Q34" s="32"/>
      <c r="R34" s="833" t="s">
        <v>816</v>
      </c>
      <c r="S34" s="250" t="s">
        <v>816</v>
      </c>
      <c r="T34" s="845" t="str">
        <f t="shared" si="10"/>
        <v>Vent. de base</v>
      </c>
      <c r="U34" s="847">
        <f>0.24+0.7</f>
        <v>0.94</v>
      </c>
      <c r="V34" s="848">
        <f>0.24+0.7</f>
        <v>0.94</v>
      </c>
      <c r="W34" s="848">
        <f>0.18+0.7</f>
        <v>0.87999999999999989</v>
      </c>
      <c r="X34" s="853">
        <f>0.18+0.7</f>
        <v>0.87999999999999989</v>
      </c>
      <c r="Y34" s="1866"/>
      <c r="Z34" s="1878"/>
      <c r="AA34" s="2330" t="s">
        <v>818</v>
      </c>
      <c r="AB34" s="2330"/>
      <c r="AC34" s="2329"/>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IF(Entrées!F$31="",1,VLOOKUP(Entrées!F$31,P68:T78,5,FALSE))</f>
        <v>1</v>
      </c>
      <c r="R35" s="826" t="str">
        <f>IF(AND(Kategorie1&gt;1,Kategorie1&lt;6,Lüftung1&gt;2),MAX(Raum1,ROUNDUP(EBFo1/INDEX($V$9:$V$21,Kategorie1,1),0))*INDEX($Y$35:$AC$45,Lüftung1,Kategorie1),IF(AND(Kategorie1&gt;1,Lüftung1&gt;1),EBFo1*INDEX($O$9:$O$21,Kategorie1,1),""))</f>
        <v/>
      </c>
      <c r="S35" s="1872" t="str">
        <f>IF(EBFo1&gt;0,MAX(IF(WRGtyp1&lt;3,INDEX($O$9:$O$21,Kategorie1,1),0),IF(AND(Lüftung1&gt;2,Kategorie1&lt;6),INDEX($U$35:$X$45,Lüftung1,Kategorie1-1)*VSup1/(INDEX($Z$35:$AC$46,Lüftung1,Kategorie1-1))/EBFo1*(1-(INDEX($Q$54:$Q$59,WRGtyp1,1)-S61))+vo,INDEX($O$9:$O$21,Kategorie1,1))),"")</f>
        <v/>
      </c>
      <c r="T35" s="1771">
        <v>1</v>
      </c>
      <c r="U35" s="1771"/>
      <c r="V35" s="820"/>
      <c r="W35" s="820"/>
      <c r="X35" s="1638"/>
      <c r="Y35" s="1771"/>
      <c r="Z35" s="829"/>
      <c r="AA35" s="829"/>
      <c r="AB35" s="829"/>
      <c r="AC35" s="1638"/>
      <c r="AE35" s="42"/>
      <c r="AF35" s="288" t="s">
        <v>679</v>
      </c>
      <c r="AG35" s="2281" t="b">
        <f>AND(Kategorie1&lt;=5,EBFo1&lt;=INDEX($U$9:$U$21,Kategorie1,1))</f>
        <v>1</v>
      </c>
      <c r="AH35" s="2282"/>
      <c r="AI35" s="2281" t="b">
        <f>AND(Kategorie2&lt;=5,EBFo2&lt;=INDEX($U$9:$U$21,Kategorie2,1))</f>
        <v>1</v>
      </c>
      <c r="AJ35" s="2282"/>
      <c r="AK35" s="2281" t="b">
        <f>AND(Kategorie3&lt;=5,EBFo3&lt;=INDEX($U$9:$U$21,Kategorie3,1))</f>
        <v>1</v>
      </c>
      <c r="AL35" s="2282"/>
      <c r="AM35" s="2281" t="b">
        <f>AND(Kategorie4&lt;=5,EBFo4&lt;=INDEX($U$9:$U$21,Kategorie4,1))</f>
        <v>1</v>
      </c>
      <c r="AN35" s="2282"/>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Pas de ventilation</v>
      </c>
      <c r="P36" s="43" t="s">
        <v>335</v>
      </c>
      <c r="Q36" s="750">
        <f>IF(Entrées!G$31="",1,VLOOKUP(Entrées!G$31,Q68:T78,4,FALSE))</f>
        <v>1</v>
      </c>
      <c r="R36" s="826" t="str">
        <f>IF(AND(Kategorie2&gt;1,Kategorie2&lt;6,Lüftung2&gt;2),MAX(Raum2,ROUNDUP(EBFo2/INDEX($V$9:$V$21,Kategorie2,1),0))*INDEX($Y$35:$AC$45,Lüftung2,Kategorie2),IF(AND(Kategorie2&gt;1,Lüftung2&gt;1),EBFo2*INDEX($O$9:$O$21,Kategorie2,1),""))</f>
        <v/>
      </c>
      <c r="S36" s="1873" t="str">
        <f>IF(EBFo2&gt;0,MAX(IF(WRGtyp2&lt;3,INDEX($O$9:$O$21,Kategorie2,1),0),IF(AND(Lüftung2&gt;2,Kategorie2&lt;6),INDEX($U$35:$X$45,Lüftung2,Kategorie2-1)*VSup2/(INDEX($Z$35:$AC$46,Lüftung2,Kategorie2-1))/EBFo2*(1-(INDEX($Q$54:$Q$59,WRGtyp2,1)-S62))+vo,INDEX($O$9:$O$21,Kategorie2,1))),"")</f>
        <v/>
      </c>
      <c r="T36" s="1867">
        <v>2</v>
      </c>
      <c r="U36" s="752"/>
      <c r="V36" s="830"/>
      <c r="W36" s="830"/>
      <c r="X36" s="756"/>
      <c r="Y36" s="1867"/>
      <c r="Z36" s="84"/>
      <c r="AA36" s="84"/>
      <c r="AB36" s="84"/>
      <c r="AC36" s="1868"/>
      <c r="AE36" s="42"/>
      <c r="AF36" s="288" t="s">
        <v>441</v>
      </c>
      <c r="AG36" s="2281" t="b">
        <f>Kategorie1&gt;1</f>
        <v>0</v>
      </c>
      <c r="AH36" s="2282"/>
      <c r="AI36" s="2281" t="b">
        <f>Kategorie2&gt;1</f>
        <v>0</v>
      </c>
      <c r="AJ36" s="2282"/>
      <c r="AK36" s="2281" t="b">
        <f>Kategorie3&gt;1</f>
        <v>0</v>
      </c>
      <c r="AL36" s="2282"/>
      <c r="AM36" s="2281" t="b">
        <f>Kategorie4&gt;1</f>
        <v>0</v>
      </c>
      <c r="AN36" s="2282"/>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FOU/REP sans RC</v>
      </c>
      <c r="P37" s="43" t="s">
        <v>724</v>
      </c>
      <c r="Q37" s="750">
        <f>IF(Entrées!H$31="",1,VLOOKUP(Entrées!H$31,R68:T78,3,FALSE))</f>
        <v>1</v>
      </c>
      <c r="R37" s="826" t="str">
        <f>IF(AND(Kategorie3&gt;1,Kategorie3&lt;6,Lüftung3&gt;2),MAX(Raum3,ROUNDUP(EBFo3/INDEX($V$9:$V$21,Kategorie3,1),0))*INDEX($Y$35:$AC$45,Lüftung3,Kategorie3),IF(AND(Kategorie3&gt;1,Lüftung3&gt;1),EBFo3*INDEX($O$9:$O$21,Kategorie3,1),""))</f>
        <v/>
      </c>
      <c r="S37" s="1873" t="str">
        <f>IF(EBFo3&gt;0,MAX(IF(WRGtyp3&lt;3,INDEX($O$9:$O$21,Kategorie3,1),0),IF(AND(Lüftung3&gt;2,Kategorie3&lt;6),INDEX($U$35:$X$45,Lüftung3,Kategorie3-1)*VSup3/(INDEX($Z$35:$AC$46,Lüftung3,Kategorie3-1))/EBFo3*(1-(INDEX($Q$54:$Q$59,WRGtyp3,1)-S63))+vo,INDEX($O$9:$O$21,Kategorie3,1))),"")</f>
        <v/>
      </c>
      <c r="T37" s="1867">
        <v>3</v>
      </c>
      <c r="U37" s="1880">
        <f>(20*4368+30*3640+45*728)/8760</f>
        <v>26.17808219178082</v>
      </c>
      <c r="V37" s="1881">
        <f>(20*4368+30*3640+45*728)/8760</f>
        <v>26.17808219178082</v>
      </c>
      <c r="W37" s="1881">
        <f>(20*750+30*2000)/8760</f>
        <v>8.5616438356164384</v>
      </c>
      <c r="X37" s="1882">
        <f>(17*1200+25*800)/8760</f>
        <v>4.6118721461187215</v>
      </c>
      <c r="Y37" s="1884"/>
      <c r="Z37" s="1690">
        <v>30</v>
      </c>
      <c r="AA37" s="1690">
        <v>30</v>
      </c>
      <c r="AB37" s="1690">
        <v>30</v>
      </c>
      <c r="AC37" s="1883">
        <v>25</v>
      </c>
      <c r="AE37" s="42"/>
      <c r="AF37" s="288" t="s">
        <v>439</v>
      </c>
      <c r="AG37" s="2281" t="b">
        <f>Kategorie1&lt;=5</f>
        <v>1</v>
      </c>
      <c r="AH37" s="2282"/>
      <c r="AI37" s="2281" t="b">
        <f>Kategorie2&lt;=5</f>
        <v>1</v>
      </c>
      <c r="AJ37" s="2282"/>
      <c r="AK37" s="2281" t="b">
        <f>Kategorie3&lt;=5</f>
        <v>1</v>
      </c>
      <c r="AL37" s="2282"/>
      <c r="AM37" s="2281" t="b">
        <f>Kategorie4&lt;=5</f>
        <v>1</v>
      </c>
      <c r="AN37" s="2282"/>
      <c r="BB37" s="43">
        <v>2</v>
      </c>
      <c r="BC37" s="53" t="str">
        <f>Uebersetzung!D82</f>
        <v>Habitat collectif</v>
      </c>
      <c r="BD37" s="43" t="str">
        <f>BC37</f>
        <v>Habitat collectif</v>
      </c>
      <c r="BE37" s="43" t="str">
        <f>BD37</f>
        <v>Habitat collectif</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Double flux</v>
      </c>
      <c r="P38" s="43" t="s">
        <v>197</v>
      </c>
      <c r="Q38" s="642">
        <f>IF(Entrées!I$31="",1,VLOOKUP(Entrées!I$31,S68:T78,2,FALSE))</f>
        <v>1</v>
      </c>
      <c r="R38" s="826" t="str">
        <f>IF(AND(Kategorie4&gt;1,Kategorie4&lt;6,Lüftung4&gt;2),MAX(Raum4,ROUNDUP(EBFo4/INDEX($V$9:$V$21,Kategorie4,1),0))*INDEX($Y$35:$AC$45,Lüftung4,Kategorie4),IF(AND(Kategorie4&gt;1,Lüftung4&gt;1),EBFo4*INDEX($O$9:$O$21,Kategorie4,1),""))</f>
        <v/>
      </c>
      <c r="S38" s="1874" t="str">
        <f>IF(EBFo4&gt;0,MAX(IF(WRGtyp4&lt;3,INDEX($O$9:$O$21,Kategorie4,1),0),IF(AND(Lüftung4&gt;2,Kategorie4&lt;6),INDEX($U$35:$X$45,Lüftung4,Kategorie4-1)*VSup4/(INDEX($Z$35:$AC$46,Lüftung4,Kategorie4-1))/EBFo4*(1-(INDEX($Q$54:$Q$59,WRGtyp4,1)-S64))+vo,INDEX($O$9:$O$21,Kategorie4,1))),"")</f>
        <v/>
      </c>
      <c r="T38" s="1867">
        <v>4</v>
      </c>
      <c r="U38" s="1880">
        <f>(20*4368+30*3640+45*728)/8760</f>
        <v>26.17808219178082</v>
      </c>
      <c r="V38" s="1881">
        <f>(20*4368+30*3640+45*728)/8760</f>
        <v>26.17808219178082</v>
      </c>
      <c r="W38" s="1881">
        <f>(20*750+30*2000)/8760</f>
        <v>8.5616438356164384</v>
      </c>
      <c r="X38" s="1882">
        <f>(17*1200+25*800)/8760</f>
        <v>4.6118721461187215</v>
      </c>
      <c r="Y38" s="1884"/>
      <c r="Z38" s="1690">
        <v>30</v>
      </c>
      <c r="AA38" s="1690">
        <v>30</v>
      </c>
      <c r="AB38" s="1690">
        <v>30</v>
      </c>
      <c r="AC38" s="1883">
        <v>25</v>
      </c>
      <c r="AE38" s="60"/>
      <c r="AF38" s="289" t="s">
        <v>442</v>
      </c>
      <c r="AG38" s="2323" t="b">
        <f>AND(AG36,AG35)</f>
        <v>0</v>
      </c>
      <c r="AH38" s="2324"/>
      <c r="AI38" s="2281" t="b">
        <f>AND(AI36,AI35,Zonen&gt;1)</f>
        <v>0</v>
      </c>
      <c r="AJ38" s="2282"/>
      <c r="AK38" s="2281" t="b">
        <f>AND(AK36,AK35,Zonen&gt;2)</f>
        <v>0</v>
      </c>
      <c r="AL38" s="2282"/>
      <c r="AM38" s="2281" t="b">
        <f>AND(AM36,AM35,Zonen&gt;3)</f>
        <v>0</v>
      </c>
      <c r="AN38" s="2282"/>
      <c r="BB38" s="43">
        <v>3</v>
      </c>
      <c r="BC38" s="53" t="str">
        <f>Uebersetzung!D83</f>
        <v>Habitat individuel</v>
      </c>
      <c r="BD38" s="43" t="str">
        <f>BC38</f>
        <v>Habitat individuel</v>
      </c>
      <c r="BE38" s="43" t="str">
        <f>BD38</f>
        <v>Habitat individuel</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FOU/REP+PAC</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7">
        <v>5</v>
      </c>
      <c r="U39" s="1880">
        <f t="shared" ref="U39:V41" si="12">(27*4368+40*3640+60*728)/8760</f>
        <v>35.070319634703196</v>
      </c>
      <c r="V39" s="1881">
        <f t="shared" si="12"/>
        <v>35.070319634703196</v>
      </c>
      <c r="W39" s="1881">
        <f>(27*750+40*2000)/8760</f>
        <v>11.44406392694064</v>
      </c>
      <c r="X39" s="1882">
        <f>(22*1200+33*800)/8760</f>
        <v>6.0273972602739727</v>
      </c>
      <c r="Y39" s="1884"/>
      <c r="Z39" s="1690">
        <v>40</v>
      </c>
      <c r="AA39" s="1690">
        <v>40</v>
      </c>
      <c r="AB39" s="1690">
        <v>40</v>
      </c>
      <c r="AC39" s="1883">
        <v>33</v>
      </c>
      <c r="AE39" s="177"/>
      <c r="AF39" s="460" t="s">
        <v>440</v>
      </c>
      <c r="AG39" s="978"/>
      <c r="AH39" s="977"/>
      <c r="AI39" s="978"/>
      <c r="AJ39" s="976"/>
      <c r="AK39" s="978"/>
      <c r="AL39" s="976"/>
      <c r="AM39" s="978"/>
      <c r="AN39" s="976"/>
      <c r="AO39" s="27">
        <v>1</v>
      </c>
      <c r="BB39" s="43">
        <v>4</v>
      </c>
      <c r="BC39" s="53" t="str">
        <f>Uebersetzung!D84</f>
        <v>Administration</v>
      </c>
      <c r="BD39" s="43" t="str">
        <f>BC39</f>
        <v>Administration</v>
      </c>
      <c r="BE39" s="43" t="str">
        <f t="shared" ref="BE39:BE47" si="13">BD39</f>
        <v>Administration</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1906</v>
      </c>
      <c r="J40" s="492"/>
      <c r="K40" s="27">
        <v>6</v>
      </c>
      <c r="L40" s="41" t="s">
        <v>462</v>
      </c>
      <c r="M40" s="42"/>
      <c r="N40" s="53"/>
      <c r="O40" s="819" t="str">
        <f>Uebersetzung!D98</f>
        <v>REP</v>
      </c>
      <c r="P40" s="36"/>
      <c r="Q40" s="115" t="s">
        <v>199</v>
      </c>
      <c r="R40" s="113"/>
      <c r="S40" s="27"/>
      <c r="T40" s="1867">
        <v>6</v>
      </c>
      <c r="U40" s="1880">
        <f t="shared" si="12"/>
        <v>35.070319634703196</v>
      </c>
      <c r="V40" s="1881">
        <f t="shared" si="12"/>
        <v>35.070319634703196</v>
      </c>
      <c r="W40" s="1881">
        <f>(27*750+40*2000)/8760</f>
        <v>11.44406392694064</v>
      </c>
      <c r="X40" s="1882">
        <f>(22*1200+33*800)/8760</f>
        <v>6.0273972602739727</v>
      </c>
      <c r="Y40" s="1884"/>
      <c r="Z40" s="1690">
        <v>40</v>
      </c>
      <c r="AA40" s="1690">
        <v>40</v>
      </c>
      <c r="AB40" s="1690">
        <v>40</v>
      </c>
      <c r="AC40" s="1883">
        <v>33</v>
      </c>
      <c r="AE40" s="42"/>
      <c r="AF40" s="867" t="str">
        <f>Uebersetzung!D72</f>
        <v>donnée manquante</v>
      </c>
      <c r="AG40" s="974" t="str">
        <f>AA49</f>
        <v>non</v>
      </c>
      <c r="AH40" s="973"/>
      <c r="AI40" s="974" t="str">
        <f>AA49</f>
        <v>non</v>
      </c>
      <c r="AJ40" s="973"/>
      <c r="AK40" s="974" t="str">
        <f>AA49</f>
        <v>non</v>
      </c>
      <c r="AL40" s="973"/>
      <c r="AM40" s="974" t="str">
        <f>AA49</f>
        <v>non</v>
      </c>
      <c r="AN40" s="973"/>
      <c r="AO40" s="27">
        <v>2</v>
      </c>
      <c r="BB40" s="43">
        <v>5</v>
      </c>
      <c r="BC40" s="53" t="str">
        <f>Uebersetzung!D85</f>
        <v>Ecole</v>
      </c>
      <c r="BD40" s="43" t="str">
        <f>BC40</f>
        <v>Ecole</v>
      </c>
      <c r="BE40" s="43" t="str">
        <f t="shared" si="13"/>
        <v>Ecole</v>
      </c>
      <c r="BF40" s="53"/>
      <c r="BL40" s="28"/>
      <c r="BM40" s="63"/>
      <c r="BN40" s="63"/>
      <c r="BO40" s="310" t="s">
        <v>663</v>
      </c>
      <c r="BP40" s="308" t="s">
        <v>114</v>
      </c>
      <c r="BQ40" s="2339" t="s">
        <v>1698</v>
      </c>
      <c r="BR40" s="2340"/>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REP+PAC</v>
      </c>
      <c r="P41" s="56"/>
      <c r="Q41" s="44" t="str">
        <f>AA48</f>
        <v>oui</v>
      </c>
      <c r="R41" s="44" t="str">
        <f>AA48</f>
        <v>oui</v>
      </c>
      <c r="S41" s="27"/>
      <c r="T41" s="1867">
        <v>7</v>
      </c>
      <c r="U41" s="1880">
        <f t="shared" si="12"/>
        <v>35.070319634703196</v>
      </c>
      <c r="V41" s="1881">
        <f t="shared" si="12"/>
        <v>35.070319634703196</v>
      </c>
      <c r="W41" s="1881">
        <f>(27*750+40*2000)/8760</f>
        <v>11.44406392694064</v>
      </c>
      <c r="X41" s="1882">
        <f>(22*1200+33*800)/8760</f>
        <v>6.0273972602739727</v>
      </c>
      <c r="Y41" s="1884"/>
      <c r="Z41" s="1690">
        <v>40</v>
      </c>
      <c r="AA41" s="1690">
        <v>40</v>
      </c>
      <c r="AB41" s="1690">
        <v>40</v>
      </c>
      <c r="AC41" s="1883">
        <v>33</v>
      </c>
      <c r="AE41" s="42"/>
      <c r="AF41" s="867" t="str">
        <f>Uebersetzung!D73</f>
        <v>donnée erronée</v>
      </c>
      <c r="AG41" s="979" t="str">
        <f>IF(Standardwerte!AG38,IF(Standardwerte!AG37,AA48,AA49),AA49)</f>
        <v>non</v>
      </c>
      <c r="AH41" s="975"/>
      <c r="AI41" s="49" t="str">
        <f>IF(Standardwerte!AI38,IF(Standardwerte!AI37,AA48,AA49),AA49)</f>
        <v>non</v>
      </c>
      <c r="AJ41" s="972"/>
      <c r="AK41" s="979" t="str">
        <f>IF(Standardwerte!AK38,IF(Standardwerte!AK37,AA48,AA49),AA49)</f>
        <v>non</v>
      </c>
      <c r="AL41" s="973"/>
      <c r="AM41" s="979" t="str">
        <f>IF(Standardwerte!AM38,IF(Standardwerte!AM37,AA48,AA49),AA49)</f>
        <v>non</v>
      </c>
      <c r="AN41" s="973"/>
      <c r="AO41" s="27">
        <v>3</v>
      </c>
      <c r="BB41" s="43">
        <v>6</v>
      </c>
      <c r="BC41" s="53" t="str">
        <f>Uebersetzung!D86</f>
        <v>Commerce</v>
      </c>
      <c r="BD41" s="43" t="str">
        <f>BC41</f>
        <v>Commerce</v>
      </c>
      <c r="BE41" s="43" t="str">
        <f t="shared" si="13"/>
        <v>Commerce</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Par Local</v>
      </c>
      <c r="P42" s="110" t="s">
        <v>199</v>
      </c>
      <c r="Q42" s="111" t="str">
        <f>AA49</f>
        <v>non</v>
      </c>
      <c r="R42" s="111" t="str">
        <f>AA49</f>
        <v>non</v>
      </c>
      <c r="S42" s="27"/>
      <c r="T42" s="1867">
        <v>8</v>
      </c>
      <c r="U42" s="1880">
        <f>(20*4368+30*3640+45*728)/8760</f>
        <v>26.17808219178082</v>
      </c>
      <c r="V42" s="1881">
        <f>(20*4368+30*3640+45*728)/8760</f>
        <v>26.17808219178082</v>
      </c>
      <c r="W42" s="1881">
        <f>(20*750+30*2000)/8760</f>
        <v>8.5616438356164384</v>
      </c>
      <c r="X42" s="1882">
        <f>(17*1200+25*800)/8760</f>
        <v>4.6118721461187215</v>
      </c>
      <c r="Y42" s="1884"/>
      <c r="Z42" s="1690">
        <v>30</v>
      </c>
      <c r="AA42" s="1690">
        <v>30</v>
      </c>
      <c r="AB42" s="1690">
        <v>30</v>
      </c>
      <c r="AC42" s="1883">
        <v>25</v>
      </c>
      <c r="AE42" s="42"/>
      <c r="AF42" s="867" t="str">
        <f>Uebersetzung!D308</f>
        <v>Taux de couverture &lt;&gt; 100%</v>
      </c>
      <c r="AG42" s="2322"/>
      <c r="AH42" s="2322"/>
      <c r="AI42" s="2318"/>
      <c r="AJ42" s="2319"/>
      <c r="AK42" s="2318"/>
      <c r="AL42" s="2319"/>
      <c r="AM42" s="2318"/>
      <c r="AN42" s="2319"/>
      <c r="AO42" s="27">
        <v>4</v>
      </c>
      <c r="BB42" s="43">
        <v>7</v>
      </c>
      <c r="BC42" s="53" t="str">
        <f>Uebersetzung!D87</f>
        <v>Restaurant</v>
      </c>
      <c r="BD42" s="43" t="str">
        <f t="shared" ref="BD42:BD48" si="14">BC42</f>
        <v>Restaurant</v>
      </c>
      <c r="BE42" s="43" t="str">
        <f t="shared" si="13"/>
        <v>Restaurant</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Fen. auto</v>
      </c>
      <c r="P43" s="57" t="s">
        <v>52</v>
      </c>
      <c r="Q43" s="156">
        <f>IF(R43=0,1,R43)</f>
        <v>1</v>
      </c>
      <c r="R43" s="483">
        <f>IF(Entrées!$F$21="",1,VLOOKUP(Entrées!$F$21,AI23:AM25,5,FALSE))</f>
        <v>1</v>
      </c>
      <c r="S43" s="1730" t="str">
        <f>IF(Neubau1=2,"Neubau",IF(Neubau1=3,"Altbau",""))</f>
        <v/>
      </c>
      <c r="T43" s="1867">
        <v>9</v>
      </c>
      <c r="U43" s="1884">
        <v>40</v>
      </c>
      <c r="V43" s="1690">
        <v>40</v>
      </c>
      <c r="W43" s="1881">
        <f>(27*750+40*2000)/8760</f>
        <v>11.44406392694064</v>
      </c>
      <c r="X43" s="1882">
        <f>(22*1200+33*800)/8760</f>
        <v>6.0273972602739727</v>
      </c>
      <c r="Y43" s="1884"/>
      <c r="Z43" s="1690">
        <v>40</v>
      </c>
      <c r="AA43" s="1690">
        <v>40</v>
      </c>
      <c r="AB43" s="1690">
        <v>40</v>
      </c>
      <c r="AC43" s="1883">
        <v>33</v>
      </c>
      <c r="AE43" s="42"/>
      <c r="AF43" s="53"/>
      <c r="AG43" s="2322"/>
      <c r="AH43" s="2322"/>
      <c r="AI43" s="2318"/>
      <c r="AJ43" s="2319"/>
      <c r="AK43" s="2318"/>
      <c r="AL43" s="2319"/>
      <c r="AM43" s="2318"/>
      <c r="AN43" s="2319"/>
      <c r="AO43" s="27">
        <v>5</v>
      </c>
      <c r="BB43" s="43">
        <v>8</v>
      </c>
      <c r="BC43" s="53" t="str">
        <f>Uebersetzung!D88</f>
        <v>Lieu de rassemblement</v>
      </c>
      <c r="BD43" s="43" t="str">
        <f t="shared" si="14"/>
        <v>Lieu de rassemblement</v>
      </c>
      <c r="BE43" s="43" t="str">
        <f t="shared" si="13"/>
        <v>Lieu de rassemblement</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3688</v>
      </c>
      <c r="M44" s="42"/>
      <c r="N44" s="53"/>
      <c r="O44" s="42" t="str">
        <f>Uebersetzung!D569</f>
        <v>Vent. de transfert d’air</v>
      </c>
      <c r="P44" s="57" t="s">
        <v>443</v>
      </c>
      <c r="Q44" s="156">
        <f>IF(R44=0,1,R44)</f>
        <v>1</v>
      </c>
      <c r="R44" s="483">
        <f>IF(Entrées!$G$21="",1,VLOOKUP(Entrées!$G$21,AI23:AM25,5,FALSE))</f>
        <v>1</v>
      </c>
      <c r="S44" s="43" t="str">
        <f>IF(Neubau2=2,"Neubau",IF(Neubau2=3,"Altbau",""))</f>
        <v/>
      </c>
      <c r="T44" s="1867">
        <v>10</v>
      </c>
      <c r="U44" s="1880">
        <f>(20*4368+30*3640+45*728)/8760</f>
        <v>26.17808219178082</v>
      </c>
      <c r="V44" s="1881">
        <f>(20*4368+30*3640+45*728)/8760</f>
        <v>26.17808219178082</v>
      </c>
      <c r="W44" s="1881">
        <f>(20*750+30*2000)/8760</f>
        <v>8.5616438356164384</v>
      </c>
      <c r="X44" s="1882">
        <f>(17*1200+25*800)/8760</f>
        <v>4.6118721461187215</v>
      </c>
      <c r="Y44" s="1884"/>
      <c r="Z44" s="1690">
        <v>30</v>
      </c>
      <c r="AA44" s="1690">
        <v>30</v>
      </c>
      <c r="AB44" s="1690">
        <v>30</v>
      </c>
      <c r="AC44" s="1883">
        <v>25</v>
      </c>
      <c r="AE44" s="42"/>
      <c r="AF44" s="53"/>
      <c r="AG44" s="2322"/>
      <c r="AH44" s="2322"/>
      <c r="AI44" s="2318"/>
      <c r="AJ44" s="2319"/>
      <c r="AK44" s="2318"/>
      <c r="AL44" s="2319"/>
      <c r="AM44" s="2318"/>
      <c r="AN44" s="2319"/>
      <c r="AO44" s="27">
        <v>6</v>
      </c>
      <c r="BB44" s="43">
        <v>9</v>
      </c>
      <c r="BC44" s="53" t="str">
        <f>Uebersetzung!D89</f>
        <v>Hôpital</v>
      </c>
      <c r="BD44" s="43" t="str">
        <f t="shared" si="14"/>
        <v>Hôpital</v>
      </c>
      <c r="BE44" s="43" t="str">
        <f t="shared" si="13"/>
        <v>Hôpital</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5" t="s">
        <v>3630</v>
      </c>
      <c r="J45" s="1819">
        <f>IF(_SIA2009,8.5,9.4)</f>
        <v>9.4</v>
      </c>
      <c r="K45" s="27">
        <v>11</v>
      </c>
      <c r="L45" s="563" t="s">
        <v>3689</v>
      </c>
      <c r="M45" s="42"/>
      <c r="N45" s="53"/>
      <c r="O45" s="42" t="str">
        <f>Uebersetzung!D570</f>
        <v>Vent. de base</v>
      </c>
      <c r="P45" s="57" t="s">
        <v>444</v>
      </c>
      <c r="Q45" s="156">
        <f>IF(R45=0,1,R45)</f>
        <v>1</v>
      </c>
      <c r="R45" s="483">
        <f>IF(Entrées!$H$21="",1,VLOOKUP(Entrées!$H$21,AI23:AM25,5,FALSE))</f>
        <v>1</v>
      </c>
      <c r="S45" s="43" t="str">
        <f>IF(Neubau3=2,"Neubau",IF(Neubau3=3,"Altbau",""))</f>
        <v/>
      </c>
      <c r="T45" s="1867">
        <v>11</v>
      </c>
      <c r="U45" s="1880">
        <f>(20*4368+30*3640+45*728)/8760</f>
        <v>26.17808219178082</v>
      </c>
      <c r="V45" s="1881">
        <f>(20*4368+30*3640+45*728)/8760</f>
        <v>26.17808219178082</v>
      </c>
      <c r="W45" s="1881">
        <f>(20*750+30*2000)/8760</f>
        <v>8.5616438356164384</v>
      </c>
      <c r="X45" s="1882">
        <f>(17*1200+25*800)/8760</f>
        <v>4.6118721461187215</v>
      </c>
      <c r="Y45" s="1885"/>
      <c r="Z45" s="1183">
        <v>20</v>
      </c>
      <c r="AA45" s="1183">
        <v>20</v>
      </c>
      <c r="AB45" s="1183">
        <v>30</v>
      </c>
      <c r="AC45" s="1278">
        <v>25</v>
      </c>
      <c r="AE45" s="60"/>
      <c r="AF45" s="116"/>
      <c r="AG45" s="2323"/>
      <c r="AH45" s="2324"/>
      <c r="AI45" s="2337"/>
      <c r="AJ45" s="2338"/>
      <c r="AK45" s="2337"/>
      <c r="AL45" s="2338"/>
      <c r="AM45" s="2337"/>
      <c r="AN45" s="2338"/>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IF(Entrées!$I$21="",1,VLOOKUP(Entrées!$I$21,AI23:AM25,5,FALSE))</f>
        <v>1</v>
      </c>
      <c r="S46" s="94" t="str">
        <f>IF(Neubau4=2,"Neubau",IF(Neubau4=3,"Altbau",""))</f>
        <v/>
      </c>
      <c r="T46" s="1771"/>
      <c r="U46" s="820"/>
      <c r="V46" s="829"/>
      <c r="W46" s="829"/>
      <c r="X46" s="1666"/>
      <c r="AA46" s="27" t="b">
        <f>(AJ58=AJ53)</f>
        <v>0</v>
      </c>
      <c r="AB46" s="1879" t="s">
        <v>820</v>
      </c>
      <c r="AD46" s="27">
        <v>1</v>
      </c>
      <c r="BB46" s="43">
        <v>11</v>
      </c>
      <c r="BC46" s="53" t="str">
        <f>Uebersetzung!D91</f>
        <v>Entrepôt</v>
      </c>
      <c r="BD46" s="43" t="str">
        <f>BC46</f>
        <v>Entrepôt</v>
      </c>
      <c r="BE46" s="43" t="str">
        <f t="shared" si="13"/>
        <v>Entrepôt</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Installation sportive</v>
      </c>
      <c r="BD47" s="43" t="str">
        <f t="shared" si="14"/>
        <v>Installation sportive</v>
      </c>
      <c r="BE47" s="43" t="str">
        <f t="shared" si="13"/>
        <v>Installation sportive</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oui</v>
      </c>
      <c r="AB48" s="120" t="str">
        <f>Uebersetzung!D254</f>
        <v>Moteur AC</v>
      </c>
      <c r="AC48" s="565">
        <v>1</v>
      </c>
      <c r="AD48" s="27">
        <v>3</v>
      </c>
      <c r="AE48" s="36"/>
      <c r="AF48" s="35"/>
      <c r="AG48" s="36"/>
      <c r="AH48" s="115"/>
      <c r="AI48" s="36"/>
      <c r="AJ48" s="115"/>
      <c r="AK48" s="36"/>
      <c r="AL48" s="115"/>
      <c r="AM48" s="36"/>
      <c r="AN48" s="115"/>
      <c r="BB48" s="94">
        <v>13</v>
      </c>
      <c r="BC48" s="116" t="str">
        <f>Uebersetzung!D93</f>
        <v>Piscine couverte</v>
      </c>
      <c r="BD48" s="142" t="str">
        <f t="shared" si="14"/>
        <v>Piscine couverte</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non</v>
      </c>
      <c r="AB49" s="142" t="str">
        <f>Uebersetzung!D255</f>
        <v>Moteur DC/EC</v>
      </c>
      <c r="AC49" s="565">
        <v>2</v>
      </c>
      <c r="AE49" s="43"/>
      <c r="AF49" s="288" t="s">
        <v>268</v>
      </c>
      <c r="AG49" s="2281" t="b">
        <f>AND(IF(Kategorie1=13,FALSE,AND(OR(Standardlüftung1=2,NOT(Standardwerte!AG37)),Standardwerte!AG38)),NOT(AG50))</f>
        <v>0</v>
      </c>
      <c r="AH49" s="2282"/>
      <c r="AI49" s="2281" t="b">
        <f>AND(IF(Kategorie2=13,FALSE,AND(OR(Standardlüftung2=2,NOT(Standardwerte!AI37)),Standardwerte!AI38)),NOT(AI50))</f>
        <v>0</v>
      </c>
      <c r="AJ49" s="2282"/>
      <c r="AK49" s="2281" t="b">
        <f>AND(IF(Kategorie3=13,FALSE,AND(OR(Standardlüftung3=2,NOT(Standardwerte!AK37)),Standardwerte!AK38)),NOT(AK50))</f>
        <v>0</v>
      </c>
      <c r="AL49" s="2282"/>
      <c r="AM49" s="2281" t="b">
        <f>AND(IF(Kategorie4=13,FALSE,AND(OR(Standardlüftung4=2,NOT(Standardwerte!AM37)),Standardwerte!AM38)),NOT(AM50))</f>
        <v>0</v>
      </c>
      <c r="AN49" s="2282"/>
      <c r="AO49" s="2281" t="b">
        <f>OR(AG49:AM49)</f>
        <v>0</v>
      </c>
      <c r="AP49" s="2322"/>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IF(Entrées!E46=Standardwerte!Z49,2,1)</f>
        <v>2</v>
      </c>
      <c r="AA50" s="27">
        <v>1</v>
      </c>
      <c r="AB50" s="839" t="b">
        <f>IF(Entrées!F35=Standardwerte!AB49,TRUE,FALSE)</f>
        <v>0</v>
      </c>
      <c r="AC50" s="565">
        <v>3</v>
      </c>
      <c r="AE50" s="94"/>
      <c r="AF50" s="289" t="s">
        <v>267</v>
      </c>
      <c r="AG50" s="2323" t="b">
        <f>OR(AND(J118&gt;1,J118&lt;5),IF(Kategorie1=13,FALSE,NOT(Standardwerte!AG35)))</f>
        <v>0</v>
      </c>
      <c r="AH50" s="2324"/>
      <c r="AI50" s="2323" t="b">
        <f>OR(AND(K118&gt;1,K118&lt;5),IF(Kategorie2=13,FALSE,NOT(Standardwerte!AI35)))</f>
        <v>0</v>
      </c>
      <c r="AJ50" s="2324"/>
      <c r="AK50" s="2323" t="b">
        <f>OR(AND(L118&gt;1,L118&lt;5),IF(Kategorie3=13,FALSE,NOT(Standardwerte!AK35)))</f>
        <v>0</v>
      </c>
      <c r="AL50" s="2324"/>
      <c r="AM50" s="2323" t="b">
        <f>OR(AND(M118&gt;1,M118&lt;5),IF(Kategorie4=13,FALSE,NOT(Standardwerte!AM35)))</f>
        <v>0</v>
      </c>
      <c r="AN50" s="2324"/>
      <c r="AO50" s="2281" t="b">
        <f>AND(OR(AG50:AM50))</f>
        <v>0</v>
      </c>
      <c r="AP50" s="2332"/>
      <c r="BL50" s="278" t="s">
        <v>228</v>
      </c>
      <c r="BM50" s="279" t="s">
        <v>238</v>
      </c>
      <c r="BN50" s="282"/>
      <c r="BO50" s="120" t="b">
        <v>1</v>
      </c>
      <c r="BP50" s="58">
        <v>1</v>
      </c>
      <c r="BQ50" s="988">
        <v>160</v>
      </c>
      <c r="BR50" s="988">
        <v>190</v>
      </c>
      <c r="BS50" s="45">
        <v>10</v>
      </c>
      <c r="BT50" s="424">
        <v>1</v>
      </c>
      <c r="BU50" s="45">
        <v>0.6</v>
      </c>
      <c r="BV50" s="44">
        <v>0.7</v>
      </c>
    </row>
    <row r="51" spans="1:74">
      <c r="A51" s="54" t="s">
        <v>719</v>
      </c>
      <c r="B51" s="482">
        <f>IF(Entrées!I14="",0,VLOOKUP(Entrées!I14,$A$54:$G$94,7,FALSE))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9"/>
      <c r="U51" s="1870"/>
      <c r="V51" s="1870"/>
      <c r="W51" s="60"/>
      <c r="X51" s="49">
        <v>5</v>
      </c>
      <c r="AA51" s="27">
        <v>2</v>
      </c>
      <c r="AB51" s="840" t="b">
        <f>IF(Entrées!G35=Standardwerte!AB49,TRUE,FALSE)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5" t="s">
        <v>3631</v>
      </c>
      <c r="J52" s="1819">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32">
        <v>1</v>
      </c>
      <c r="AA52" s="27">
        <v>3</v>
      </c>
      <c r="AB52" s="840" t="b">
        <f>IF(Entrées!H35=Standardwerte!AB49,TRUE,FALSE)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IF(Entrées!I35=Standardwerte!AB49,TRUE,FALSE)</f>
        <v>0</v>
      </c>
      <c r="AD53" s="42"/>
      <c r="AJ53" s="27" t="str">
        <f>Entrées!E14</f>
        <v>Minergie avec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20" t="s">
        <v>470</v>
      </c>
      <c r="V54" s="2321"/>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10"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91" t="str">
        <f>N55</f>
        <v>Pas de récup.</v>
      </c>
      <c r="M55" s="827"/>
      <c r="N55" s="827" t="str">
        <f>Uebersetzung!D102</f>
        <v>Pas de récup.</v>
      </c>
      <c r="O55" s="820">
        <v>2</v>
      </c>
      <c r="P55" s="828"/>
      <c r="Q55" s="1892">
        <v>0</v>
      </c>
      <c r="R55" s="84"/>
      <c r="S55" s="243" t="s">
        <v>354</v>
      </c>
      <c r="T55" s="640">
        <f>IF(Entrées!F34="",1,VLOOKUP(Entrées!F34,N54:O59,2,FALSE))</f>
        <v>1</v>
      </c>
      <c r="U55" s="112" t="s">
        <v>480</v>
      </c>
      <c r="V55" s="470">
        <f>W55</f>
        <v>1</v>
      </c>
      <c r="W55" s="604">
        <f>Justificatif!M8</f>
        <v>1</v>
      </c>
      <c r="X55" s="99" t="b">
        <f>INDEX($AH$108:$AH$155,$V55,1)</f>
        <v>0</v>
      </c>
      <c r="Y55" s="40">
        <f>IF(AND(DeckungsgradHeizung&gt;99,X55),#REF!/100,0)</f>
        <v>0</v>
      </c>
      <c r="Z55" s="40">
        <f>IF(AND(DeckungsgradWW&gt;99,X55),#REF!/100,0)</f>
        <v>0</v>
      </c>
      <c r="AA55" s="537">
        <f>IF(Justificatif!$L$54&gt;0,(Justificatif!$L$34*Y55+qw*Z55)/Justificatif!$L$54,0)</f>
        <v>0</v>
      </c>
      <c r="AB55" s="535" t="b">
        <f>INDEX($AI$108:$AI$155,$V55,1)</f>
        <v>0</v>
      </c>
      <c r="AC55" s="536">
        <f>IF(AND(DeckungsgradHeizung&gt;99,AB55),#REF!/100,0)</f>
        <v>0</v>
      </c>
      <c r="AD55" s="537">
        <f>IF(AND(DeckungsgradWW&gt;99,AB55),#REF!/100,0)</f>
        <v>0</v>
      </c>
      <c r="AE55" s="537">
        <f>IF(Justificatif!$L$54&gt;0,(Justificatif!$L$34*AC55+qw*AD55)/Justificatif!$L$54,0)</f>
        <v>0</v>
      </c>
      <c r="AF55" s="337" t="b">
        <f>INDEX($AJ$108:$AJ$155,$V55,1)</f>
        <v>0</v>
      </c>
      <c r="AG55" s="550">
        <f>IF(AF55,IF(#REF!&lt;&gt;"",-#REF!,0),0)</f>
        <v>0</v>
      </c>
      <c r="AH55" s="115"/>
      <c r="AJ55" s="1696" t="str">
        <f>Uebersetzung!D19</f>
        <v>Preuve officielle</v>
      </c>
      <c r="AK55" s="1811">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Courant croisé</v>
      </c>
      <c r="M56" s="170"/>
      <c r="N56" s="136" t="str">
        <f>Uebersetzung!D103</f>
        <v>Courant croisé</v>
      </c>
      <c r="O56" s="84">
        <v>3</v>
      </c>
      <c r="P56" s="333"/>
      <c r="Q56" s="453">
        <v>0.45</v>
      </c>
      <c r="R56" s="84"/>
      <c r="S56" s="243" t="s">
        <v>355</v>
      </c>
      <c r="T56" s="640">
        <f>IF(Entrées!G34="",1,VLOOKUP(Entrées!G34,N54:O59,2,FALSE))</f>
        <v>1</v>
      </c>
      <c r="U56" s="56" t="s">
        <v>481</v>
      </c>
      <c r="V56" s="471">
        <f>W56</f>
        <v>1</v>
      </c>
      <c r="W56" s="604">
        <f>Justificatif!M12</f>
        <v>1</v>
      </c>
      <c r="X56" s="99" t="b">
        <f>INDEX($AH$108:$AH$155,$V56,1)</f>
        <v>0</v>
      </c>
      <c r="Y56" s="45">
        <f>IF(AND(DeckungsgradHeizung&gt;99,X56),#REF!/100,0)</f>
        <v>0</v>
      </c>
      <c r="Z56" s="45">
        <f>IF(AND(DeckungsgradWW&gt;99,X56),#REF!/100,0)</f>
        <v>0</v>
      </c>
      <c r="AA56" s="539">
        <f>IF(Justificatif!$L$54&gt;0,(Justificatif!$L$34*Y56+qw*Z56)/Justificatif!$L$54,0)</f>
        <v>0</v>
      </c>
      <c r="AB56" s="535" t="b">
        <f>INDEX($AI$108:$AI$155,$V56,1)</f>
        <v>0</v>
      </c>
      <c r="AC56" s="538">
        <f>IF(AND(DeckungsgradHeizung&gt;99,AB56),#REF!/100,0)</f>
        <v>0</v>
      </c>
      <c r="AD56" s="539">
        <f>IF(AND(DeckungsgradWW&gt;99,AB56),#REF!/100,0)</f>
        <v>0</v>
      </c>
      <c r="AE56" s="539">
        <f>IF(Justificatif!$L$54&gt;0,(Justificatif!$L$34*AC56+qw*AD56)/Justificatif!$L$54,0)</f>
        <v>0</v>
      </c>
      <c r="AF56" s="337" t="b">
        <f>INDEX($AJ$108:$AJ$155,$V56,1)</f>
        <v>0</v>
      </c>
      <c r="AG56" s="551">
        <f>IF(AF56,IF(#REF!&lt;&gt;"",-#REF!,0),0)</f>
        <v>0</v>
      </c>
      <c r="AH56" s="53"/>
      <c r="AJ56" s="817" t="str">
        <f>Uebersetzung!D559</f>
        <v>Minergie avec SIA 380/1:2016</v>
      </c>
      <c r="AK56" s="1806">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Contre-courant</v>
      </c>
      <c r="M57" s="170"/>
      <c r="N57" s="136" t="str">
        <f>Uebersetzung!D104</f>
        <v>Contre-courant</v>
      </c>
      <c r="O57" s="84">
        <v>4</v>
      </c>
      <c r="P57" s="333"/>
      <c r="Q57" s="453">
        <v>0.7</v>
      </c>
      <c r="R57" s="84"/>
      <c r="S57" s="243" t="s">
        <v>356</v>
      </c>
      <c r="T57" s="640">
        <f>IF(Entrées!H34="",1,VLOOKUP(Entrées!H34,N54:O59,2,FALSE))</f>
        <v>1</v>
      </c>
      <c r="U57" s="56" t="s">
        <v>31</v>
      </c>
      <c r="V57" s="471">
        <f>W57</f>
        <v>1</v>
      </c>
      <c r="W57" s="604">
        <f>Justificatif!M16</f>
        <v>1</v>
      </c>
      <c r="X57" s="99" t="b">
        <f>INDEX($AH$108:$AH$155,$V57,1)</f>
        <v>0</v>
      </c>
      <c r="Y57" s="45">
        <f>IF(AND(DeckungsgradHeizung&gt;99,X57),#REF!/100,0)</f>
        <v>0</v>
      </c>
      <c r="Z57" s="45">
        <f>IF(AND(DeckungsgradWW&gt;99,X57),#REF!/100,0)</f>
        <v>0</v>
      </c>
      <c r="AA57" s="539">
        <f>IF(Justificatif!$L$54&gt;0,(Justificatif!$L$34*Y57+qw*Z57)/Justificatif!$L$54,0)</f>
        <v>0</v>
      </c>
      <c r="AB57" s="535" t="b">
        <f>INDEX($AI$108:$AI$155,$V57,1)</f>
        <v>0</v>
      </c>
      <c r="AC57" s="538">
        <f>IF(AND(DeckungsgradHeizung&gt;99,AB57),#REF!/100,0)</f>
        <v>0</v>
      </c>
      <c r="AD57" s="539">
        <f>IF(AND(DeckungsgradWW&gt;99,AB57),#REF!/100,0)</f>
        <v>0</v>
      </c>
      <c r="AE57" s="539">
        <f>IF(Justificatif!$L$54&gt;0,(Justificatif!$L$34*AC57+qw*AD57)/Justificatif!$L$54,0)</f>
        <v>0</v>
      </c>
      <c r="AF57" s="337" t="b">
        <f>INDEX($AJ$108:$AJ$155,$V57,1)</f>
        <v>0</v>
      </c>
      <c r="AG57" s="551">
        <f>IF(AF57,IF(#REF!&lt;&gt;"",-#REF!,0),0)</f>
        <v>0</v>
      </c>
      <c r="AH57" s="53"/>
      <c r="AJ57" s="817" t="str">
        <f>Uebersetzung!D560</f>
        <v>Minergie-P avec SIA 380/1:2016</v>
      </c>
      <c r="AK57" s="1806">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Rotatif</v>
      </c>
      <c r="M58" s="136"/>
      <c r="N58" s="136" t="str">
        <f>Uebersetzung!D105</f>
        <v>Rotatif</v>
      </c>
      <c r="O58" s="84">
        <v>5</v>
      </c>
      <c r="P58" s="333"/>
      <c r="Q58" s="453">
        <v>0.7</v>
      </c>
      <c r="R58" s="134"/>
      <c r="S58" s="243" t="s">
        <v>124</v>
      </c>
      <c r="T58" s="641">
        <f>IF(Entrées!I34="",1,VLOOKUP(Entrées!I34,N54:O59,2,FALSE))</f>
        <v>1</v>
      </c>
      <c r="U58" s="110" t="s">
        <v>32</v>
      </c>
      <c r="V58" s="472">
        <f>W58</f>
        <v>1</v>
      </c>
      <c r="W58" s="605">
        <f>Justificatif!M20</f>
        <v>1</v>
      </c>
      <c r="X58" s="533" t="b">
        <f>INDEX($AH$108:$AH$155,$V58,1)</f>
        <v>0</v>
      </c>
      <c r="Y58" s="49">
        <f>IF(AND(DeckungsgradHeizung&gt;99,X58),#REF!/100,0)</f>
        <v>0</v>
      </c>
      <c r="Z58" s="49">
        <f>IF(AND(DeckungsgradWW&gt;99,X58),#REF!/100,0)</f>
        <v>0</v>
      </c>
      <c r="AA58" s="542">
        <f>IF(Justificatif!$L$54&gt;0,(Justificatif!$L$34*Y58+qw*Z58)/Justificatif!$L$54,0)</f>
        <v>0</v>
      </c>
      <c r="AB58" s="540" t="b">
        <f>INDEX($AI$108:$AI$155,$V58,1)</f>
        <v>0</v>
      </c>
      <c r="AC58" s="541">
        <f>IF(AND(DeckungsgradHeizung&gt;99,AB58),#REF!/100,0)</f>
        <v>0</v>
      </c>
      <c r="AD58" s="542">
        <f>IF(AND(DeckungsgradWW&gt;99,AB58),#REF!/100,0)</f>
        <v>0</v>
      </c>
      <c r="AE58" s="542">
        <f>IF(Justificatif!$L$54&gt;0,(Justificatif!$L$34*AC58+qw*AD58)/Justificatif!$L$54,0)</f>
        <v>0</v>
      </c>
      <c r="AF58" s="338" t="b">
        <f>INDEX($AJ$108:$AJ$155,$V58,1)</f>
        <v>0</v>
      </c>
      <c r="AG58" s="552">
        <f>IF(AF58,IF(#REF!&lt;&gt;"",-#REF!,0),0)</f>
        <v>0</v>
      </c>
      <c r="AH58" s="116"/>
      <c r="AJ58" s="817" t="str">
        <f>Uebersetzung!D561</f>
        <v>Minergie-A avec SIA 380/1:2016</v>
      </c>
      <c r="AK58" s="1806">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3840</v>
      </c>
      <c r="J59" s="492"/>
      <c r="K59" s="27">
        <v>5</v>
      </c>
      <c r="L59" s="108" t="str">
        <f>N59</f>
        <v>Enthalpie</v>
      </c>
      <c r="M59" s="136"/>
      <c r="N59" s="136" t="str">
        <f>Uebersetzung!D571</f>
        <v>Enthalpie</v>
      </c>
      <c r="O59" s="84">
        <v>6</v>
      </c>
      <c r="P59" s="333"/>
      <c r="Q59" s="453">
        <v>0.6</v>
      </c>
      <c r="S59" s="1907" t="s">
        <v>3880</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avec SIA 380/1:2009</v>
      </c>
      <c r="AK59" s="1806">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9" t="s">
        <v>3361</v>
      </c>
      <c r="J60" s="429">
        <f>IF(_SIA2009,1.25,1.5)</f>
        <v>1.5</v>
      </c>
      <c r="K60" s="27">
        <v>6</v>
      </c>
      <c r="L60" s="94"/>
      <c r="M60" s="60"/>
      <c r="N60" s="60"/>
      <c r="O60" s="1870">
        <v>7</v>
      </c>
      <c r="P60" s="60"/>
      <c r="Q60" s="116"/>
      <c r="R60" s="1906" t="s">
        <v>132</v>
      </c>
      <c r="S60" s="317" t="s">
        <v>3881</v>
      </c>
      <c r="T60" s="831"/>
      <c r="Z60" s="543" t="s">
        <v>506</v>
      </c>
      <c r="AA60" s="546">
        <f>0.95-AE59</f>
        <v>0.95</v>
      </c>
      <c r="AD60" s="543" t="s">
        <v>506</v>
      </c>
      <c r="AE60" s="316">
        <v>0.5</v>
      </c>
      <c r="AJ60" s="817" t="str">
        <f>Uebersetzung!D563</f>
        <v>Minergie-P avec SIA 380/1:2009</v>
      </c>
      <c r="AK60" s="1806">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8">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avec SIA 380/1:2009</v>
      </c>
      <c r="AK61" s="1806">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10">
        <f>IF(Lüftung2=8,IF(WRGtyp2=6,IF(AND(alpin,alpensued=FALSE),0.1,0),IF(OR(WRGtyp2=3,WRGtyp2=4),IF(AND(alpin,alpensued=FALSE),0.35,0.1),0)),0)</f>
        <v>0</v>
      </c>
      <c r="T62" s="42"/>
      <c r="U62" s="161" t="s">
        <v>469</v>
      </c>
      <c r="V62" s="230" t="s">
        <v>177</v>
      </c>
      <c r="W62" s="231"/>
      <c r="AJ62" s="142"/>
      <c r="AK62" s="1807">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10">
        <f>IF(Lüftung3=8,IF(WRGtyp3=6,IF(AND(alpin,alpensued=FALSE),0.1,0),IF(OR(WRGtyp3=3,WRGtyp3=4),IF(AND(alpin,alpensued=FALSE),0.35,0.1),0)),0)</f>
        <v>0</v>
      </c>
      <c r="T63" s="42">
        <v>1</v>
      </c>
      <c r="U63" s="108" t="str">
        <f>INDEX($V$108:$V$155,_typ1,1)</f>
        <v xml:space="preserve">  </v>
      </c>
      <c r="V63" s="263" t="str">
        <f>INDEX($W$108:$W$155,_typ1,1)</f>
        <v xml:space="preserve">  </v>
      </c>
      <c r="W63" s="44"/>
      <c r="AJ63" s="49">
        <f>IF(Entrées!E14="",0,VLOOKUP(Entrées!E14,AJ55:AK62,2,FALSE))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11">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3628</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28" t="s">
        <v>3181</v>
      </c>
      <c r="Y65" s="2330"/>
      <c r="Z65" s="2330"/>
      <c r="AA65" s="2330"/>
      <c r="AB65" s="2330"/>
      <c r="AC65" s="2330"/>
      <c r="AD65" s="1696" t="s">
        <v>555</v>
      </c>
      <c r="AE65" s="1697">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6" t="s">
        <v>529</v>
      </c>
      <c r="M66" s="931"/>
      <c r="N66" s="1887"/>
      <c r="O66" s="156"/>
      <c r="P66" s="2342" t="s">
        <v>3692</v>
      </c>
      <c r="Q66" s="2343"/>
      <c r="R66" s="2343"/>
      <c r="S66" s="2344"/>
      <c r="T66" s="42">
        <v>4</v>
      </c>
      <c r="U66" s="264" t="str">
        <f>INDEX($V$108:$V$155,_typ4,1)</f>
        <v xml:space="preserve">  </v>
      </c>
      <c r="V66" s="265" t="str">
        <f>INDEX($W$108:$W$155,_typ4,1)</f>
        <v xml:space="preserve">  </v>
      </c>
      <c r="W66" s="111"/>
      <c r="X66" s="2328" t="s">
        <v>546</v>
      </c>
      <c r="Y66" s="2329"/>
      <c r="Z66" s="2328" t="s">
        <v>663</v>
      </c>
      <c r="AA66" s="2329"/>
      <c r="AB66" s="2328" t="s">
        <v>499</v>
      </c>
      <c r="AC66" s="2330"/>
      <c r="AD66" s="817" t="s">
        <v>556</v>
      </c>
      <c r="AE66" s="1698">
        <f>IF(minergiea,IF(Neubau2=3,AC$68,AB$68),IF(minergiep,IF(Neubau2=3,AA$68,Z$68),IF(Neubau2=3,Y$68,X$68)))</f>
        <v>15</v>
      </c>
      <c r="AF66" s="745" t="s">
        <v>524</v>
      </c>
    </row>
    <row r="67" spans="1:71">
      <c r="A67" s="90" t="s">
        <v>300</v>
      </c>
      <c r="B67" s="91" t="s">
        <v>299</v>
      </c>
      <c r="C67" s="91">
        <v>12</v>
      </c>
      <c r="D67" s="91">
        <v>8</v>
      </c>
      <c r="E67" s="91">
        <v>2472</v>
      </c>
      <c r="F67" s="92">
        <v>-0.5</v>
      </c>
      <c r="G67" s="565">
        <v>14</v>
      </c>
      <c r="L67" s="1730">
        <v>1</v>
      </c>
      <c r="M67" s="1888" t="s">
        <v>629</v>
      </c>
      <c r="N67" s="1889" t="s">
        <v>643</v>
      </c>
      <c r="O67" s="156"/>
      <c r="P67" s="437" t="s">
        <v>555</v>
      </c>
      <c r="Q67" s="437" t="s">
        <v>556</v>
      </c>
      <c r="R67" s="437" t="s">
        <v>234</v>
      </c>
      <c r="S67" s="437" t="s">
        <v>235</v>
      </c>
      <c r="X67" s="1672" t="s">
        <v>650</v>
      </c>
      <c r="Y67" s="1673" t="s">
        <v>1699</v>
      </c>
      <c r="Z67" s="1672" t="s">
        <v>650</v>
      </c>
      <c r="AA67" s="1673" t="s">
        <v>1699</v>
      </c>
      <c r="AB67" s="1672" t="s">
        <v>650</v>
      </c>
      <c r="AC67" s="1673" t="s">
        <v>1699</v>
      </c>
      <c r="AD67" s="817" t="s">
        <v>234</v>
      </c>
      <c r="AE67" s="1698">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32" t="str">
        <f t="shared" ref="P68:P77" si="17">O35</f>
        <v/>
      </c>
      <c r="Q68" s="1732"/>
      <c r="R68" s="1732"/>
      <c r="S68" s="1732"/>
      <c r="T68" s="565">
        <v>1</v>
      </c>
      <c r="W68" s="1097" t="s">
        <v>1802</v>
      </c>
      <c r="X68" s="980">
        <v>15</v>
      </c>
      <c r="Y68" s="429">
        <v>50</v>
      </c>
      <c r="Z68" s="980">
        <v>10</v>
      </c>
      <c r="AA68" s="429">
        <v>40</v>
      </c>
      <c r="AB68" s="980">
        <v>-5</v>
      </c>
      <c r="AC68" s="981">
        <v>-5</v>
      </c>
      <c r="AD68" s="818" t="s">
        <v>235</v>
      </c>
      <c r="AE68" s="1699">
        <f>IF(minergiea,IF(Neubau4=3,AC$68,AB$68),IF(minergiep,IF(Neubau4=3,AA$68,Z$68),IF(Neubau4=3,Y$68,X$68)))</f>
        <v>15</v>
      </c>
      <c r="AF68" s="745" t="s">
        <v>524</v>
      </c>
      <c r="AG68" s="745" t="s">
        <v>3509</v>
      </c>
      <c r="AI68" s="745" t="s">
        <v>546</v>
      </c>
      <c r="AJ68" s="745" t="s">
        <v>3629</v>
      </c>
      <c r="AL68" s="2331" t="s">
        <v>3632</v>
      </c>
      <c r="AM68" s="2331"/>
      <c r="AN68" s="746" t="s">
        <v>4012</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Pas de ventilation</v>
      </c>
      <c r="Q69" s="45" t="str">
        <f t="shared" ref="Q69:Q77" si="18">IF(Zonen&gt;1,O36,"")</f>
        <v/>
      </c>
      <c r="R69" s="45" t="str">
        <f t="shared" ref="R69:R77" si="19">IF(Zonen&gt;2,O36,"")</f>
        <v/>
      </c>
      <c r="S69" s="45" t="str">
        <f t="shared" ref="S69:S77" si="20">IF(Zonen&gt;3,O36,"")</f>
        <v/>
      </c>
      <c r="T69" s="565">
        <v>2</v>
      </c>
      <c r="W69" s="1216" t="s">
        <v>1801</v>
      </c>
      <c r="X69" s="1211" t="s">
        <v>546</v>
      </c>
      <c r="Y69" s="1213"/>
      <c r="Z69" s="1211" t="s">
        <v>663</v>
      </c>
      <c r="AA69" s="1213"/>
      <c r="AB69" s="1221"/>
      <c r="AC69" s="1212" t="s">
        <v>735</v>
      </c>
      <c r="AD69" s="2325" t="s">
        <v>2500</v>
      </c>
      <c r="AE69" s="2326"/>
      <c r="AF69" s="2327"/>
      <c r="AG69" s="1284" t="s">
        <v>80</v>
      </c>
      <c r="AH69" s="1285" t="s">
        <v>1904</v>
      </c>
      <c r="AI69" s="741" t="s">
        <v>499</v>
      </c>
      <c r="AJ69" s="1817" t="s">
        <v>80</v>
      </c>
      <c r="AK69" s="1818" t="s">
        <v>1904</v>
      </c>
      <c r="AL69" s="1817" t="s">
        <v>80</v>
      </c>
      <c r="AM69" s="1818" t="s">
        <v>1904</v>
      </c>
      <c r="AN69" s="1812"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FOU/REP sans RC</v>
      </c>
      <c r="Q70" s="45" t="str">
        <f t="shared" si="18"/>
        <v/>
      </c>
      <c r="R70" s="45" t="str">
        <f t="shared" si="19"/>
        <v/>
      </c>
      <c r="S70" s="45" t="str">
        <f t="shared" si="20"/>
        <v/>
      </c>
      <c r="T70" s="565">
        <v>3</v>
      </c>
      <c r="W70" s="1217" t="s">
        <v>1791</v>
      </c>
      <c r="X70" s="1206" t="s">
        <v>650</v>
      </c>
      <c r="Y70" s="1207" t="s">
        <v>1699</v>
      </c>
      <c r="Z70" s="1206" t="s">
        <v>650</v>
      </c>
      <c r="AA70" s="1207" t="s">
        <v>1699</v>
      </c>
      <c r="AB70" s="742" t="s">
        <v>632</v>
      </c>
      <c r="AC70" s="1208" t="s">
        <v>493</v>
      </c>
      <c r="AD70" s="1207" t="s">
        <v>696</v>
      </c>
      <c r="AE70" s="1206" t="s">
        <v>1864</v>
      </c>
      <c r="AF70" s="1230" t="s">
        <v>1867</v>
      </c>
      <c r="AG70" s="1230" t="s">
        <v>524</v>
      </c>
      <c r="AH70" s="1231" t="s">
        <v>524</v>
      </c>
      <c r="AI70" s="742" t="s">
        <v>2256</v>
      </c>
      <c r="AJ70" s="1808" t="s">
        <v>524</v>
      </c>
      <c r="AK70" s="1809" t="s">
        <v>524</v>
      </c>
      <c r="AL70" s="1822" t="s">
        <v>524</v>
      </c>
      <c r="AM70" s="1823" t="s">
        <v>524</v>
      </c>
      <c r="AN70" s="1935" t="s">
        <v>4012</v>
      </c>
    </row>
    <row r="71" spans="1:71" ht="13.5" thickBot="1">
      <c r="A71" s="90" t="s">
        <v>598</v>
      </c>
      <c r="B71" s="91" t="s">
        <v>286</v>
      </c>
      <c r="C71" s="91">
        <v>2</v>
      </c>
      <c r="D71" s="91">
        <v>0</v>
      </c>
      <c r="E71" s="91">
        <v>1202</v>
      </c>
      <c r="F71" s="92">
        <v>6</v>
      </c>
      <c r="G71" s="565">
        <v>18</v>
      </c>
      <c r="L71" s="163"/>
      <c r="M71" s="172"/>
      <c r="N71" s="173"/>
      <c r="O71" s="107"/>
      <c r="P71" s="45" t="str">
        <f t="shared" si="17"/>
        <v>Double flux</v>
      </c>
      <c r="Q71" s="45" t="str">
        <f t="shared" si="18"/>
        <v/>
      </c>
      <c r="R71" s="45" t="str">
        <f t="shared" si="19"/>
        <v/>
      </c>
      <c r="S71" s="45" t="str">
        <f t="shared" si="20"/>
        <v/>
      </c>
      <c r="T71" s="565">
        <v>4</v>
      </c>
      <c r="W71" s="1218"/>
      <c r="X71" s="1218"/>
      <c r="Y71" s="1220"/>
      <c r="Z71" s="1218"/>
      <c r="AA71" s="1220"/>
      <c r="AB71" s="1215"/>
      <c r="AC71" s="1219"/>
      <c r="AD71" s="1205"/>
      <c r="AE71" s="1204"/>
      <c r="AF71" s="1229"/>
      <c r="AG71" s="1286"/>
      <c r="AH71" s="1287"/>
      <c r="AI71" s="1215"/>
      <c r="AJ71" s="1286"/>
      <c r="AK71" s="1287"/>
      <c r="AL71" s="1286"/>
      <c r="AM71" s="1287"/>
      <c r="AN71" s="1936"/>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FOU/REP+PAC</v>
      </c>
      <c r="Q72" s="45" t="str">
        <f t="shared" si="18"/>
        <v/>
      </c>
      <c r="R72" s="45" t="str">
        <f t="shared" si="19"/>
        <v/>
      </c>
      <c r="S72" s="45" t="str">
        <f t="shared" si="20"/>
        <v/>
      </c>
      <c r="T72" s="565">
        <v>5</v>
      </c>
      <c r="W72" s="430" t="s">
        <v>29</v>
      </c>
      <c r="X72" s="84">
        <v>55</v>
      </c>
      <c r="Y72" s="84">
        <v>90</v>
      </c>
      <c r="Z72" s="1209">
        <v>50</v>
      </c>
      <c r="AA72" s="1210">
        <v>80</v>
      </c>
      <c r="AB72" s="84" t="s">
        <v>49</v>
      </c>
      <c r="AC72" s="45">
        <v>99999999</v>
      </c>
      <c r="AD72" s="84">
        <v>0</v>
      </c>
      <c r="AE72" s="45">
        <v>0</v>
      </c>
      <c r="AF72" s="1232">
        <v>0</v>
      </c>
      <c r="AG72" s="1693">
        <v>13</v>
      </c>
      <c r="AH72" s="1694">
        <v>15</v>
      </c>
      <c r="AI72" s="45">
        <f>35</f>
        <v>35</v>
      </c>
      <c r="AJ72" s="1813">
        <v>14</v>
      </c>
      <c r="AK72" s="1814">
        <v>16</v>
      </c>
      <c r="AL72" s="1771">
        <f t="shared" ref="AL72:AL83" si="21">IF(_SIA2009,AJ72,AG72)</f>
        <v>13</v>
      </c>
      <c r="AM72" s="1811">
        <f t="shared" ref="AM72:AM83" si="22">IF(_SIA2009,AK72,AH72)</f>
        <v>15</v>
      </c>
      <c r="AN72" s="1942">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REP</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32">
        <v>0</v>
      </c>
      <c r="AG73" s="1693">
        <v>16</v>
      </c>
      <c r="AH73" s="1694">
        <v>15</v>
      </c>
      <c r="AI73" s="45">
        <f>35</f>
        <v>35</v>
      </c>
      <c r="AJ73" s="1813">
        <v>16</v>
      </c>
      <c r="AK73" s="1814">
        <v>16</v>
      </c>
      <c r="AL73" s="1820">
        <f t="shared" si="21"/>
        <v>16</v>
      </c>
      <c r="AM73" s="1821">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REP+PAC</v>
      </c>
      <c r="Q74" s="45" t="str">
        <f t="shared" si="18"/>
        <v/>
      </c>
      <c r="R74" s="45" t="str">
        <f t="shared" si="19"/>
        <v/>
      </c>
      <c r="S74" s="45" t="str">
        <f t="shared" si="20"/>
        <v/>
      </c>
      <c r="T74" s="565">
        <v>7</v>
      </c>
      <c r="W74" s="430" t="s">
        <v>1792</v>
      </c>
      <c r="X74" s="1692">
        <v>80</v>
      </c>
      <c r="Y74" s="1692">
        <v>120</v>
      </c>
      <c r="Z74" s="1693">
        <v>75</v>
      </c>
      <c r="AA74" s="1694">
        <v>115</v>
      </c>
      <c r="AB74" s="84" t="s">
        <v>5</v>
      </c>
      <c r="AC74" s="45">
        <v>250</v>
      </c>
      <c r="AD74" s="1692">
        <v>20</v>
      </c>
      <c r="AE74" s="1695">
        <v>33</v>
      </c>
      <c r="AF74" s="1693">
        <v>7</v>
      </c>
      <c r="AG74" s="1693">
        <v>13</v>
      </c>
      <c r="AH74" s="1694">
        <v>15</v>
      </c>
      <c r="AI74" s="45">
        <f>35</f>
        <v>35</v>
      </c>
      <c r="AJ74" s="1813">
        <v>16</v>
      </c>
      <c r="AK74" s="1814">
        <v>21</v>
      </c>
      <c r="AL74" s="1820">
        <f t="shared" si="21"/>
        <v>13</v>
      </c>
      <c r="AM74" s="1821">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Par Local</v>
      </c>
      <c r="Q75" s="45" t="str">
        <f t="shared" si="18"/>
        <v/>
      </c>
      <c r="R75" s="45" t="str">
        <f t="shared" si="19"/>
        <v/>
      </c>
      <c r="S75" s="45" t="str">
        <f t="shared" si="20"/>
        <v/>
      </c>
      <c r="T75" s="565">
        <v>8</v>
      </c>
      <c r="W75" s="430" t="s">
        <v>1793</v>
      </c>
      <c r="X75" s="84">
        <v>45</v>
      </c>
      <c r="Y75" s="84">
        <v>85</v>
      </c>
      <c r="Z75" s="1113">
        <v>40</v>
      </c>
      <c r="AA75" s="1114">
        <v>75</v>
      </c>
      <c r="AB75" s="84" t="s">
        <v>7</v>
      </c>
      <c r="AC75" s="45">
        <v>250</v>
      </c>
      <c r="AD75" s="1692">
        <v>17</v>
      </c>
      <c r="AE75" s="1695">
        <v>10</v>
      </c>
      <c r="AF75" s="1693">
        <v>6</v>
      </c>
      <c r="AG75" s="1693">
        <v>14</v>
      </c>
      <c r="AH75" s="1694">
        <v>15</v>
      </c>
      <c r="AI75" s="45">
        <f>20</f>
        <v>20</v>
      </c>
      <c r="AJ75" s="1813">
        <v>18</v>
      </c>
      <c r="AK75" s="1814">
        <v>18</v>
      </c>
      <c r="AL75" s="1820">
        <f t="shared" si="21"/>
        <v>14</v>
      </c>
      <c r="AM75" s="1821">
        <f t="shared" si="22"/>
        <v>15</v>
      </c>
      <c r="AN75" s="227">
        <v>0</v>
      </c>
      <c r="BL75" s="127" t="s">
        <v>103</v>
      </c>
      <c r="BM75" s="126"/>
      <c r="BN75" s="126"/>
      <c r="BO75" s="126"/>
      <c r="BP75" s="126"/>
      <c r="BQ75" s="318"/>
      <c r="BR75" s="556">
        <f>MAX(Justificatif!G58-MINERGIE_Wert,0)</f>
        <v>0</v>
      </c>
      <c r="BS75" s="120"/>
    </row>
    <row r="76" spans="1:71">
      <c r="A76" s="90" t="s">
        <v>301</v>
      </c>
      <c r="B76" s="91" t="s">
        <v>299</v>
      </c>
      <c r="C76" s="91">
        <v>10</v>
      </c>
      <c r="D76" s="91">
        <v>0</v>
      </c>
      <c r="E76" s="91">
        <v>1508</v>
      </c>
      <c r="F76" s="92">
        <v>5.9</v>
      </c>
      <c r="G76" s="565">
        <v>23</v>
      </c>
      <c r="O76" s="107"/>
      <c r="P76" s="45" t="str">
        <f t="shared" si="17"/>
        <v>Fen. auto</v>
      </c>
      <c r="Q76" s="45" t="str">
        <f t="shared" si="18"/>
        <v/>
      </c>
      <c r="R76" s="45" t="str">
        <f t="shared" si="19"/>
        <v/>
      </c>
      <c r="S76" s="45" t="str">
        <f t="shared" si="20"/>
        <v/>
      </c>
      <c r="T76" s="565">
        <v>9</v>
      </c>
      <c r="W76" s="430" t="s">
        <v>1794</v>
      </c>
      <c r="X76" s="1692">
        <v>85</v>
      </c>
      <c r="Y76" s="1692">
        <v>110</v>
      </c>
      <c r="Z76" s="1693">
        <v>75</v>
      </c>
      <c r="AA76" s="1694">
        <v>100</v>
      </c>
      <c r="AB76" s="84" t="s">
        <v>9</v>
      </c>
      <c r="AC76" s="45">
        <v>250</v>
      </c>
      <c r="AD76" s="1692">
        <v>61</v>
      </c>
      <c r="AE76" s="1695">
        <v>10</v>
      </c>
      <c r="AF76" s="1693">
        <v>15</v>
      </c>
      <c r="AG76" s="1693">
        <v>7</v>
      </c>
      <c r="AH76" s="1694">
        <v>14</v>
      </c>
      <c r="AI76" s="45">
        <f>40</f>
        <v>40</v>
      </c>
      <c r="AJ76" s="1813">
        <v>13</v>
      </c>
      <c r="AK76" s="1814">
        <v>16</v>
      </c>
      <c r="AL76" s="1820">
        <f t="shared" si="21"/>
        <v>7</v>
      </c>
      <c r="AM76" s="1821">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Vent. de transfert d’air</v>
      </c>
      <c r="Q77" s="45" t="str">
        <f t="shared" si="18"/>
        <v/>
      </c>
      <c r="R77" s="45" t="str">
        <f t="shared" si="19"/>
        <v/>
      </c>
      <c r="S77" s="45" t="str">
        <f t="shared" si="20"/>
        <v/>
      </c>
      <c r="T77" s="565">
        <v>10</v>
      </c>
      <c r="W77" s="430" t="s">
        <v>1795</v>
      </c>
      <c r="X77" s="1692">
        <v>70</v>
      </c>
      <c r="Y77" s="1692">
        <v>100</v>
      </c>
      <c r="Z77" s="1693">
        <v>60</v>
      </c>
      <c r="AA77" s="1694">
        <v>90</v>
      </c>
      <c r="AB77" s="84" t="s">
        <v>10</v>
      </c>
      <c r="AC77" s="45">
        <v>250</v>
      </c>
      <c r="AD77" s="1692">
        <v>21</v>
      </c>
      <c r="AE77" s="1695">
        <v>9</v>
      </c>
      <c r="AF77" s="1693">
        <v>17</v>
      </c>
      <c r="AG77" s="1693">
        <v>16</v>
      </c>
      <c r="AH77" s="1694">
        <v>15</v>
      </c>
      <c r="AI77" s="227">
        <f>40</f>
        <v>40</v>
      </c>
      <c r="AJ77" s="1813">
        <v>24</v>
      </c>
      <c r="AK77" s="1814">
        <v>19</v>
      </c>
      <c r="AL77" s="1820">
        <f t="shared" si="21"/>
        <v>16</v>
      </c>
      <c r="AM77" s="1821">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Vent. de base</v>
      </c>
      <c r="Q78" s="45" t="str">
        <f>IF(Zonen&gt;1,IF(AND(MUKEN=FALSE,_neu2),"",O45),"")</f>
        <v/>
      </c>
      <c r="R78" s="45" t="str">
        <f>IF(Zonen&gt;2,IF(AND(MUKEN=FALSE,_neu3),"",O45),"")</f>
        <v/>
      </c>
      <c r="S78" s="45" t="str">
        <f>IF(Zonen&gt;3,IF(AND(MUKEN=FALSE,_neu4),"",O45),"")</f>
        <v/>
      </c>
      <c r="T78" s="565">
        <v>11</v>
      </c>
      <c r="W78" s="1110" t="s">
        <v>1796</v>
      </c>
      <c r="X78" s="1692">
        <v>60</v>
      </c>
      <c r="Y78" s="1692">
        <v>95</v>
      </c>
      <c r="Z78" s="1693">
        <v>50</v>
      </c>
      <c r="AA78" s="1694">
        <v>85</v>
      </c>
      <c r="AB78" s="93" t="s">
        <v>227</v>
      </c>
      <c r="AC78" s="227">
        <v>250</v>
      </c>
      <c r="AD78" s="1692">
        <v>33</v>
      </c>
      <c r="AE78" s="1695">
        <v>8</v>
      </c>
      <c r="AF78" s="1693">
        <v>8</v>
      </c>
      <c r="AG78" s="1693">
        <v>18</v>
      </c>
      <c r="AH78" s="1694">
        <v>15</v>
      </c>
      <c r="AI78" s="45">
        <f>25</f>
        <v>25</v>
      </c>
      <c r="AJ78" s="1813">
        <v>24</v>
      </c>
      <c r="AK78" s="1814">
        <v>19</v>
      </c>
      <c r="AL78" s="1820">
        <f t="shared" si="21"/>
        <v>18</v>
      </c>
      <c r="AM78" s="1821">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1797</v>
      </c>
      <c r="X79" s="1692">
        <v>100</v>
      </c>
      <c r="Y79" s="1692">
        <v>125</v>
      </c>
      <c r="Z79" s="1693">
        <v>90</v>
      </c>
      <c r="AA79" s="1694">
        <v>120</v>
      </c>
      <c r="AB79" s="93" t="s">
        <v>228</v>
      </c>
      <c r="AC79" s="227">
        <v>250</v>
      </c>
      <c r="AD79" s="1692">
        <v>27</v>
      </c>
      <c r="AE79" s="1695">
        <v>17</v>
      </c>
      <c r="AF79" s="1693">
        <v>16</v>
      </c>
      <c r="AG79" s="1693">
        <v>18</v>
      </c>
      <c r="AH79" s="1694">
        <v>17</v>
      </c>
      <c r="AI79" s="45">
        <f>50</f>
        <v>50</v>
      </c>
      <c r="AJ79" s="1813">
        <v>20</v>
      </c>
      <c r="AK79" s="1814">
        <v>20</v>
      </c>
      <c r="AL79" s="1820">
        <f t="shared" si="21"/>
        <v>18</v>
      </c>
      <c r="AM79" s="1821">
        <f t="shared" si="22"/>
        <v>17</v>
      </c>
      <c r="AN79" s="227">
        <v>0</v>
      </c>
    </row>
    <row r="80" spans="1:71">
      <c r="A80" s="90" t="s">
        <v>602</v>
      </c>
      <c r="B80" s="91" t="s">
        <v>286</v>
      </c>
      <c r="C80" s="91">
        <v>5</v>
      </c>
      <c r="D80" s="91">
        <v>0</v>
      </c>
      <c r="E80" s="91">
        <v>461</v>
      </c>
      <c r="F80" s="92">
        <v>10.9</v>
      </c>
      <c r="G80" s="565">
        <v>27</v>
      </c>
      <c r="T80" s="93"/>
      <c r="W80" s="1110" t="s">
        <v>1798</v>
      </c>
      <c r="X80" s="1692">
        <v>55</v>
      </c>
      <c r="Y80" s="1692">
        <v>105</v>
      </c>
      <c r="Z80" s="1693">
        <v>45</v>
      </c>
      <c r="AA80" s="1694">
        <v>95</v>
      </c>
      <c r="AB80" s="93" t="s">
        <v>229</v>
      </c>
      <c r="AC80" s="227">
        <v>250</v>
      </c>
      <c r="AD80" s="1692">
        <v>27</v>
      </c>
      <c r="AE80" s="1695">
        <v>14</v>
      </c>
      <c r="AF80" s="1693">
        <v>13</v>
      </c>
      <c r="AG80" s="1693">
        <v>10</v>
      </c>
      <c r="AH80" s="1694">
        <v>14</v>
      </c>
      <c r="AI80" s="45">
        <f>30</f>
        <v>30</v>
      </c>
      <c r="AJ80" s="1813">
        <v>15</v>
      </c>
      <c r="AK80" s="1814">
        <v>18</v>
      </c>
      <c r="AL80" s="1820">
        <f t="shared" si="21"/>
        <v>10</v>
      </c>
      <c r="AM80" s="1821">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1799</v>
      </c>
      <c r="X81" s="1692">
        <v>45</v>
      </c>
      <c r="Y81" s="1692">
        <v>65</v>
      </c>
      <c r="Z81" s="1693">
        <v>35</v>
      </c>
      <c r="AA81" s="1694">
        <v>55</v>
      </c>
      <c r="AB81" s="84" t="s">
        <v>230</v>
      </c>
      <c r="AC81" s="45">
        <v>250</v>
      </c>
      <c r="AD81" s="1692">
        <v>37</v>
      </c>
      <c r="AE81" s="1695">
        <v>8</v>
      </c>
      <c r="AF81" s="1693">
        <v>3</v>
      </c>
      <c r="AG81" s="1693">
        <v>14</v>
      </c>
      <c r="AH81" s="1694">
        <v>14</v>
      </c>
      <c r="AI81" s="45">
        <f>25</f>
        <v>25</v>
      </c>
      <c r="AJ81" s="1813">
        <v>15</v>
      </c>
      <c r="AK81" s="1814">
        <v>18</v>
      </c>
      <c r="AL81" s="1820">
        <f t="shared" si="21"/>
        <v>14</v>
      </c>
      <c r="AM81" s="1821">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1800</v>
      </c>
      <c r="X82" s="1692">
        <v>45</v>
      </c>
      <c r="Y82" s="1692">
        <v>65</v>
      </c>
      <c r="Z82" s="1693">
        <v>40</v>
      </c>
      <c r="AA82" s="1694">
        <v>55</v>
      </c>
      <c r="AB82" s="84" t="s">
        <v>231</v>
      </c>
      <c r="AC82" s="45">
        <v>250</v>
      </c>
      <c r="AD82" s="1692">
        <v>28</v>
      </c>
      <c r="AE82" s="1695">
        <v>4</v>
      </c>
      <c r="AF82" s="1693">
        <v>6</v>
      </c>
      <c r="AG82" s="1693">
        <v>16</v>
      </c>
      <c r="AH82" s="1694">
        <v>14</v>
      </c>
      <c r="AI82" s="753">
        <f>25</f>
        <v>25</v>
      </c>
      <c r="AJ82" s="1813">
        <v>19</v>
      </c>
      <c r="AK82" s="1814">
        <v>18</v>
      </c>
      <c r="AL82" s="1820">
        <f t="shared" si="21"/>
        <v>16</v>
      </c>
      <c r="AM82" s="1821">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60" t="s">
        <v>13</v>
      </c>
      <c r="P83" s="2361"/>
      <c r="Q83" s="310" t="s">
        <v>546</v>
      </c>
      <c r="R83" s="310" t="s">
        <v>663</v>
      </c>
      <c r="S83" s="27"/>
      <c r="T83" s="27"/>
      <c r="U83" s="27"/>
      <c r="V83" s="27"/>
      <c r="W83" s="1184" t="s">
        <v>8</v>
      </c>
      <c r="X83" s="134">
        <v>0</v>
      </c>
      <c r="Y83" s="134">
        <v>0</v>
      </c>
      <c r="Z83" s="1115">
        <v>0</v>
      </c>
      <c r="AA83" s="1116">
        <v>0</v>
      </c>
      <c r="AB83" s="1183" t="s">
        <v>720</v>
      </c>
      <c r="AC83" s="49">
        <v>99999999</v>
      </c>
      <c r="AD83" s="134">
        <v>0</v>
      </c>
      <c r="AE83" s="49">
        <v>0</v>
      </c>
      <c r="AF83" s="1233">
        <v>0</v>
      </c>
      <c r="AG83" s="1793">
        <v>15</v>
      </c>
      <c r="AH83" s="1794">
        <v>18</v>
      </c>
      <c r="AI83" s="49">
        <f>0</f>
        <v>0</v>
      </c>
      <c r="AJ83" s="1815">
        <v>18</v>
      </c>
      <c r="AK83" s="1816">
        <v>23</v>
      </c>
      <c r="AL83" s="1824">
        <f t="shared" si="21"/>
        <v>15</v>
      </c>
      <c r="AM83" s="1825">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Habitat collectif</v>
      </c>
      <c r="J85" s="353" t="str">
        <f>AA48</f>
        <v>oui</v>
      </c>
      <c r="K85" s="354" t="str">
        <f>AA48</f>
        <v>oui</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Habitat individuel</v>
      </c>
      <c r="J86" s="355" t="str">
        <f>AA48</f>
        <v>oui</v>
      </c>
      <c r="K86" s="356" t="str">
        <f>AA48</f>
        <v>oui</v>
      </c>
      <c r="L86" s="42" t="b">
        <v>1</v>
      </c>
      <c r="M86" s="53" t="b">
        <v>1</v>
      </c>
      <c r="N86" s="433">
        <v>0.9</v>
      </c>
      <c r="O86" s="445">
        <v>0.6</v>
      </c>
      <c r="P86" s="434">
        <v>15</v>
      </c>
      <c r="Q86" s="442">
        <v>0</v>
      </c>
      <c r="R86" s="442">
        <f t="shared" ref="R86:R95" si="27">0.8</f>
        <v>0.8</v>
      </c>
      <c r="S86" s="27"/>
      <c r="T86" s="27"/>
      <c r="U86" s="27"/>
      <c r="V86" s="27"/>
      <c r="W86" s="27" t="str">
        <f>MINERGIE!B33</f>
        <v>Ascenseur / élévateur disponible sur place?</v>
      </c>
      <c r="X86" s="746" t="s">
        <v>650</v>
      </c>
      <c r="Y86" s="746" t="s">
        <v>3361</v>
      </c>
    </row>
    <row r="87" spans="1:40">
      <c r="A87" s="90" t="s">
        <v>304</v>
      </c>
      <c r="B87" s="91" t="s">
        <v>295</v>
      </c>
      <c r="C87" s="91">
        <v>11</v>
      </c>
      <c r="D87" s="91">
        <v>2</v>
      </c>
      <c r="E87" s="91">
        <v>1298</v>
      </c>
      <c r="F87" s="92">
        <v>5.5</v>
      </c>
      <c r="G87" s="565">
        <v>34</v>
      </c>
      <c r="H87" s="46">
        <v>4</v>
      </c>
      <c r="I87" s="37" t="str">
        <f t="shared" si="26"/>
        <v>Administration</v>
      </c>
      <c r="J87" s="355" t="str">
        <f>AA48</f>
        <v>oui</v>
      </c>
      <c r="K87" s="356" t="str">
        <f>AA49</f>
        <v>non</v>
      </c>
      <c r="L87" s="42" t="b">
        <v>1</v>
      </c>
      <c r="M87" s="53" t="b">
        <v>0</v>
      </c>
      <c r="N87" s="433">
        <v>0.9</v>
      </c>
      <c r="O87" s="445">
        <v>0.6</v>
      </c>
      <c r="P87" s="434">
        <v>15</v>
      </c>
      <c r="Q87" s="442">
        <v>0</v>
      </c>
      <c r="R87" s="442">
        <f t="shared" si="27"/>
        <v>0.8</v>
      </c>
      <c r="S87" s="27"/>
      <c r="T87" s="27"/>
      <c r="U87" s="27"/>
      <c r="V87" s="107">
        <v>1</v>
      </c>
      <c r="W87" s="88" t="str">
        <f>MINERGIE!B34</f>
        <v>Tous les lave-vaisselle sont de classe A+++</v>
      </c>
      <c r="X87" s="1415">
        <v>0.01</v>
      </c>
      <c r="Y87" s="1149">
        <v>0.04</v>
      </c>
      <c r="AA87" s="1274" t="s">
        <v>3597</v>
      </c>
      <c r="AB87" s="1275"/>
      <c r="AC87" s="1276"/>
      <c r="AF87" s="1274" t="s">
        <v>3081</v>
      </c>
      <c r="AG87" s="1274" t="s">
        <v>3092</v>
      </c>
      <c r="AH87" s="1648">
        <f>Anteil_WP</f>
        <v>0</v>
      </c>
      <c r="AI87" s="1276"/>
    </row>
    <row r="88" spans="1:40">
      <c r="A88" s="90" t="s">
        <v>302</v>
      </c>
      <c r="B88" s="91" t="s">
        <v>299</v>
      </c>
      <c r="C88" s="91">
        <v>10</v>
      </c>
      <c r="D88" s="91">
        <v>0</v>
      </c>
      <c r="E88" s="91">
        <v>482</v>
      </c>
      <c r="F88" s="92">
        <v>10.1</v>
      </c>
      <c r="G88" s="565">
        <v>35</v>
      </c>
      <c r="H88" s="46">
        <v>5</v>
      </c>
      <c r="I88" s="37" t="str">
        <f t="shared" si="26"/>
        <v>Ecole</v>
      </c>
      <c r="J88" s="355" t="str">
        <f>AA48</f>
        <v>oui</v>
      </c>
      <c r="K88" s="356" t="str">
        <f>AA49</f>
        <v>non</v>
      </c>
      <c r="L88" s="42" t="b">
        <v>1</v>
      </c>
      <c r="M88" s="53" t="b">
        <v>0</v>
      </c>
      <c r="N88" s="433">
        <v>0.9</v>
      </c>
      <c r="O88" s="445">
        <v>0.6</v>
      </c>
      <c r="P88" s="434">
        <v>15</v>
      </c>
      <c r="Q88" s="442">
        <v>0</v>
      </c>
      <c r="R88" s="442">
        <f t="shared" si="27"/>
        <v>0.8</v>
      </c>
      <c r="S88" s="27"/>
      <c r="T88" s="27"/>
      <c r="U88" s="27"/>
      <c r="V88" s="107">
        <v>2</v>
      </c>
      <c r="W88" s="120" t="str">
        <f>MINERGIE!B35</f>
        <v>Tous les réfrigérateurs et congélateurs sont de classe A+++</v>
      </c>
      <c r="X88" s="1414">
        <v>0.03</v>
      </c>
      <c r="Y88" s="1150">
        <v>0.05</v>
      </c>
      <c r="AA88" s="88"/>
      <c r="AB88" s="88"/>
      <c r="AC88" s="115"/>
      <c r="AF88" s="1639" t="s">
        <v>3093</v>
      </c>
      <c r="AG88" s="1641" t="s">
        <v>3084</v>
      </c>
      <c r="AH88" s="1641" t="s">
        <v>3085</v>
      </c>
      <c r="AI88" s="1640" t="s">
        <v>3086</v>
      </c>
    </row>
    <row r="89" spans="1:40">
      <c r="A89" s="90" t="s">
        <v>606</v>
      </c>
      <c r="B89" s="91" t="s">
        <v>618</v>
      </c>
      <c r="C89" s="91">
        <v>10</v>
      </c>
      <c r="D89" s="91">
        <v>0</v>
      </c>
      <c r="E89" s="91">
        <v>1345</v>
      </c>
      <c r="F89" s="92">
        <v>3.7</v>
      </c>
      <c r="G89" s="565">
        <v>36</v>
      </c>
      <c r="H89" s="46">
        <v>6</v>
      </c>
      <c r="I89" s="37" t="str">
        <f t="shared" si="26"/>
        <v>Commerce</v>
      </c>
      <c r="J89" s="355" t="str">
        <f>AA48</f>
        <v>oui</v>
      </c>
      <c r="K89" s="356" t="str">
        <f>AA49</f>
        <v>non</v>
      </c>
      <c r="L89" s="42" t="b">
        <v>1</v>
      </c>
      <c r="M89" s="53" t="b">
        <v>0</v>
      </c>
      <c r="N89" s="433">
        <v>0.9</v>
      </c>
      <c r="O89" s="445">
        <v>0.6</v>
      </c>
      <c r="P89" s="434">
        <v>15</v>
      </c>
      <c r="Q89" s="442">
        <v>0</v>
      </c>
      <c r="R89" s="442">
        <f t="shared" si="27"/>
        <v>0.8</v>
      </c>
      <c r="S89" s="27"/>
      <c r="T89" s="27"/>
      <c r="U89" s="27"/>
      <c r="V89" s="107">
        <v>3</v>
      </c>
      <c r="W89" s="120" t="str">
        <f>MINERGIE!B36</f>
        <v>Tous les lave-linge sont de classe A+++</v>
      </c>
      <c r="X89" s="1414">
        <v>0.01</v>
      </c>
      <c r="Y89" s="1150">
        <v>0.03</v>
      </c>
      <c r="AA89" s="142"/>
      <c r="AB89" s="818" t="s">
        <v>650</v>
      </c>
      <c r="AC89" s="1278" t="s">
        <v>1699</v>
      </c>
      <c r="AF89" s="1637" t="s">
        <v>3082</v>
      </c>
      <c r="AG89" s="1642"/>
      <c r="AH89" s="1642"/>
      <c r="AI89" s="1385"/>
    </row>
    <row r="90" spans="1:40">
      <c r="A90" s="90" t="s">
        <v>607</v>
      </c>
      <c r="B90" s="91" t="s">
        <v>619</v>
      </c>
      <c r="C90" s="91">
        <v>6</v>
      </c>
      <c r="D90" s="91">
        <v>0</v>
      </c>
      <c r="E90" s="91">
        <v>460</v>
      </c>
      <c r="F90" s="92">
        <v>10</v>
      </c>
      <c r="G90" s="565">
        <v>37</v>
      </c>
      <c r="H90" s="46">
        <v>7</v>
      </c>
      <c r="I90" s="37" t="str">
        <f t="shared" si="26"/>
        <v>Restaurant</v>
      </c>
      <c r="J90" s="355" t="str">
        <f>AA49</f>
        <v>non</v>
      </c>
      <c r="K90" s="356" t="str">
        <f>AA49</f>
        <v>non</v>
      </c>
      <c r="L90" s="42" t="b">
        <v>0</v>
      </c>
      <c r="M90" s="53" t="b">
        <v>0</v>
      </c>
      <c r="N90" s="433">
        <v>0.9</v>
      </c>
      <c r="O90" s="445">
        <v>0.6</v>
      </c>
      <c r="P90" s="434">
        <v>15</v>
      </c>
      <c r="Q90" s="442">
        <v>0</v>
      </c>
      <c r="R90" s="442">
        <f t="shared" si="27"/>
        <v>0.8</v>
      </c>
      <c r="S90" s="27"/>
      <c r="T90" s="27"/>
      <c r="U90" s="27"/>
      <c r="V90" s="107">
        <v>4</v>
      </c>
      <c r="W90" s="120" t="str">
        <f>MINERGIE!B37</f>
        <v>Tous les sèche-linge sont de classe A+++</v>
      </c>
      <c r="X90" s="1414">
        <v>0.03</v>
      </c>
      <c r="Y90" s="1150">
        <v>7.0000000000000007E-2</v>
      </c>
      <c r="AA90" s="557" t="s">
        <v>313</v>
      </c>
      <c r="AB90" s="1279">
        <v>1</v>
      </c>
      <c r="AC90" s="1277"/>
      <c r="AF90" s="108">
        <v>0</v>
      </c>
      <c r="AG90" s="45">
        <v>-0.5</v>
      </c>
      <c r="AH90" s="45">
        <v>30</v>
      </c>
      <c r="AI90" s="1632">
        <v>-12</v>
      </c>
    </row>
    <row r="91" spans="1:40">
      <c r="A91" s="90" t="s">
        <v>608</v>
      </c>
      <c r="B91" s="91" t="s">
        <v>271</v>
      </c>
      <c r="C91" s="91">
        <v>4</v>
      </c>
      <c r="D91" s="91">
        <v>0</v>
      </c>
      <c r="E91" s="91">
        <v>422</v>
      </c>
      <c r="F91" s="92">
        <v>9</v>
      </c>
      <c r="G91" s="565">
        <v>38</v>
      </c>
      <c r="H91" s="46">
        <v>8</v>
      </c>
      <c r="I91" s="37" t="str">
        <f t="shared" si="26"/>
        <v>Lieu de rassemblement</v>
      </c>
      <c r="J91" s="355" t="str">
        <f>AA48</f>
        <v>oui</v>
      </c>
      <c r="K91" s="356" t="str">
        <f>AA49</f>
        <v>non</v>
      </c>
      <c r="L91" s="42" t="b">
        <v>1</v>
      </c>
      <c r="M91" s="53" t="b">
        <v>0</v>
      </c>
      <c r="N91" s="433">
        <v>0.9</v>
      </c>
      <c r="O91" s="445">
        <v>0.6</v>
      </c>
      <c r="P91" s="434">
        <v>15</v>
      </c>
      <c r="Q91" s="442">
        <v>0</v>
      </c>
      <c r="R91" s="442">
        <f t="shared" si="27"/>
        <v>0.8</v>
      </c>
      <c r="S91" s="477" t="s">
        <v>698</v>
      </c>
      <c r="T91" s="428"/>
      <c r="U91" s="93"/>
      <c r="V91" s="1413">
        <v>5</v>
      </c>
      <c r="W91" s="120" t="str">
        <f>MINERGIE!B38</f>
        <v>Toutes les cuisinières sont à induction</v>
      </c>
      <c r="X91" s="1414">
        <v>0.01</v>
      </c>
      <c r="Y91" s="1150">
        <v>0.02</v>
      </c>
      <c r="AA91" s="557" t="s">
        <v>652</v>
      </c>
      <c r="AB91" s="1279">
        <v>0.7</v>
      </c>
      <c r="AC91" s="1277">
        <v>0.9</v>
      </c>
      <c r="AF91" s="108">
        <v>5</v>
      </c>
      <c r="AG91" s="45">
        <v>-0.6</v>
      </c>
      <c r="AH91" s="45">
        <v>40</v>
      </c>
      <c r="AI91" s="1632">
        <v>-8</v>
      </c>
    </row>
    <row r="92" spans="1:40">
      <c r="A92" s="90" t="s">
        <v>303</v>
      </c>
      <c r="B92" s="91" t="s">
        <v>299</v>
      </c>
      <c r="C92" s="91">
        <v>10</v>
      </c>
      <c r="D92" s="91">
        <v>2</v>
      </c>
      <c r="E92" s="91">
        <v>1638</v>
      </c>
      <c r="F92" s="92">
        <v>4.3</v>
      </c>
      <c r="G92" s="565">
        <v>39</v>
      </c>
      <c r="H92" s="46">
        <v>9</v>
      </c>
      <c r="I92" s="37" t="str">
        <f t="shared" si="26"/>
        <v>Hôpital</v>
      </c>
      <c r="J92" s="355" t="str">
        <f>AA48</f>
        <v>oui</v>
      </c>
      <c r="K92" s="356" t="str">
        <f>AA48</f>
        <v>oui</v>
      </c>
      <c r="L92" s="42" t="b">
        <v>1</v>
      </c>
      <c r="M92" s="53" t="b">
        <v>1</v>
      </c>
      <c r="N92" s="433">
        <v>0.9</v>
      </c>
      <c r="O92" s="445">
        <v>0.6</v>
      </c>
      <c r="P92" s="434">
        <v>15</v>
      </c>
      <c r="Q92" s="442">
        <v>0</v>
      </c>
      <c r="R92" s="442">
        <f t="shared" si="27"/>
        <v>0.8</v>
      </c>
      <c r="S92" s="478" t="s">
        <v>555</v>
      </c>
      <c r="T92" s="426">
        <v>1</v>
      </c>
      <c r="U92" s="93"/>
      <c r="V92" s="1413">
        <v>6</v>
      </c>
      <c r="W92" s="120" t="str">
        <f>MINERGIE!B39</f>
        <v>Eclairage résidentiel fixe LED A++</v>
      </c>
      <c r="X92" s="1748">
        <v>0</v>
      </c>
      <c r="Y92" s="1749">
        <v>0</v>
      </c>
      <c r="AA92" s="558" t="s">
        <v>829</v>
      </c>
      <c r="AB92" s="1280">
        <v>1</v>
      </c>
      <c r="AC92" s="1234"/>
      <c r="AF92" s="109">
        <v>10</v>
      </c>
      <c r="AG92" s="49">
        <v>-0.7</v>
      </c>
      <c r="AH92" s="49">
        <v>45</v>
      </c>
      <c r="AI92" s="1633">
        <v>-3</v>
      </c>
    </row>
    <row r="93" spans="1:40">
      <c r="A93" s="90" t="s">
        <v>609</v>
      </c>
      <c r="B93" s="91" t="s">
        <v>279</v>
      </c>
      <c r="C93" s="91">
        <v>3</v>
      </c>
      <c r="D93" s="91">
        <v>0</v>
      </c>
      <c r="E93" s="91">
        <v>425</v>
      </c>
      <c r="F93" s="92">
        <v>9.4</v>
      </c>
      <c r="G93" s="565">
        <v>40</v>
      </c>
      <c r="H93" s="46">
        <v>10</v>
      </c>
      <c r="I93" s="37" t="str">
        <f t="shared" si="26"/>
        <v>Industrie</v>
      </c>
      <c r="J93" s="355" t="str">
        <f>AA48</f>
        <v>oui</v>
      </c>
      <c r="K93" s="356" t="str">
        <f>AA49</f>
        <v>non</v>
      </c>
      <c r="L93" s="42" t="b">
        <v>1</v>
      </c>
      <c r="M93" s="53" t="b">
        <v>0</v>
      </c>
      <c r="N93" s="433">
        <v>0.9</v>
      </c>
      <c r="O93" s="445">
        <v>0.6</v>
      </c>
      <c r="P93" s="434">
        <v>15</v>
      </c>
      <c r="Q93" s="442">
        <v>0</v>
      </c>
      <c r="R93" s="442">
        <f t="shared" si="27"/>
        <v>0.8</v>
      </c>
      <c r="S93" s="478" t="s">
        <v>556</v>
      </c>
      <c r="T93" s="427">
        <v>1</v>
      </c>
      <c r="V93" s="107">
        <v>7</v>
      </c>
      <c r="W93" s="120" t="str">
        <f>MINERGIE!B40</f>
        <v>Eclairage LED A++ &amp; régulation</v>
      </c>
      <c r="X93" s="1748">
        <v>0.03</v>
      </c>
      <c r="Y93" s="1749">
        <v>0.06</v>
      </c>
      <c r="AA93" s="1281" t="str">
        <f>IF(MUKEN,"",IF(minergiea,AA92,IF(minergiep,AA91,AA90)))</f>
        <v>MINERGIE</v>
      </c>
      <c r="AB93" s="1282">
        <f>IF(MUKEN,"",IF(minergiea,AB92,IF(minergiep,AB91,AB90)))</f>
        <v>1</v>
      </c>
      <c r="AC93" s="1282">
        <f>IF(MUKEN,"",IF(minergiea,AC92,IF(minergiep,AC91,AC90)))</f>
        <v>0</v>
      </c>
      <c r="AF93" s="1637" t="s">
        <v>3083</v>
      </c>
      <c r="AG93" s="1643"/>
      <c r="AH93" s="1643"/>
      <c r="AI93" s="1638"/>
    </row>
    <row r="94" spans="1:40">
      <c r="A94" s="519" t="s">
        <v>278</v>
      </c>
      <c r="B94" s="518" t="s">
        <v>279</v>
      </c>
      <c r="C94" s="518">
        <v>3</v>
      </c>
      <c r="D94" s="518">
        <v>0</v>
      </c>
      <c r="E94" s="518">
        <v>556</v>
      </c>
      <c r="F94" s="522">
        <v>9.4</v>
      </c>
      <c r="G94" s="565">
        <v>41</v>
      </c>
      <c r="H94" s="46">
        <v>11</v>
      </c>
      <c r="I94" s="37" t="str">
        <f t="shared" si="26"/>
        <v>Entrepôt</v>
      </c>
      <c r="J94" s="355" t="str">
        <f>AA48</f>
        <v>oui</v>
      </c>
      <c r="K94" s="356" t="str">
        <f>AA49</f>
        <v>non</v>
      </c>
      <c r="L94" s="42" t="b">
        <v>1</v>
      </c>
      <c r="M94" s="53" t="b">
        <v>0</v>
      </c>
      <c r="N94" s="433">
        <v>0.9</v>
      </c>
      <c r="O94" s="445">
        <v>0.6</v>
      </c>
      <c r="P94" s="434">
        <v>15</v>
      </c>
      <c r="Q94" s="442">
        <v>0</v>
      </c>
      <c r="R94" s="442">
        <f t="shared" si="27"/>
        <v>0.8</v>
      </c>
      <c r="S94" s="478" t="s">
        <v>234</v>
      </c>
      <c r="T94" s="427">
        <v>1</v>
      </c>
      <c r="V94" s="107">
        <v>8</v>
      </c>
      <c r="W94" s="142" t="str">
        <f>MINERGIE!B41</f>
        <v>Appareils efficaces Electricité générale</v>
      </c>
      <c r="X94" s="1416">
        <v>0.04</v>
      </c>
      <c r="Y94" s="1151">
        <v>0.08</v>
      </c>
      <c r="AA94" s="127" t="s">
        <v>3598</v>
      </c>
      <c r="AB94" s="2316">
        <v>0.9</v>
      </c>
      <c r="AC94" s="2317"/>
      <c r="AF94" s="108">
        <v>0</v>
      </c>
      <c r="AG94" s="45">
        <v>-0.5</v>
      </c>
      <c r="AH94" s="45">
        <v>30</v>
      </c>
      <c r="AI94" s="1632">
        <v>-12</v>
      </c>
    </row>
    <row r="95" spans="1:40">
      <c r="A95" s="46"/>
      <c r="B95" s="505"/>
      <c r="C95" s="506"/>
      <c r="D95" s="506"/>
      <c r="E95" s="506"/>
      <c r="F95" s="506"/>
      <c r="G95" s="507"/>
      <c r="H95" s="46">
        <v>12</v>
      </c>
      <c r="I95" s="37" t="str">
        <f t="shared" si="26"/>
        <v>Installation sportive</v>
      </c>
      <c r="J95" s="355" t="str">
        <f>AA49</f>
        <v>non</v>
      </c>
      <c r="K95" s="356" t="str">
        <f>AA49</f>
        <v>non</v>
      </c>
      <c r="L95" s="42" t="b">
        <v>0</v>
      </c>
      <c r="M95" s="53" t="b">
        <v>0</v>
      </c>
      <c r="N95" s="433">
        <v>0.9</v>
      </c>
      <c r="O95" s="445">
        <v>0.6</v>
      </c>
      <c r="P95" s="434">
        <v>15</v>
      </c>
      <c r="Q95" s="442">
        <v>0</v>
      </c>
      <c r="R95" s="442">
        <f t="shared" si="27"/>
        <v>0.8</v>
      </c>
      <c r="S95" s="478" t="s">
        <v>235</v>
      </c>
      <c r="T95" s="427">
        <v>1</v>
      </c>
      <c r="W95" s="127" t="s">
        <v>2252</v>
      </c>
      <c r="X95" s="1418">
        <v>0.15</v>
      </c>
      <c r="Y95" s="1417">
        <v>0.3</v>
      </c>
      <c r="AF95" s="108">
        <v>5</v>
      </c>
      <c r="AG95" s="45">
        <v>-0.8</v>
      </c>
      <c r="AH95" s="45">
        <v>50</v>
      </c>
      <c r="AI95" s="1632">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Piscine couverte</v>
      </c>
      <c r="J96" s="357" t="str">
        <f>AA49</f>
        <v>non</v>
      </c>
      <c r="K96" s="358" t="str">
        <f>AA49</f>
        <v>non</v>
      </c>
      <c r="L96" s="60" t="b">
        <v>0</v>
      </c>
      <c r="M96" s="116" t="b">
        <v>0</v>
      </c>
      <c r="N96" s="433">
        <v>0.9</v>
      </c>
      <c r="O96" s="446">
        <v>0</v>
      </c>
      <c r="P96" s="435">
        <v>0</v>
      </c>
      <c r="Q96" s="443">
        <v>1</v>
      </c>
      <c r="R96" s="443">
        <v>1</v>
      </c>
      <c r="AF96" s="109">
        <v>10</v>
      </c>
      <c r="AG96" s="49">
        <v>-0.8</v>
      </c>
      <c r="AH96" s="49">
        <v>60</v>
      </c>
      <c r="AI96" s="1633">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Argovie</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 Rhodes-Intérieures</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 Rhodes-Extérieures</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Berne</v>
      </c>
      <c r="B101" s="91">
        <v>6</v>
      </c>
      <c r="C101" s="91">
        <v>2</v>
      </c>
      <c r="D101" s="91"/>
      <c r="E101" s="91"/>
      <c r="F101" s="45"/>
      <c r="G101" s="45"/>
      <c r="I101" s="43" t="s">
        <v>177</v>
      </c>
      <c r="J101" s="750">
        <f>IF(Entrées!$F$17="",1,VLOOKUP(Entrées!$F$17,J99:N100,5,FALSE))</f>
        <v>1</v>
      </c>
      <c r="K101" s="750">
        <f>IF(Entrées!$G$17="",1,VLOOKUP(Entrées!$G$17,K99:N100,4,FALSE))</f>
        <v>1</v>
      </c>
      <c r="L101" s="750">
        <f>IF(Entrées!$H$17="",1,VLOOKUP(Entrées!$H$17,L99:N100,3,FALSE))</f>
        <v>1</v>
      </c>
      <c r="M101" s="640">
        <f>IF(Entrées!$I$17="",1,VLOOKUP(Entrées!$I$17,M99:N100,2,FALSE))</f>
        <v>1</v>
      </c>
      <c r="N101" s="384" t="s">
        <v>11</v>
      </c>
      <c r="O101" s="314" t="b">
        <f>IF(SUM(O97:O100)&gt;0,TRUE,FALSE)</f>
        <v>0</v>
      </c>
    </row>
    <row r="102" spans="1:47">
      <c r="A102" s="508" t="str">
        <f>Uebersetzung!D122</f>
        <v>Bâle-Campagne</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Bâle-Ville</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Fribourg</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2225</v>
      </c>
      <c r="AP104" s="1393">
        <f>AP120</f>
        <v>0.13900000000000001</v>
      </c>
    </row>
    <row r="105" spans="1:47">
      <c r="A105" s="508" t="str">
        <f>Uebersetzung!D125</f>
        <v>Genève</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396">
        <f>AP112</f>
        <v>0.249</v>
      </c>
    </row>
    <row r="106" spans="1:47">
      <c r="A106" s="508" t="str">
        <f>Uebersetzung!D126</f>
        <v>Glaris</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80"/>
      <c r="U106" s="1683"/>
      <c r="V106" s="1681" t="s">
        <v>317</v>
      </c>
      <c r="W106" s="462"/>
      <c r="X106" s="600" t="s">
        <v>316</v>
      </c>
      <c r="Y106" s="600"/>
      <c r="Z106" s="463" t="s">
        <v>236</v>
      </c>
      <c r="AA106" s="464" t="s">
        <v>527</v>
      </c>
      <c r="AB106" s="1683"/>
      <c r="AC106" s="1843" t="s">
        <v>365</v>
      </c>
      <c r="AD106" s="598"/>
      <c r="AE106" s="598"/>
      <c r="AF106" s="464" t="s">
        <v>728</v>
      </c>
      <c r="AG106" s="464" t="s">
        <v>99</v>
      </c>
      <c r="AH106" s="464" t="s">
        <v>499</v>
      </c>
      <c r="AI106" s="464" t="s">
        <v>499</v>
      </c>
      <c r="AJ106" s="464" t="s">
        <v>499</v>
      </c>
      <c r="AK106" s="464"/>
      <c r="AL106" s="598" t="s">
        <v>1232</v>
      </c>
      <c r="AM106" s="1381"/>
      <c r="AN106" s="1386" t="s">
        <v>2123</v>
      </c>
      <c r="AO106" s="1388"/>
      <c r="AP106" s="1386" t="s">
        <v>2222</v>
      </c>
      <c r="AQ106" s="1382"/>
      <c r="AR106" s="1388"/>
      <c r="AS106" s="1386" t="s">
        <v>2540</v>
      </c>
      <c r="AT106" s="1382"/>
      <c r="AU106" s="464" t="s">
        <v>3158</v>
      </c>
    </row>
    <row r="107" spans="1:47">
      <c r="A107" s="508" t="str">
        <f>Uebersetzung!D127</f>
        <v>Grisons</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3648</v>
      </c>
      <c r="U107" s="468" t="s">
        <v>754</v>
      </c>
      <c r="V107" s="1679" t="s">
        <v>721</v>
      </c>
      <c r="W107" s="466" t="s">
        <v>201</v>
      </c>
      <c r="X107" s="467" t="s">
        <v>242</v>
      </c>
      <c r="Y107" s="468" t="s">
        <v>747</v>
      </c>
      <c r="Z107" s="468" t="s">
        <v>202</v>
      </c>
      <c r="AA107" s="468" t="s">
        <v>525</v>
      </c>
      <c r="AB107" s="468" t="s">
        <v>526</v>
      </c>
      <c r="AC107" s="1844" t="s">
        <v>366</v>
      </c>
      <c r="AD107" s="599" t="s">
        <v>748</v>
      </c>
      <c r="AE107" s="599" t="s">
        <v>749</v>
      </c>
      <c r="AF107" s="468" t="s">
        <v>733</v>
      </c>
      <c r="AG107" s="468" t="s">
        <v>733</v>
      </c>
      <c r="AH107" s="468" t="s">
        <v>500</v>
      </c>
      <c r="AI107" s="468" t="s">
        <v>501</v>
      </c>
      <c r="AJ107" s="468" t="s">
        <v>99</v>
      </c>
      <c r="AK107" s="468" t="s">
        <v>1233</v>
      </c>
      <c r="AL107" s="990" t="s">
        <v>1234</v>
      </c>
      <c r="AM107" s="1380"/>
      <c r="AN107" s="1387" t="s">
        <v>1233</v>
      </c>
      <c r="AO107" s="1389"/>
      <c r="AP107" s="1387" t="s">
        <v>2223</v>
      </c>
      <c r="AQ107" s="1383"/>
      <c r="AR107" s="1389"/>
      <c r="AS107" s="1387" t="s">
        <v>2541</v>
      </c>
      <c r="AT107" s="1383"/>
      <c r="AU107" s="468" t="s">
        <v>3072</v>
      </c>
    </row>
    <row r="108" spans="1:47">
      <c r="A108" s="508" t="str">
        <f>Uebersetzung!D128</f>
        <v>Jura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3">
        <v>0</v>
      </c>
      <c r="AO108" s="36"/>
      <c r="AP108" s="829"/>
      <c r="AQ108" s="1385"/>
      <c r="AR108" s="36"/>
      <c r="AS108" s="828"/>
      <c r="AT108" s="1385"/>
      <c r="AU108" s="88"/>
    </row>
    <row r="109" spans="1:47">
      <c r="A109" s="508" t="str">
        <f>Uebersetzung!D129</f>
        <v>Lucerne</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Pompe à chaleur géothermique, que chauffage</v>
      </c>
      <c r="U109" s="45">
        <v>2</v>
      </c>
      <c r="V109" s="53" t="str">
        <f>Uebersetzung!D202</f>
        <v>Chaudière à mazout</v>
      </c>
      <c r="W109" s="120" t="str">
        <f>Uebersetzung!D157</f>
        <v>Chaudière à mazout</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3">
        <v>1</v>
      </c>
      <c r="AO109" s="43"/>
      <c r="AP109" s="1390">
        <v>0.31900000000000001</v>
      </c>
      <c r="AQ109" s="53"/>
      <c r="AR109" s="43"/>
      <c r="AS109" s="333">
        <v>0</v>
      </c>
      <c r="AT109" s="53"/>
      <c r="AU109" s="120" t="b">
        <v>0</v>
      </c>
    </row>
    <row r="110" spans="1:47">
      <c r="A110" s="508" t="str">
        <f>Uebersetzung!D130</f>
        <v>Neuchâtel</v>
      </c>
      <c r="B110" s="91">
        <v>24</v>
      </c>
      <c r="C110" s="91">
        <v>17</v>
      </c>
      <c r="D110" s="91"/>
      <c r="E110" s="91"/>
      <c r="F110" s="45"/>
      <c r="G110" s="45"/>
      <c r="I110" s="367" t="s">
        <v>4026</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4027</v>
      </c>
      <c r="T110" s="43" t="str">
        <f t="shared" si="29"/>
        <v>Pompe à chaleur géothermique, qu'eau chaude</v>
      </c>
      <c r="U110" s="45">
        <v>3</v>
      </c>
      <c r="V110" s="53" t="str">
        <f>Uebersetzung!D203</f>
        <v>Chaudière à mazout à condensation</v>
      </c>
      <c r="W110" s="120" t="str">
        <f>Uebersetzung!D158</f>
        <v>Chaudière à mazout à condensation, que chauffage</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3">
        <v>2</v>
      </c>
      <c r="AO110" s="43"/>
      <c r="AP110" s="1390">
        <v>0.31900000000000001</v>
      </c>
      <c r="AQ110" s="53"/>
      <c r="AR110" s="43"/>
      <c r="AS110" s="333">
        <v>0</v>
      </c>
      <c r="AT110" s="53"/>
      <c r="AU110" s="120" t="b">
        <v>0</v>
      </c>
    </row>
    <row r="111" spans="1:47">
      <c r="A111" s="508" t="str">
        <f>Uebersetzung!D131</f>
        <v>Nidwald</v>
      </c>
      <c r="B111" s="45">
        <v>21</v>
      </c>
      <c r="C111" s="45"/>
      <c r="D111" s="45"/>
      <c r="E111" s="227"/>
      <c r="F111" s="45"/>
      <c r="G111" s="45"/>
      <c r="T111" s="43" t="str">
        <f t="shared" si="29"/>
        <v>Pompe à chaleur air-eau, que chauffage</v>
      </c>
      <c r="U111" s="45">
        <v>4</v>
      </c>
      <c r="V111" s="53" t="str">
        <f>Uebersetzung!D204</f>
        <v xml:space="preserve">Chaudière à mazout à condensation. Eau chaude. </v>
      </c>
      <c r="W111" s="120" t="str">
        <f>Uebersetzung!D159</f>
        <v xml:space="preserve">Chaudière à mazout à condensation, qu'eau chaude </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3">
        <v>3</v>
      </c>
      <c r="AO111" s="43"/>
      <c r="AP111" s="1390">
        <v>0.31900000000000001</v>
      </c>
      <c r="AQ111" s="53"/>
      <c r="AR111" s="43"/>
      <c r="AS111" s="333">
        <v>0</v>
      </c>
      <c r="AT111" s="53"/>
      <c r="AU111" s="120" t="b">
        <v>0</v>
      </c>
    </row>
    <row r="112" spans="1:47">
      <c r="A112" s="508" t="str">
        <f>Uebersetzung!D132</f>
        <v>Obwald</v>
      </c>
      <c r="B112" s="45">
        <v>21</v>
      </c>
      <c r="C112" s="45">
        <v>11</v>
      </c>
      <c r="D112" s="45"/>
      <c r="E112" s="227"/>
      <c r="F112" s="45"/>
      <c r="G112" s="45"/>
      <c r="I112" s="384" t="s">
        <v>369</v>
      </c>
      <c r="J112" s="360" t="s">
        <v>625</v>
      </c>
      <c r="K112" s="385" t="s">
        <v>626</v>
      </c>
      <c r="L112" s="385" t="s">
        <v>627</v>
      </c>
      <c r="M112" s="250" t="s">
        <v>628</v>
      </c>
      <c r="T112" s="43" t="str">
        <f t="shared" si="29"/>
        <v>Pompe à chaleur air-eau, qu'eau chaude</v>
      </c>
      <c r="U112" s="45">
        <v>5</v>
      </c>
      <c r="V112" s="53" t="str">
        <f>Uebersetzung!D205</f>
        <v>Chaudière à gaz</v>
      </c>
      <c r="W112" s="120" t="str">
        <f>Uebersetzung!D160</f>
        <v>Chaudière à gaz</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3">
        <v>4</v>
      </c>
      <c r="AO112" s="43"/>
      <c r="AP112" s="1390">
        <v>0.249</v>
      </c>
      <c r="AQ112" s="53"/>
      <c r="AR112" s="43"/>
      <c r="AS112" s="333">
        <v>0</v>
      </c>
      <c r="AT112" s="53"/>
      <c r="AU112" s="120" t="b">
        <v>0</v>
      </c>
    </row>
    <row r="113" spans="1:47">
      <c r="A113" s="508" t="str">
        <f>Uebersetzung!D133</f>
        <v>St-Gall</v>
      </c>
      <c r="B113" s="45">
        <v>32</v>
      </c>
      <c r="C113" s="45"/>
      <c r="D113" s="45"/>
      <c r="E113" s="227"/>
      <c r="F113" s="45"/>
      <c r="G113" s="45"/>
      <c r="J113" s="88"/>
      <c r="K113" s="115"/>
      <c r="L113" s="88"/>
      <c r="M113" s="88"/>
      <c r="N113" s="565">
        <v>1</v>
      </c>
      <c r="T113" s="43" t="str">
        <f t="shared" si="29"/>
        <v>Pompe à chaleur eau-eau, que chauffage</v>
      </c>
      <c r="U113" s="45">
        <v>6</v>
      </c>
      <c r="V113" s="53" t="str">
        <f>Uebersetzung!D206</f>
        <v>Chaudière à gaz à condensation</v>
      </c>
      <c r="W113" s="120" t="str">
        <f>Uebersetzung!D161</f>
        <v>Chaudière à gaz à condensation, que chauffage</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3">
        <v>5</v>
      </c>
      <c r="AO113" s="43"/>
      <c r="AP113" s="1390">
        <v>0.249</v>
      </c>
      <c r="AQ113" s="53"/>
      <c r="AR113" s="43"/>
      <c r="AS113" s="333">
        <v>0</v>
      </c>
      <c r="AT113" s="53"/>
      <c r="AU113" s="120" t="b">
        <v>0</v>
      </c>
    </row>
    <row r="114" spans="1:47">
      <c r="A114" s="508" t="str">
        <f>Uebersetzung!D134</f>
        <v>Schaffhouse</v>
      </c>
      <c r="B114" s="45">
        <v>33</v>
      </c>
      <c r="C114" s="45"/>
      <c r="D114" s="45"/>
      <c r="E114" s="227"/>
      <c r="F114" s="45"/>
      <c r="G114" s="45"/>
      <c r="J114" s="120" t="str">
        <f>Uebersetzung!D78</f>
        <v>Refroidissement</v>
      </c>
      <c r="K114" s="53" t="str">
        <f>J114</f>
        <v>Refroidissement</v>
      </c>
      <c r="L114" s="120" t="str">
        <f>K114</f>
        <v>Refroidissement</v>
      </c>
      <c r="M114" s="120" t="str">
        <f>L114</f>
        <v>Refroidissement</v>
      </c>
      <c r="N114" s="565">
        <v>2</v>
      </c>
      <c r="T114" s="43" t="str">
        <f t="shared" si="29"/>
        <v>Pompe à chaleur eau-eau, qu'eau chaude</v>
      </c>
      <c r="U114" s="45">
        <v>7</v>
      </c>
      <c r="V114" s="53" t="str">
        <f>Uebersetzung!D207</f>
        <v>Chaudière à gaz à condensation. Eau chaude</v>
      </c>
      <c r="W114" s="120" t="str">
        <f>Uebersetzung!D162</f>
        <v>Chaudière à gaz à condensation, qu'eau chaude</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3">
        <v>6</v>
      </c>
      <c r="AO114" s="43"/>
      <c r="AP114" s="1390">
        <v>0.249</v>
      </c>
      <c r="AQ114" s="53"/>
      <c r="AR114" s="43"/>
      <c r="AS114" s="333">
        <v>0</v>
      </c>
      <c r="AT114" s="53"/>
      <c r="AU114" s="120" t="b">
        <v>0</v>
      </c>
    </row>
    <row r="115" spans="1:47">
      <c r="A115" s="508" t="str">
        <f>Uebersetzung!D135</f>
        <v>Soleure</v>
      </c>
      <c r="B115" s="45">
        <v>38</v>
      </c>
      <c r="C115" s="45"/>
      <c r="D115" s="45"/>
      <c r="E115" s="227"/>
      <c r="F115" s="45"/>
      <c r="G115" s="45"/>
      <c r="J115" s="120" t="str">
        <f>Uebersetzung!D79</f>
        <v>Humidification</v>
      </c>
      <c r="K115" s="53" t="str">
        <f t="shared" ref="K115:M117" si="31">J115</f>
        <v>Humidification</v>
      </c>
      <c r="L115" s="120" t="str">
        <f t="shared" si="31"/>
        <v>Humidification</v>
      </c>
      <c r="M115" s="120" t="str">
        <f t="shared" si="31"/>
        <v>Humidification</v>
      </c>
      <c r="N115" s="565">
        <v>3</v>
      </c>
      <c r="T115" s="43" t="str">
        <f t="shared" si="29"/>
        <v>Pompe à chaleur eau usée, que chauffage</v>
      </c>
      <c r="U115" s="45">
        <v>8</v>
      </c>
      <c r="V115" s="53" t="str">
        <f>Uebersetzung!D208</f>
        <v>Chauffe-eau à gaz</v>
      </c>
      <c r="W115" s="120" t="str">
        <f>Uebersetzung!D163</f>
        <v>Chauffe-eau à gaz</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3">
        <v>7</v>
      </c>
      <c r="AO115" s="43"/>
      <c r="AP115" s="1390">
        <v>0.249</v>
      </c>
      <c r="AQ115" s="53"/>
      <c r="AR115" s="43"/>
      <c r="AS115" s="333">
        <v>0</v>
      </c>
      <c r="AT115" s="53"/>
      <c r="AU115" s="120" t="b">
        <v>0</v>
      </c>
    </row>
    <row r="116" spans="1:47">
      <c r="A116" s="508" t="str">
        <f>Uebersetzung!D136</f>
        <v>Schwytz</v>
      </c>
      <c r="B116" s="45">
        <v>21</v>
      </c>
      <c r="C116" s="45">
        <v>41</v>
      </c>
      <c r="D116" s="45"/>
      <c r="E116" s="227"/>
      <c r="F116" s="45"/>
      <c r="G116" s="45"/>
      <c r="J116" s="120" t="str">
        <f>Uebersetzung!D80</f>
        <v>Refr. + humid.</v>
      </c>
      <c r="K116" s="53" t="str">
        <f t="shared" si="31"/>
        <v>Refr. + humid.</v>
      </c>
      <c r="L116" s="120" t="str">
        <f t="shared" si="31"/>
        <v>Refr. + humid.</v>
      </c>
      <c r="M116" s="120" t="str">
        <f t="shared" si="31"/>
        <v>Refr. + humid.</v>
      </c>
      <c r="N116" s="565">
        <v>4</v>
      </c>
      <c r="T116" s="43" t="str">
        <f t="shared" si="29"/>
        <v>Pompe à chaleur eau usée, qu'eau chaude</v>
      </c>
      <c r="U116" s="45">
        <v>9</v>
      </c>
      <c r="V116" s="53" t="str">
        <f>Uebersetzung!D209</f>
        <v>Chauffage au bois</v>
      </c>
      <c r="W116" s="120" t="str">
        <f>Uebersetzung!D164</f>
        <v>Chauffage au bois</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3">
        <v>8</v>
      </c>
      <c r="AO116" s="43"/>
      <c r="AP116" s="1390">
        <v>0.02</v>
      </c>
      <c r="AQ116" s="53"/>
      <c r="AR116" s="43"/>
      <c r="AS116" s="333">
        <v>1</v>
      </c>
      <c r="AT116" s="53"/>
      <c r="AU116" s="120" t="b">
        <v>0</v>
      </c>
    </row>
    <row r="117" spans="1:47">
      <c r="A117" s="508" t="str">
        <f>Uebersetzung!D137</f>
        <v>Thurgovie</v>
      </c>
      <c r="B117" s="45">
        <v>15</v>
      </c>
      <c r="C117" s="45"/>
      <c r="D117" s="45"/>
      <c r="E117" s="227"/>
      <c r="F117" s="45"/>
      <c r="G117" s="45"/>
      <c r="J117" s="120" t="str">
        <f>Uebersetzung!D81</f>
        <v>aucune</v>
      </c>
      <c r="K117" s="53" t="str">
        <f t="shared" si="31"/>
        <v>aucune</v>
      </c>
      <c r="L117" s="120" t="str">
        <f t="shared" si="31"/>
        <v>aucune</v>
      </c>
      <c r="M117" s="120" t="str">
        <f t="shared" si="31"/>
        <v>aucune</v>
      </c>
      <c r="N117" s="565">
        <v>5</v>
      </c>
      <c r="T117" s="43" t="str">
        <f t="shared" si="29"/>
        <v>Pompe à chaleur eau souterraine, directe, que chauffage</v>
      </c>
      <c r="U117" s="45">
        <v>10</v>
      </c>
      <c r="V117" s="53" t="str">
        <f>Uebersetzung!D210</f>
        <v>Chauffage au pellets</v>
      </c>
      <c r="W117" s="120" t="str">
        <f>Uebersetzung!D165</f>
        <v>Chauffage au pellets</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3">
        <v>9</v>
      </c>
      <c r="AO117" s="43"/>
      <c r="AP117" s="1390">
        <v>4.8000000000000001E-2</v>
      </c>
      <c r="AQ117" s="53"/>
      <c r="AR117" s="43"/>
      <c r="AS117" s="333">
        <v>1</v>
      </c>
      <c r="AT117" s="53"/>
      <c r="AU117" s="120" t="b">
        <v>0</v>
      </c>
    </row>
    <row r="118" spans="1:47">
      <c r="A118" s="508" t="str">
        <f>Uebersetzung!D138</f>
        <v>Tessin</v>
      </c>
      <c r="B118" s="45">
        <v>19</v>
      </c>
      <c r="C118" s="45">
        <v>20</v>
      </c>
      <c r="D118" s="45">
        <v>22</v>
      </c>
      <c r="E118" s="227">
        <v>28</v>
      </c>
      <c r="F118" s="45">
        <v>31</v>
      </c>
      <c r="G118" s="45"/>
      <c r="J118" s="642">
        <f>IF(Entrées!$F$39="",1,VLOOKUP(Entrées!$F$39,Standardwerte!J113:N117,5,FALSE))</f>
        <v>1</v>
      </c>
      <c r="K118" s="643">
        <f>IF(Entrées!$G$39="",1,VLOOKUP(Entrées!$G$39,Standardwerte!K113:N117,4,FALSE))</f>
        <v>1</v>
      </c>
      <c r="L118" s="643">
        <f>IF(Entrées!$H$39="",1,VLOOKUP(Entrées!$H$39,Standardwerte!L113:N117,3,FALSE))</f>
        <v>1</v>
      </c>
      <c r="M118" s="643">
        <f>IF(Entrées!$I$39="",1,VLOOKUP(Entrées!$I$39,Standardwerte!M113:N117,2,FALSE))</f>
        <v>1</v>
      </c>
      <c r="T118" s="43" t="str">
        <f t="shared" si="29"/>
        <v>Pompe à chaleur eau souterraine, directe, qu'eau chaude</v>
      </c>
      <c r="U118" s="45">
        <v>11</v>
      </c>
      <c r="V118" s="53" t="str">
        <f>Uebersetzung!D211</f>
        <v>Chaleur à distance (min. 50% énergies ren.)</v>
      </c>
      <c r="W118" s="986" t="str">
        <f>Uebersetzung!D166</f>
        <v>Chaleur à distance (min. 50% énergies ren., rejets, CCF)</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3">
        <v>10</v>
      </c>
      <c r="AO118" s="43"/>
      <c r="AP118" s="1390">
        <v>0.09</v>
      </c>
      <c r="AQ118" s="53"/>
      <c r="AR118" s="43"/>
      <c r="AS118" s="1706">
        <v>0.7</v>
      </c>
      <c r="AT118" s="53"/>
      <c r="AU118" s="120" t="b">
        <v>0</v>
      </c>
    </row>
    <row r="119" spans="1:47">
      <c r="A119" s="508" t="str">
        <f>Uebersetzung!D139</f>
        <v>Uri</v>
      </c>
      <c r="B119" s="45">
        <v>4</v>
      </c>
      <c r="C119" s="45"/>
      <c r="D119" s="45"/>
      <c r="E119" s="227"/>
      <c r="F119" s="45"/>
      <c r="G119" s="45"/>
      <c r="T119" s="43" t="str">
        <f t="shared" si="29"/>
        <v>Pompe à chaleur eau souterraine, indirecte, que chauffage</v>
      </c>
      <c r="U119" s="45">
        <v>12</v>
      </c>
      <c r="V119" s="53" t="str">
        <f>Uebersetzung!D212</f>
        <v>Chauffage central électrique</v>
      </c>
      <c r="W119" s="120" t="str">
        <f>Uebersetzung!D167</f>
        <v>Chauffage central électrique</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3">
        <v>12</v>
      </c>
      <c r="AO119" s="43"/>
      <c r="AP119" s="1390">
        <v>0.13900000000000001</v>
      </c>
      <c r="AQ119" s="53"/>
      <c r="AR119" s="43"/>
      <c r="AS119" s="333">
        <v>1</v>
      </c>
      <c r="AT119" s="53"/>
      <c r="AU119" s="120" t="b">
        <v>0</v>
      </c>
    </row>
    <row r="120" spans="1:47">
      <c r="A120" s="508" t="str">
        <f>Uebersetzung!D140</f>
        <v>Vaud</v>
      </c>
      <c r="B120" s="45">
        <v>25</v>
      </c>
      <c r="C120" s="45">
        <v>17</v>
      </c>
      <c r="D120" s="45">
        <v>27</v>
      </c>
      <c r="E120" s="227"/>
      <c r="F120" s="45"/>
      <c r="G120" s="45"/>
      <c r="S120" s="27"/>
      <c r="T120" s="43" t="str">
        <f t="shared" si="29"/>
        <v>Pompe à chaleur eau souterraine, indirecte, qu'eau chaude</v>
      </c>
      <c r="U120" s="45">
        <v>13</v>
      </c>
      <c r="V120" s="53" t="str">
        <f>Uebersetzung!D213</f>
        <v>Chauffage électrique direct</v>
      </c>
      <c r="W120" s="120" t="str">
        <f>Uebersetzung!D168</f>
        <v>Chauffage électrique direct</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3">
        <v>13</v>
      </c>
      <c r="AO120" s="43"/>
      <c r="AP120" s="1390">
        <v>0.13900000000000001</v>
      </c>
      <c r="AQ120" s="53"/>
      <c r="AR120" s="43"/>
      <c r="AS120" s="333">
        <v>1</v>
      </c>
      <c r="AT120" s="53"/>
      <c r="AU120" s="120" t="b">
        <v>0</v>
      </c>
    </row>
    <row r="121" spans="1:47">
      <c r="A121" s="508" t="str">
        <f>Uebersetzung!D141</f>
        <v>Valais</v>
      </c>
      <c r="B121" s="45">
        <v>35</v>
      </c>
      <c r="C121" s="45">
        <v>39</v>
      </c>
      <c r="D121" s="45">
        <v>23</v>
      </c>
      <c r="E121" s="227">
        <v>14</v>
      </c>
      <c r="F121" s="45"/>
      <c r="G121" s="45"/>
      <c r="S121" s="27"/>
      <c r="T121" s="43" t="str">
        <f t="shared" si="29"/>
        <v>Pompe à chaleur registre terrestre, que chauffage</v>
      </c>
      <c r="U121" s="45">
        <v>14</v>
      </c>
      <c r="V121" s="53" t="str">
        <f>Uebersetzung!D214</f>
        <v>Chauffe-eau électrique</v>
      </c>
      <c r="W121" s="120" t="str">
        <f>Uebersetzung!D169</f>
        <v>Chauffe-eau électrique</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3">
        <v>14</v>
      </c>
      <c r="AO121" s="43"/>
      <c r="AP121" s="1390">
        <v>0.13900000000000001</v>
      </c>
      <c r="AQ121" s="53"/>
      <c r="AR121" s="43"/>
      <c r="AS121" s="333">
        <v>1</v>
      </c>
      <c r="AT121" s="53"/>
      <c r="AU121" s="120" t="b">
        <v>0</v>
      </c>
    </row>
    <row r="122" spans="1:47" ht="15">
      <c r="A122" s="508" t="str">
        <f>Uebersetzung!D142</f>
        <v>Zoug</v>
      </c>
      <c r="B122" s="45">
        <v>21</v>
      </c>
      <c r="C122" s="45"/>
      <c r="D122" s="45"/>
      <c r="E122" s="227"/>
      <c r="F122" s="45"/>
      <c r="G122" s="45"/>
      <c r="I122" s="719" t="s">
        <v>783</v>
      </c>
      <c r="J122" s="715" t="s">
        <v>241</v>
      </c>
      <c r="K122" s="1014" t="s">
        <v>651</v>
      </c>
      <c r="L122" s="996" t="s">
        <v>650</v>
      </c>
      <c r="M122" s="741"/>
      <c r="N122" s="2357" t="s">
        <v>787</v>
      </c>
      <c r="O122" s="2358"/>
      <c r="P122" s="2358"/>
      <c r="Q122" s="2359"/>
      <c r="R122" s="741"/>
      <c r="S122" s="27"/>
      <c r="T122" s="43" t="str">
        <f t="shared" si="29"/>
        <v>Pompe à chaleur registre terrestre, qu'eau chaude</v>
      </c>
      <c r="U122" s="45">
        <v>15</v>
      </c>
      <c r="V122" s="53" t="str">
        <f>Uebersetzung!D215</f>
        <v>CCF (fossile) - part thermique et électrique</v>
      </c>
      <c r="W122" s="120" t="str">
        <f>Uebersetzung!D170</f>
        <v>CCF (fossile) - part thermique et électrique</v>
      </c>
      <c r="X122" s="228">
        <v>0.8</v>
      </c>
      <c r="Y122" s="228">
        <v>0.9</v>
      </c>
      <c r="Z122" s="228">
        <v>1</v>
      </c>
      <c r="AA122" s="235">
        <v>1</v>
      </c>
      <c r="AB122" s="45">
        <v>1</v>
      </c>
      <c r="AC122" s="156">
        <v>30</v>
      </c>
      <c r="AD122" s="430" t="str">
        <f>Uebersetzung!D249</f>
        <v>Rendement électrique (joindre calcul)</v>
      </c>
      <c r="AE122" s="430"/>
      <c r="AF122" s="45" t="b">
        <v>1</v>
      </c>
      <c r="AG122" s="45" t="b">
        <v>0</v>
      </c>
      <c r="AH122" s="45" t="b">
        <v>0</v>
      </c>
      <c r="AI122" s="45" t="b">
        <v>0</v>
      </c>
      <c r="AJ122" s="45" t="b">
        <v>0</v>
      </c>
      <c r="AK122" s="430">
        <f t="shared" si="30"/>
        <v>30</v>
      </c>
      <c r="AL122" s="120">
        <v>1</v>
      </c>
      <c r="AM122" s="43"/>
      <c r="AN122" s="1373">
        <v>15</v>
      </c>
      <c r="AO122" s="43"/>
      <c r="AP122" s="1390">
        <v>0.249</v>
      </c>
      <c r="AQ122" s="53"/>
      <c r="AR122" s="43"/>
      <c r="AS122" s="333">
        <v>1</v>
      </c>
      <c r="AT122" s="53"/>
      <c r="AU122" s="120" t="b">
        <v>0</v>
      </c>
    </row>
    <row r="123" spans="1:47">
      <c r="A123" s="508" t="str">
        <f>Uebersetzung!D143</f>
        <v>Zurich</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Chaleur à distance (min. 75% énergies ren., rejets, CCF)</v>
      </c>
      <c r="U123" s="45">
        <v>16</v>
      </c>
      <c r="V123" s="53" t="str">
        <f>Uebersetzung!D216</f>
        <v>CCF (bois) - part thermique et électrique</v>
      </c>
      <c r="W123" s="120" t="str">
        <f>Uebersetzung!D171</f>
        <v>CCF (bois) - part thermique et électrique</v>
      </c>
      <c r="X123" s="228">
        <v>0.7</v>
      </c>
      <c r="Y123" s="228">
        <v>0.9</v>
      </c>
      <c r="Z123" s="907">
        <v>0.5</v>
      </c>
      <c r="AA123" s="235">
        <v>1</v>
      </c>
      <c r="AB123" s="45">
        <v>1</v>
      </c>
      <c r="AC123" s="156">
        <v>46</v>
      </c>
      <c r="AD123" s="430" t="str">
        <f>AD122</f>
        <v>Rendement électrique (joindre calcul)</v>
      </c>
      <c r="AE123" s="430"/>
      <c r="AF123" s="45" t="b">
        <v>1</v>
      </c>
      <c r="AG123" s="45" t="b">
        <v>0</v>
      </c>
      <c r="AH123" s="45" t="b">
        <v>1</v>
      </c>
      <c r="AI123" s="45" t="b">
        <v>0</v>
      </c>
      <c r="AJ123" s="45" t="b">
        <v>0</v>
      </c>
      <c r="AK123" s="430">
        <f t="shared" si="30"/>
        <v>46</v>
      </c>
      <c r="AL123" s="120">
        <v>1</v>
      </c>
      <c r="AM123" s="43"/>
      <c r="AN123" s="1373">
        <v>16</v>
      </c>
      <c r="AO123" s="43"/>
      <c r="AP123" s="1390">
        <v>0.02</v>
      </c>
      <c r="AQ123" s="53"/>
      <c r="AR123" s="43"/>
      <c r="AS123" s="333">
        <v>1</v>
      </c>
      <c r="AT123" s="53"/>
      <c r="AU123" s="120" t="b">
        <v>0</v>
      </c>
    </row>
    <row r="124" spans="1:47">
      <c r="A124" s="508" t="str">
        <f>Uebersetzung!D144</f>
        <v>Principauté du Liechtenstein</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Chaleur à distance (min. 50% énergies ren., rejets, CCF)</v>
      </c>
      <c r="U124" s="45">
        <v>17</v>
      </c>
      <c r="V124" s="53" t="str">
        <f>Uebersetzung!D217</f>
        <v>Pompe à chaleur air-air, chauffage</v>
      </c>
      <c r="W124" s="120" t="str">
        <f>Uebersetzung!D172</f>
        <v>Pompe à chaleur air-eau, que chauffage</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3">
        <v>17</v>
      </c>
      <c r="AO124" s="43"/>
      <c r="AP124" s="1390">
        <v>0.13900000000000001</v>
      </c>
      <c r="AQ124" s="53"/>
      <c r="AR124" s="43"/>
      <c r="AS124" s="333">
        <v>1</v>
      </c>
      <c r="AT124" s="53"/>
      <c r="AU124" s="120" t="b">
        <v>1</v>
      </c>
    </row>
    <row r="125" spans="1:47">
      <c r="A125" s="509" t="str">
        <f>Uebersetzung!D145</f>
        <v>spécial</v>
      </c>
      <c r="B125" s="110"/>
      <c r="C125" s="110"/>
      <c r="D125" s="110"/>
      <c r="E125" s="524"/>
      <c r="F125" s="110"/>
      <c r="G125" s="49"/>
      <c r="H125" s="27">
        <v>1</v>
      </c>
      <c r="I125" s="43"/>
      <c r="J125" s="42"/>
      <c r="K125" s="120"/>
      <c r="L125" s="701"/>
      <c r="M125" s="36"/>
      <c r="N125" s="112"/>
      <c r="O125" s="40"/>
      <c r="P125" s="40"/>
      <c r="Q125" s="113"/>
      <c r="R125" s="40"/>
      <c r="S125" s="27"/>
      <c r="T125" s="43" t="str">
        <f t="shared" si="29"/>
        <v>Chaleur à distance (min. 25% énergies ren., rejets, CCF)</v>
      </c>
      <c r="U125" s="45">
        <v>18</v>
      </c>
      <c r="V125" s="53" t="str">
        <f>Uebersetzung!D218</f>
        <v>Pompe à chaleur air-air, eau chaude</v>
      </c>
      <c r="W125" s="120" t="str">
        <f>Uebersetzung!D173</f>
        <v>Pompe à chaleur air-eau, qu'eau chaude</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3">
        <v>18</v>
      </c>
      <c r="AO125" s="43"/>
      <c r="AP125" s="1390">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Chaleur à distance (max. 25% énergies ren., rejets, CCF)</v>
      </c>
      <c r="U126" s="45">
        <v>19</v>
      </c>
      <c r="V126" s="53" t="str">
        <f>Uebersetzung!D219</f>
        <v>Pompe à chaleur géothermique, chauffage</v>
      </c>
      <c r="W126" s="120" t="str">
        <f>Uebersetzung!D174</f>
        <v>Pompe à chaleur géothermique, que chauffage</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3">
        <v>19</v>
      </c>
      <c r="AO126" s="43"/>
      <c r="AP126" s="1390">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Chauffage au bois</v>
      </c>
      <c r="U127" s="45">
        <v>20</v>
      </c>
      <c r="V127" s="53" t="str">
        <f>Uebersetzung!D220</f>
        <v>Pompe à chaleur géothermique, eau chaude</v>
      </c>
      <c r="W127" s="120" t="str">
        <f>Uebersetzung!D175</f>
        <v>Pompe à chaleur géothermique, qu'eau chaude</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3">
        <v>20</v>
      </c>
      <c r="AO127" s="43"/>
      <c r="AP127" s="1390">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Chauffage au pellets</v>
      </c>
      <c r="U128" s="45">
        <v>21</v>
      </c>
      <c r="V128" s="53" t="str">
        <f>Uebersetzung!D221</f>
        <v>Pompe à chaleur eau usée (directe), chauffage</v>
      </c>
      <c r="W128" s="120" t="str">
        <f>Uebersetzung!D176</f>
        <v>Pompe à chaleur eau usée, que chauffage</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3">
        <v>21</v>
      </c>
      <c r="AO128" s="43"/>
      <c r="AP128" s="1390">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Capteurs solaires thermiques, que chauffage</v>
      </c>
      <c r="U129" s="45">
        <v>22</v>
      </c>
      <c r="V129" s="53" t="str">
        <f>Uebersetzung!D222</f>
        <v>Pompe à chaleur eau usée directe, eau chaude</v>
      </c>
      <c r="W129" s="120" t="str">
        <f>Uebersetzung!D177</f>
        <v>Pompe à chaleur eau usée, qu'eau chaude</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3">
        <v>22</v>
      </c>
      <c r="AO129" s="43"/>
      <c r="AP129" s="1390">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Capteurs solaires thermiques, qu'eau chaude</v>
      </c>
      <c r="U130" s="45">
        <v>23</v>
      </c>
      <c r="V130" s="53" t="str">
        <f>Uebersetzung!D223</f>
        <v>Pompe à chaleur eau-eau, chauffage</v>
      </c>
      <c r="W130" s="120" t="str">
        <f>Uebersetzung!D178</f>
        <v>Pompe à chaleur eau-eau, que chauffage</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3">
        <v>23</v>
      </c>
      <c r="AO130" s="43"/>
      <c r="AP130" s="1390">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9">
        <v>45</v>
      </c>
      <c r="M131" s="752">
        <f>L131+AU157</f>
        <v>45</v>
      </c>
      <c r="N131" s="752">
        <f t="shared" si="33"/>
        <v>0</v>
      </c>
      <c r="O131" s="753">
        <f t="shared" si="34"/>
        <v>0</v>
      </c>
      <c r="P131" s="753">
        <f t="shared" si="35"/>
        <v>0</v>
      </c>
      <c r="Q131" s="756">
        <f t="shared" si="36"/>
        <v>0</v>
      </c>
      <c r="R131" s="753">
        <f>AU157</f>
        <v>0</v>
      </c>
      <c r="S131" s="27"/>
      <c r="T131" s="43" t="str">
        <f t="shared" si="29"/>
        <v>Capteurs solaires thermiques, chauffage et eau chaude</v>
      </c>
      <c r="U131" s="45">
        <v>24</v>
      </c>
      <c r="V131" s="53" t="str">
        <f>Uebersetzung!D224</f>
        <v>Pompe à chaleur eau-eau, eau chaude</v>
      </c>
      <c r="W131" s="120" t="str">
        <f>Uebersetzung!D179</f>
        <v>Pompe à chaleur eau-eau, qu'eau chaude</v>
      </c>
      <c r="X131" s="597">
        <v>2.8</v>
      </c>
      <c r="Y131" s="597">
        <v>7</v>
      </c>
      <c r="Z131" s="228">
        <v>2</v>
      </c>
      <c r="AA131" s="235">
        <v>1</v>
      </c>
      <c r="AB131" s="1845"/>
      <c r="AC131" s="156">
        <v>33</v>
      </c>
      <c r="AD131" s="430"/>
      <c r="AE131" s="430"/>
      <c r="AF131" s="45" t="b">
        <v>0</v>
      </c>
      <c r="AG131" s="45" t="b">
        <v>0</v>
      </c>
      <c r="AH131" s="45" t="b">
        <v>0</v>
      </c>
      <c r="AI131" s="45" t="b">
        <v>0</v>
      </c>
      <c r="AJ131" s="45" t="b">
        <v>0</v>
      </c>
      <c r="AK131" s="430">
        <f t="shared" si="30"/>
        <v>33</v>
      </c>
      <c r="AL131" s="120">
        <v>1</v>
      </c>
      <c r="AM131" s="43"/>
      <c r="AN131" s="1373">
        <v>24</v>
      </c>
      <c r="AO131" s="43"/>
      <c r="AP131" s="1390">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Chauffage central électrique</v>
      </c>
      <c r="U132" s="45">
        <v>25</v>
      </c>
      <c r="V132" s="53" t="str">
        <f>Uebersetzung!D225</f>
        <v>Pompe à chaleur eau souterraine, directe, chauffage</v>
      </c>
      <c r="W132" s="120" t="str">
        <f>Uebersetzung!D180</f>
        <v>Pompe à chaleur eau souterraine, directe, que chauffage</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3">
        <v>25</v>
      </c>
      <c r="AO132" s="43"/>
      <c r="AP132" s="1390">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Chauffage électrique direct</v>
      </c>
      <c r="U133" s="45">
        <v>26</v>
      </c>
      <c r="V133" s="53" t="str">
        <f>Uebersetzung!D226</f>
        <v>Pompe à chaleur eau souterraine, directe, eau chaude</v>
      </c>
      <c r="W133" s="120" t="str">
        <f>Uebersetzung!D181</f>
        <v>Pompe à chaleur eau souterraine, directe, qu'eau chaude</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3">
        <v>26</v>
      </c>
      <c r="AO133" s="43"/>
      <c r="AP133" s="1390">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Chauffe-eau électrique</v>
      </c>
      <c r="U134" s="45">
        <v>27</v>
      </c>
      <c r="V134" s="53" t="str">
        <f>Uebersetzung!D227</f>
        <v>Pompe à chaleur eau souterraine, indirecte, chauffage</v>
      </c>
      <c r="W134" s="120" t="str">
        <f>Uebersetzung!D182</f>
        <v>Pompe à chaleur eau souterraine, indirecte, que chauffage</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3">
        <v>27</v>
      </c>
      <c r="AO134" s="43"/>
      <c r="AP134" s="1390">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Rubans chauffants</v>
      </c>
      <c r="U135" s="45">
        <v>28</v>
      </c>
      <c r="V135" s="53" t="str">
        <f>Uebersetzung!D228</f>
        <v>Pompe à chaleur eau souterraine, indirecte, eau chaude</v>
      </c>
      <c r="W135" s="120" t="str">
        <f>Uebersetzung!D183</f>
        <v>Pompe à chaleur eau souterraine, indirecte, qu'eau chaude</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3">
        <v>28</v>
      </c>
      <c r="AO135" s="43"/>
      <c r="AP135" s="1390">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9">
        <v>25</v>
      </c>
      <c r="M136" s="752">
        <f>L136+CI157</f>
        <v>25</v>
      </c>
      <c r="N136" s="752">
        <f t="shared" si="33"/>
        <v>0</v>
      </c>
      <c r="O136" s="753">
        <f t="shared" si="34"/>
        <v>0</v>
      </c>
      <c r="P136" s="753">
        <f t="shared" si="35"/>
        <v>0</v>
      </c>
      <c r="Q136" s="756">
        <f t="shared" si="36"/>
        <v>0</v>
      </c>
      <c r="R136" s="753">
        <f>CI157</f>
        <v>0</v>
      </c>
      <c r="S136" s="27"/>
      <c r="T136" s="43" t="str">
        <f t="shared" si="29"/>
        <v>Chaudière à mazout</v>
      </c>
      <c r="U136" s="45">
        <v>29</v>
      </c>
      <c r="V136" s="53" t="str">
        <f>Uebersetzung!D229</f>
        <v>Pompe à chaleur registre terrestre, chauffage</v>
      </c>
      <c r="W136" s="120" t="str">
        <f>Uebersetzung!D184</f>
        <v>Pompe à chaleur registre terrestre, que chauffage</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3">
        <v>29</v>
      </c>
      <c r="AO136" s="43"/>
      <c r="AP136" s="1390">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Chaudière à mazout à condensation, que chauffage</v>
      </c>
      <c r="U137" s="45">
        <v>30</v>
      </c>
      <c r="V137" s="53" t="str">
        <f>Uebersetzung!D230</f>
        <v>Pompe à chaleur registre terrestre, eau chaude</v>
      </c>
      <c r="W137" s="120" t="str">
        <f>Uebersetzung!D185</f>
        <v>Pompe à chaleur registre terrestre, qu'eau chaude</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3">
        <v>30</v>
      </c>
      <c r="AO137" s="43"/>
      <c r="AP137" s="1390">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 xml:space="preserve">Chaudière à mazout à condensation, qu'eau chaude </v>
      </c>
      <c r="U138" s="45">
        <v>31</v>
      </c>
      <c r="V138" s="53" t="str">
        <f>Uebersetzung!D231</f>
        <v>Capteurs solaires thermiques, chauffage</v>
      </c>
      <c r="W138" s="120" t="str">
        <f>Uebersetzung!D186</f>
        <v>Capteurs solaires thermiques, que chauffage</v>
      </c>
      <c r="X138" s="304">
        <v>1</v>
      </c>
      <c r="Y138" s="304">
        <v>1</v>
      </c>
      <c r="Z138" s="304">
        <v>0</v>
      </c>
      <c r="AA138" s="235"/>
      <c r="AB138" s="45">
        <v>1</v>
      </c>
      <c r="AC138" s="156">
        <v>4</v>
      </c>
      <c r="AD138" s="430" t="str">
        <f>Uebersetzung!D250</f>
        <v>Surface d'absorbeur [m2]</v>
      </c>
      <c r="AE138" s="940" t="str">
        <f>Uebersetzung!D252</f>
        <v>Apport net par m2 d'absorbeur [kWh/m2]</v>
      </c>
      <c r="AF138" s="45" t="b">
        <v>0</v>
      </c>
      <c r="AG138" s="45" t="b">
        <v>0</v>
      </c>
      <c r="AH138" s="45" t="b">
        <v>0</v>
      </c>
      <c r="AI138" s="45" t="b">
        <v>1</v>
      </c>
      <c r="AJ138" s="45" t="b">
        <v>0</v>
      </c>
      <c r="AK138" s="430">
        <f t="shared" si="30"/>
        <v>4</v>
      </c>
      <c r="AL138" s="120">
        <v>1</v>
      </c>
      <c r="AM138" s="43"/>
      <c r="AN138" s="1373">
        <v>39</v>
      </c>
      <c r="AO138" s="43"/>
      <c r="AP138" s="1390">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Chaudière à gaz</v>
      </c>
      <c r="U139" s="45">
        <v>32</v>
      </c>
      <c r="V139" s="53" t="str">
        <f>Uebersetzung!D232</f>
        <v>Capteurs solaires thermiques, eau chaude</v>
      </c>
      <c r="W139" s="120" t="str">
        <f>Uebersetzung!D187</f>
        <v>Capteurs solaires thermiques, qu'eau chaude</v>
      </c>
      <c r="X139" s="304">
        <v>1</v>
      </c>
      <c r="Y139" s="304">
        <v>1</v>
      </c>
      <c r="Z139" s="304">
        <v>0</v>
      </c>
      <c r="AA139" s="235">
        <v>1</v>
      </c>
      <c r="AB139" s="45"/>
      <c r="AC139" s="156">
        <v>5</v>
      </c>
      <c r="AD139" s="430" t="str">
        <f>AD138</f>
        <v>Surface d'absorbeur [m2]</v>
      </c>
      <c r="AE139" s="430" t="str">
        <f>AE138</f>
        <v>Apport net par m2 d'absorbeur [kWh/m2]</v>
      </c>
      <c r="AF139" s="45" t="b">
        <v>0</v>
      </c>
      <c r="AG139" s="45" t="b">
        <v>0</v>
      </c>
      <c r="AH139" s="45" t="b">
        <v>0</v>
      </c>
      <c r="AI139" s="45" t="b">
        <v>1</v>
      </c>
      <c r="AJ139" s="45" t="b">
        <v>0</v>
      </c>
      <c r="AK139" s="430">
        <f t="shared" si="30"/>
        <v>5</v>
      </c>
      <c r="AL139" s="120">
        <v>1</v>
      </c>
      <c r="AM139" s="43"/>
      <c r="AN139" s="1373">
        <v>40</v>
      </c>
      <c r="AO139" s="43"/>
      <c r="AP139" s="1390">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Chaudière à gaz à condensation, que chauffage</v>
      </c>
      <c r="U140" s="45">
        <v>33</v>
      </c>
      <c r="V140" s="53" t="str">
        <f>Uebersetzung!D233</f>
        <v>Capteurs solaires thermiques, chauffage et eau chaude</v>
      </c>
      <c r="W140" s="120" t="str">
        <f>Uebersetzung!D188</f>
        <v>Capteurs solaires thermiques, chauffage et eau chaude</v>
      </c>
      <c r="X140" s="304">
        <v>1</v>
      </c>
      <c r="Y140" s="304">
        <v>1</v>
      </c>
      <c r="Z140" s="304">
        <v>0</v>
      </c>
      <c r="AA140" s="235">
        <v>1</v>
      </c>
      <c r="AB140" s="45">
        <v>1</v>
      </c>
      <c r="AC140" s="156">
        <v>6</v>
      </c>
      <c r="AD140" s="430" t="str">
        <f>AD138</f>
        <v>Surface d'absorbeur [m2]</v>
      </c>
      <c r="AE140" s="430" t="str">
        <f>AE138</f>
        <v>Apport net par m2 d'absorbeur [kWh/m2]</v>
      </c>
      <c r="AF140" s="45" t="b">
        <v>0</v>
      </c>
      <c r="AG140" s="45" t="b">
        <v>0</v>
      </c>
      <c r="AH140" s="45" t="b">
        <v>0</v>
      </c>
      <c r="AI140" s="45" t="b">
        <v>1</v>
      </c>
      <c r="AJ140" s="45" t="b">
        <v>0</v>
      </c>
      <c r="AK140" s="430">
        <f t="shared" si="30"/>
        <v>6</v>
      </c>
      <c r="AL140" s="120">
        <v>1</v>
      </c>
      <c r="AM140" s="43"/>
      <c r="AN140" s="1373">
        <v>41</v>
      </c>
      <c r="AO140" s="43"/>
      <c r="AP140" s="1390">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Chaudière à gaz à condensation, qu'eau chaude</v>
      </c>
      <c r="U141" s="45">
        <v>34</v>
      </c>
      <c r="V141" s="53" t="str">
        <f>Uebersetzung!D466</f>
        <v>Rubans chauffants</v>
      </c>
      <c r="W141" s="120" t="str">
        <f>Uebersetzung!D466</f>
        <v>Rubans chauffants</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6">
        <v>58</v>
      </c>
      <c r="AO141" s="43"/>
      <c r="AP141" s="1390">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Chauffe-eau à gaz</v>
      </c>
      <c r="U142" s="45">
        <v>35</v>
      </c>
      <c r="V142" s="53" t="str">
        <f>Uebersetzung!D190</f>
        <v>Rejets thermiques issus de climatisation</v>
      </c>
      <c r="W142" s="53" t="str">
        <f>Uebersetzung!D190</f>
        <v>Rejets thermiques issus de climatisation</v>
      </c>
      <c r="X142" s="1849">
        <v>10</v>
      </c>
      <c r="Y142" s="1849">
        <v>10</v>
      </c>
      <c r="Z142" s="1849">
        <v>2</v>
      </c>
      <c r="AA142" s="988">
        <v>1</v>
      </c>
      <c r="AB142" s="988"/>
      <c r="AC142" s="156">
        <v>8</v>
      </c>
      <c r="AD142" s="940" t="str">
        <f>Uebersetzung!D567</f>
        <v>Rendement de climatisation  (EER)</v>
      </c>
      <c r="AE142" s="940" t="str">
        <f>Uebersetzung!D566</f>
        <v>Températures des rejets thermique [°C]</v>
      </c>
      <c r="AF142" s="45" t="b">
        <v>0</v>
      </c>
      <c r="AG142" s="45" t="b">
        <v>0</v>
      </c>
      <c r="AH142" s="45" t="b">
        <v>0</v>
      </c>
      <c r="AI142" s="45" t="b">
        <v>0</v>
      </c>
      <c r="AJ142" s="45" t="b">
        <v>0</v>
      </c>
      <c r="AK142" s="430">
        <f t="shared" si="30"/>
        <v>8</v>
      </c>
      <c r="AL142" s="986">
        <v>1</v>
      </c>
      <c r="AM142" s="43"/>
      <c r="AN142" s="1436">
        <v>61</v>
      </c>
      <c r="AO142" s="43"/>
      <c r="AP142" s="1848">
        <v>0</v>
      </c>
      <c r="AQ142" s="53"/>
      <c r="AR142" s="43"/>
      <c r="AS142" s="1706">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Pompe à chaleur à gaz, seul. chauffage</v>
      </c>
      <c r="U143" s="45">
        <v>36</v>
      </c>
      <c r="V143" s="1850" t="str">
        <f>Uebersetzung!D191</f>
        <v>Rejets thermiques issus de froid industriel</v>
      </c>
      <c r="W143" s="53" t="str">
        <f>Uebersetzung!D191</f>
        <v>Rejets thermiques issus de froid industriel</v>
      </c>
      <c r="X143" s="1849">
        <v>10</v>
      </c>
      <c r="Y143" s="1849">
        <v>10</v>
      </c>
      <c r="Z143" s="1849">
        <v>2</v>
      </c>
      <c r="AA143" s="988">
        <v>1</v>
      </c>
      <c r="AB143" s="988">
        <v>1</v>
      </c>
      <c r="AC143" s="156">
        <v>47</v>
      </c>
      <c r="AD143" s="940" t="str">
        <f>Uebersetzung!D565</f>
        <v>Rejets thermiques  [kWh]</v>
      </c>
      <c r="AE143" s="940" t="str">
        <f>Uebersetzung!D566</f>
        <v>Températures des rejets thermique [°C]</v>
      </c>
      <c r="AF143" s="45" t="b">
        <v>0</v>
      </c>
      <c r="AG143" s="45" t="b">
        <v>0</v>
      </c>
      <c r="AH143" s="45" t="b">
        <v>0</v>
      </c>
      <c r="AI143" s="45" t="b">
        <v>0</v>
      </c>
      <c r="AJ143" s="45" t="b">
        <v>0</v>
      </c>
      <c r="AK143" s="430">
        <f t="shared" si="30"/>
        <v>47</v>
      </c>
      <c r="AL143" s="986">
        <v>1</v>
      </c>
      <c r="AM143" s="43"/>
      <c r="AN143" s="1436">
        <v>62</v>
      </c>
      <c r="AO143" s="43"/>
      <c r="AP143" s="1848">
        <v>0</v>
      </c>
      <c r="AQ143" s="53"/>
      <c r="AR143" s="43"/>
      <c r="AS143" s="1706">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4"/>
      <c r="Q144" s="156"/>
      <c r="T144" s="43" t="str">
        <f t="shared" si="29"/>
        <v>Pompe à chaleur à gaz, seul. eau chaude</v>
      </c>
      <c r="U144" s="45">
        <v>37</v>
      </c>
      <c r="V144" s="53" t="str">
        <f>Uebersetzung!D237</f>
        <v>PAC air fourni/repris avec récup. de chaleur</v>
      </c>
      <c r="W144" s="120" t="str">
        <f>Uebersetzung!D192</f>
        <v>Aération avec PAC air repris/fourni et récup. de chaleur</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3">
        <v>43</v>
      </c>
      <c r="AO144" s="43"/>
      <c r="AP144" s="1390">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CCF (fossile) - part thermique et électrique</v>
      </c>
      <c r="U145" s="45">
        <v>38</v>
      </c>
      <c r="V145" s="53" t="str">
        <f>Uebersetzung!D238</f>
        <v>PAC air fourni/repris sans récup. de chaleur</v>
      </c>
      <c r="W145" s="120" t="str">
        <f>Uebersetzung!D193</f>
        <v>Aération avec PAC air repris/fourni sans récup. de chaleur</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3">
        <v>44</v>
      </c>
      <c r="AO145" s="43"/>
      <c r="AP145" s="1390">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CCF (bois) - part thermique et électrique</v>
      </c>
      <c r="U146" s="45">
        <v>39</v>
      </c>
      <c r="V146" s="53" t="str">
        <f>Uebersetzung!D239</f>
        <v>PAC air repris sans air fourni</v>
      </c>
      <c r="W146" s="120" t="str">
        <f>Uebersetzung!D194</f>
        <v>Aération air repris avec PAC (sans air fourni)</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3">
        <v>45</v>
      </c>
      <c r="AO146" s="43"/>
      <c r="AP146" s="1390">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Aération avec PAC air repris/fourni et récup. de chaleur</v>
      </c>
      <c r="U147" s="45">
        <v>40</v>
      </c>
      <c r="V147" s="53" t="str">
        <f>Uebersetzung!D240</f>
        <v>PAC compacte avec récup. de chaleur</v>
      </c>
      <c r="W147" s="120" t="str">
        <f>Uebersetzung!D195</f>
        <v>PAC compacte avec air fourni/repris avec récup. de chaleur</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3">
        <v>46</v>
      </c>
      <c r="AO147" s="43"/>
      <c r="AP147" s="1390">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Aération avec PAC air repris/fourni sans récup. de chaleur</v>
      </c>
      <c r="U148" s="45">
        <v>41</v>
      </c>
      <c r="V148" s="53" t="str">
        <f>Uebersetzung!D241</f>
        <v>PAC compacte sans récup. de chaleur, chauffage</v>
      </c>
      <c r="W148" s="120" t="str">
        <f>Uebersetzung!D196</f>
        <v>PAC compacte avec air fourni/repris sans récup. de chaleur (que chauffage)</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3">
        <v>47</v>
      </c>
      <c r="AO148" s="43"/>
      <c r="AP148" s="1390">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Aération air repris avec PAC (sans air fourni)</v>
      </c>
      <c r="U149" s="45">
        <v>42</v>
      </c>
      <c r="V149" s="53" t="str">
        <f>Uebersetzung!D242</f>
        <v>PAC compacte sans récup. de chaleur, eau chaude</v>
      </c>
      <c r="W149" s="120" t="str">
        <f>Uebersetzung!D197</f>
        <v>PAC compacte avec air fourni/repris sans récup. de chaleur (qu'eau chaude)</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3">
        <v>48</v>
      </c>
      <c r="AO149" s="43"/>
      <c r="AP149" s="1390">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PAC compacte avec air fourni/repris avec récup. de chaleur</v>
      </c>
      <c r="U150" s="45">
        <v>43</v>
      </c>
      <c r="V150" s="53" t="str">
        <f>Uebersetzung!D243</f>
        <v>Biomasse, connectée</v>
      </c>
      <c r="W150" s="120" t="str">
        <f>Uebersetzung!D198</f>
        <v>Biomasse, connectée au réseau hydraulique</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3">
        <v>53</v>
      </c>
      <c r="AO150" s="43"/>
      <c r="AP150" s="1390">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PAC compacte avec air fourni/repris sans récup. de chaleur (que chauffage)</v>
      </c>
      <c r="U151" s="45">
        <v>44</v>
      </c>
      <c r="V151" s="1682" t="str">
        <f>Uebersetzung!D244</f>
        <v>Chaleur à distance (&lt;=25% renouvelable)</v>
      </c>
      <c r="W151" s="908" t="str">
        <f>Uebersetzung!D199</f>
        <v>Chaleur à distance (max. 25% énergies ren., rejets, CCF)</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3">
        <v>55</v>
      </c>
      <c r="AO151" s="43"/>
      <c r="AP151" s="1390">
        <v>0.36</v>
      </c>
      <c r="AQ151" s="53"/>
      <c r="AR151" s="43"/>
      <c r="AS151" s="1706">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PAC compacte avec air fourni/repris sans récup. de chaleur (qu'eau chaude)</v>
      </c>
      <c r="U152" s="45">
        <v>45</v>
      </c>
      <c r="V152" s="1682" t="str">
        <f>Uebersetzung!D245</f>
        <v>Chaleur à distance (&gt;25% renouvelable)</v>
      </c>
      <c r="W152" s="908" t="str">
        <f>Uebersetzung!D200</f>
        <v>Chaleur à distance (min. 25% énergies ren., rejets, CCF)</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3">
        <v>56</v>
      </c>
      <c r="AO152" s="43"/>
      <c r="AP152" s="1390">
        <v>0.16200000000000001</v>
      </c>
      <c r="AQ152" s="53"/>
      <c r="AR152" s="43"/>
      <c r="AS152" s="1706">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Biomasse, connectée au réseau hydraulique</v>
      </c>
      <c r="U153" s="45">
        <v>46</v>
      </c>
      <c r="V153" s="908" t="str">
        <f>Uebersetzung!D246</f>
        <v>Chaleur à distance (&gt;75% renouvelable)</v>
      </c>
      <c r="W153" s="908" t="str">
        <f>Uebersetzung!D201</f>
        <v>Chaleur à distance (min. 75% énergies ren., rejets, CCF)</v>
      </c>
      <c r="X153" s="907">
        <v>1</v>
      </c>
      <c r="Y153" s="907">
        <v>1</v>
      </c>
      <c r="Z153" s="907">
        <v>0.4</v>
      </c>
      <c r="AA153" s="1436">
        <v>1</v>
      </c>
      <c r="AB153" s="988">
        <v>1</v>
      </c>
      <c r="AC153" s="156">
        <v>43</v>
      </c>
      <c r="AD153" s="987"/>
      <c r="AE153" s="987"/>
      <c r="AF153" s="988" t="b">
        <v>0</v>
      </c>
      <c r="AG153" s="988" t="b">
        <v>0</v>
      </c>
      <c r="AH153" s="988" t="b">
        <v>0</v>
      </c>
      <c r="AI153" s="988" t="b">
        <v>0</v>
      </c>
      <c r="AJ153" s="988" t="b">
        <v>0</v>
      </c>
      <c r="AK153" s="987">
        <f t="shared" si="30"/>
        <v>43</v>
      </c>
      <c r="AL153" s="986">
        <v>2</v>
      </c>
      <c r="AM153" s="43"/>
      <c r="AN153" s="1674">
        <v>57</v>
      </c>
      <c r="AO153" s="43"/>
      <c r="AP153" s="1390">
        <v>4.7E-2</v>
      </c>
      <c r="AQ153" s="53"/>
      <c r="AR153" s="43"/>
      <c r="AS153" s="1706">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Rejets thermiques issus de climatisation</v>
      </c>
      <c r="U154" s="45">
        <v>47</v>
      </c>
      <c r="V154" s="53" t="str">
        <f>Uebersetzung!D523</f>
        <v>Pompe à chaleur à gaz, chauffage</v>
      </c>
      <c r="W154" s="120" t="str">
        <f>Uebersetzung!D525</f>
        <v>Pompe à chaleur à gaz, seul. chauffage</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6">
        <v>59</v>
      </c>
      <c r="AO154" s="43"/>
      <c r="AP154" s="1390">
        <v>0.249</v>
      </c>
      <c r="AQ154" s="53"/>
      <c r="AR154" s="43"/>
      <c r="AS154" s="333">
        <v>0</v>
      </c>
      <c r="AT154" s="53"/>
      <c r="AU154" s="120" t="b">
        <v>0</v>
      </c>
    </row>
    <row r="155" spans="1:95">
      <c r="A155" s="120"/>
      <c r="B155" s="120"/>
      <c r="C155" s="120"/>
      <c r="D155" s="120"/>
      <c r="E155" s="120"/>
      <c r="F155" s="120"/>
      <c r="G155" s="120"/>
      <c r="Q155" s="156"/>
      <c r="T155" s="43" t="str">
        <f t="shared" si="29"/>
        <v>Rejets thermiques issus de froid industriel</v>
      </c>
      <c r="U155" s="49">
        <v>48</v>
      </c>
      <c r="V155" s="142" t="str">
        <f>Uebersetzung!D524</f>
        <v>Pompe à chaleur à gaz, eau chaude</v>
      </c>
      <c r="W155" s="142" t="str">
        <f>Uebersetzung!D526</f>
        <v>Pompe à chaleur à gaz, seul. eau chaude</v>
      </c>
      <c r="X155" s="229">
        <v>1.3</v>
      </c>
      <c r="Y155" s="229">
        <v>2</v>
      </c>
      <c r="Z155" s="229">
        <v>1</v>
      </c>
      <c r="AA155" s="1687">
        <v>1</v>
      </c>
      <c r="AB155" s="49"/>
      <c r="AC155" s="156">
        <v>36</v>
      </c>
      <c r="AD155" s="1688"/>
      <c r="AE155" s="1688"/>
      <c r="AF155" s="49" t="b">
        <v>0</v>
      </c>
      <c r="AG155" s="49" t="b">
        <v>0</v>
      </c>
      <c r="AH155" s="49" t="b">
        <v>0</v>
      </c>
      <c r="AI155" s="49" t="b">
        <v>0</v>
      </c>
      <c r="AJ155" s="49" t="b">
        <v>0</v>
      </c>
      <c r="AK155" s="1688">
        <f t="shared" si="30"/>
        <v>36</v>
      </c>
      <c r="AL155" s="142">
        <v>1</v>
      </c>
      <c r="AM155" s="94"/>
      <c r="AN155" s="1437">
        <v>60</v>
      </c>
      <c r="AO155" s="94"/>
      <c r="AP155" s="1391">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8"/>
      <c r="U156" s="1678"/>
      <c r="V156" s="1678"/>
      <c r="W156" s="1684"/>
      <c r="Y156" s="1685" t="s">
        <v>791</v>
      </c>
      <c r="Z156" s="1686"/>
      <c r="AA156" s="1678"/>
      <c r="AB156" s="1678"/>
      <c r="AC156" s="1678"/>
      <c r="AD156" s="1678"/>
      <c r="AE156" s="1684"/>
      <c r="AG156" s="1685" t="s">
        <v>791</v>
      </c>
      <c r="AH156" s="1686"/>
      <c r="AI156" s="1678"/>
      <c r="AJ156" s="1678"/>
      <c r="AK156" s="1678"/>
      <c r="AL156" s="1678"/>
      <c r="AM156" s="1684"/>
      <c r="AO156" s="1685" t="s">
        <v>791</v>
      </c>
      <c r="AP156" s="1686"/>
      <c r="AQ156" s="1678"/>
      <c r="AR156" s="1678"/>
      <c r="AS156" s="1678"/>
      <c r="AT156" s="1678"/>
      <c r="AU156" s="1684"/>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9" t="s">
        <v>719</v>
      </c>
      <c r="B199" s="135" t="str">
        <f>IF(OR(Entrées!I14=" ",Entrées!I14=""),"",VLOOKUP(Entrées!I14,$A$201:$B$240,2,FALSE))</f>
        <v/>
      </c>
      <c r="C199" s="135" t="s">
        <v>3882</v>
      </c>
      <c r="D199" s="135" t="s">
        <v>3877</v>
      </c>
      <c r="I199" s="1730"/>
      <c r="J199" s="829"/>
      <c r="K199" s="2348" t="s">
        <v>3325</v>
      </c>
      <c r="L199" s="2351" t="s">
        <v>3326</v>
      </c>
      <c r="M199" s="2354" t="s">
        <v>3327</v>
      </c>
      <c r="N199" s="1898" t="s">
        <v>3328</v>
      </c>
    </row>
    <row r="200" spans="1:14">
      <c r="A200" s="1730" t="str">
        <f>A54</f>
        <v xml:space="preserve"> </v>
      </c>
      <c r="B200" s="1732"/>
      <c r="C200" s="1732" t="b">
        <v>1</v>
      </c>
      <c r="D200" s="120" t="b">
        <v>0</v>
      </c>
      <c r="I200" s="43"/>
      <c r="J200" s="2355" t="s">
        <v>3329</v>
      </c>
      <c r="K200" s="2349"/>
      <c r="L200" s="2352"/>
      <c r="M200" s="2352"/>
      <c r="N200" s="1899"/>
    </row>
    <row r="201" spans="1:14">
      <c r="A201" s="43" t="str">
        <f>A55</f>
        <v>Adelboden</v>
      </c>
      <c r="B201" s="817" t="s">
        <v>3320</v>
      </c>
      <c r="C201" s="45" t="b">
        <v>1</v>
      </c>
      <c r="D201" s="120" t="b">
        <v>0</v>
      </c>
      <c r="I201" s="43"/>
      <c r="J201" s="2355"/>
      <c r="K201" s="2349"/>
      <c r="L201" s="2352"/>
      <c r="M201" s="2352"/>
      <c r="N201" s="1899"/>
    </row>
    <row r="202" spans="1:14">
      <c r="A202" s="43" t="str">
        <f t="shared" ref="A202:A239" si="157">A56</f>
        <v>Aigle</v>
      </c>
      <c r="B202" s="817" t="s">
        <v>3321</v>
      </c>
      <c r="C202" s="120" t="b">
        <v>0</v>
      </c>
      <c r="D202" s="120" t="b">
        <v>0</v>
      </c>
      <c r="I202" s="43"/>
      <c r="J202" s="2355"/>
      <c r="K202" s="2349"/>
      <c r="L202" s="2352"/>
      <c r="M202" s="2352"/>
      <c r="N202" s="1899"/>
    </row>
    <row r="203" spans="1:14">
      <c r="A203" s="43" t="str">
        <f t="shared" si="157"/>
        <v>Altdorf</v>
      </c>
      <c r="B203" s="817" t="s">
        <v>3321</v>
      </c>
      <c r="C203" s="45" t="b">
        <v>1</v>
      </c>
      <c r="D203" s="120" t="b">
        <v>0</v>
      </c>
      <c r="I203" s="94"/>
      <c r="J203" s="2356"/>
      <c r="K203" s="2350"/>
      <c r="L203" s="2353"/>
      <c r="M203" s="2353"/>
      <c r="N203" s="1900"/>
    </row>
    <row r="204" spans="1:14" ht="12.75" customHeight="1">
      <c r="A204" s="43" t="str">
        <f t="shared" si="157"/>
        <v>Basel-Binningen</v>
      </c>
      <c r="B204" s="817" t="s">
        <v>3321</v>
      </c>
      <c r="C204" s="120" t="b">
        <v>0</v>
      </c>
      <c r="D204" s="120" t="b">
        <v>0</v>
      </c>
      <c r="I204" s="2345" t="s">
        <v>3330</v>
      </c>
      <c r="J204" s="829" t="str">
        <f>""</f>
        <v/>
      </c>
      <c r="K204" s="1730" t="str">
        <f>""</f>
        <v/>
      </c>
      <c r="L204" s="829" t="str">
        <f>""</f>
        <v/>
      </c>
      <c r="M204" s="829" t="str">
        <f>""</f>
        <v/>
      </c>
      <c r="N204" s="1731" t="str">
        <f>""</f>
        <v/>
      </c>
    </row>
    <row r="205" spans="1:14">
      <c r="A205" s="43" t="str">
        <f t="shared" si="157"/>
        <v>Bern  Liebefeld</v>
      </c>
      <c r="B205" s="817" t="s">
        <v>3321</v>
      </c>
      <c r="C205" s="120" t="b">
        <v>0</v>
      </c>
      <c r="D205" s="120" t="b">
        <v>0</v>
      </c>
      <c r="I205" s="2346"/>
      <c r="J205" s="1690" t="s">
        <v>3324</v>
      </c>
      <c r="K205" s="1728">
        <v>0.17</v>
      </c>
      <c r="L205" s="84">
        <v>0.11</v>
      </c>
      <c r="M205" s="84">
        <v>0.22</v>
      </c>
      <c r="N205" s="1901">
        <v>0.13</v>
      </c>
    </row>
    <row r="206" spans="1:14">
      <c r="A206" s="43" t="str">
        <f t="shared" si="157"/>
        <v>Buchs Aarau</v>
      </c>
      <c r="B206" s="817" t="s">
        <v>3321</v>
      </c>
      <c r="C206" s="120" t="b">
        <v>0</v>
      </c>
      <c r="D206" s="120" t="b">
        <v>0</v>
      </c>
      <c r="I206" s="2346"/>
      <c r="J206" s="1690" t="s">
        <v>3323</v>
      </c>
      <c r="K206" s="1728">
        <v>0.19</v>
      </c>
      <c r="L206" s="84">
        <v>0.14000000000000001</v>
      </c>
      <c r="M206" s="84">
        <v>0.24</v>
      </c>
      <c r="N206" s="1901">
        <v>0.17</v>
      </c>
    </row>
    <row r="207" spans="1:14">
      <c r="A207" s="43" t="str">
        <f t="shared" si="157"/>
        <v>Chur</v>
      </c>
      <c r="B207" s="817" t="s">
        <v>3321</v>
      </c>
      <c r="C207" s="45" t="b">
        <v>1</v>
      </c>
      <c r="D207" s="120" t="b">
        <v>0</v>
      </c>
      <c r="I207" s="2346"/>
      <c r="J207" s="1690" t="s">
        <v>3321</v>
      </c>
      <c r="K207" s="1728">
        <v>0.24</v>
      </c>
      <c r="L207" s="84">
        <v>0.18</v>
      </c>
      <c r="M207" s="84">
        <v>0.3</v>
      </c>
      <c r="N207" s="1901">
        <v>0.23</v>
      </c>
    </row>
    <row r="208" spans="1:14">
      <c r="A208" s="43" t="str">
        <f t="shared" si="157"/>
        <v>Davos</v>
      </c>
      <c r="B208" s="817" t="s">
        <v>3322</v>
      </c>
      <c r="C208" s="45" t="b">
        <v>1</v>
      </c>
      <c r="D208" s="120" t="b">
        <v>0</v>
      </c>
      <c r="I208" s="2346"/>
      <c r="J208" s="1690" t="s">
        <v>3320</v>
      </c>
      <c r="K208" s="1728">
        <v>0.36</v>
      </c>
      <c r="L208" s="84">
        <v>0.3</v>
      </c>
      <c r="M208" s="84">
        <v>0.44</v>
      </c>
      <c r="N208" s="1901">
        <v>0.4</v>
      </c>
    </row>
    <row r="209" spans="1:14" ht="12.75" customHeight="1">
      <c r="A209" s="43" t="str">
        <f t="shared" si="157"/>
        <v>Disentis</v>
      </c>
      <c r="B209" s="817" t="s">
        <v>3320</v>
      </c>
      <c r="C209" s="45" t="b">
        <v>1</v>
      </c>
      <c r="D209" s="120" t="b">
        <v>0</v>
      </c>
      <c r="I209" s="2347"/>
      <c r="J209" s="1183" t="s">
        <v>3322</v>
      </c>
      <c r="K209" s="1728">
        <v>0.4</v>
      </c>
      <c r="L209" s="84">
        <v>0.34</v>
      </c>
      <c r="M209" s="84">
        <v>0.46</v>
      </c>
      <c r="N209" s="1901">
        <v>0.44</v>
      </c>
    </row>
    <row r="210" spans="1:14">
      <c r="A210" s="43" t="str">
        <f t="shared" si="157"/>
        <v>Engelberg</v>
      </c>
      <c r="B210" s="817" t="s">
        <v>3320</v>
      </c>
      <c r="C210" s="45" t="b">
        <v>1</v>
      </c>
      <c r="D210" s="120" t="b">
        <v>0</v>
      </c>
      <c r="I210" s="1639"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3323</v>
      </c>
      <c r="C211" s="120" t="b">
        <v>0</v>
      </c>
      <c r="D211" s="120" t="b">
        <v>0</v>
      </c>
    </row>
    <row r="212" spans="1:14">
      <c r="A212" s="43" t="str">
        <f t="shared" si="157"/>
        <v>Glarus</v>
      </c>
      <c r="B212" s="817" t="s">
        <v>3321</v>
      </c>
      <c r="C212" s="45" t="b">
        <v>1</v>
      </c>
      <c r="D212" s="120" t="b">
        <v>0</v>
      </c>
    </row>
    <row r="213" spans="1:14">
      <c r="A213" s="43" t="str">
        <f t="shared" si="157"/>
        <v>Gr. St. Bernhard</v>
      </c>
      <c r="B213" s="817" t="s">
        <v>3322</v>
      </c>
      <c r="C213" s="45" t="b">
        <v>1</v>
      </c>
      <c r="D213" s="120" t="b">
        <v>0</v>
      </c>
    </row>
    <row r="214" spans="1:14">
      <c r="A214" s="43" t="str">
        <f t="shared" si="157"/>
        <v>Güttingen</v>
      </c>
      <c r="B214" s="817" t="s">
        <v>3321</v>
      </c>
      <c r="C214" s="120" t="b">
        <v>0</v>
      </c>
      <c r="D214" s="120" t="b">
        <v>0</v>
      </c>
    </row>
    <row r="215" spans="1:14">
      <c r="A215" s="43" t="str">
        <f t="shared" si="157"/>
        <v>Interlaken</v>
      </c>
      <c r="B215" s="817" t="s">
        <v>3321</v>
      </c>
      <c r="C215" s="45" t="b">
        <v>1</v>
      </c>
      <c r="D215" s="120" t="b">
        <v>0</v>
      </c>
    </row>
    <row r="216" spans="1:14">
      <c r="A216" s="43" t="str">
        <f t="shared" si="157"/>
        <v>La Chaux-de-Fonds</v>
      </c>
      <c r="B216" s="817" t="s">
        <v>3320</v>
      </c>
      <c r="C216" s="120" t="b">
        <v>0</v>
      </c>
      <c r="D216" s="120" t="b">
        <v>0</v>
      </c>
    </row>
    <row r="217" spans="1:14">
      <c r="A217" s="43" t="str">
        <f t="shared" si="157"/>
        <v>La Frêtaz</v>
      </c>
      <c r="B217" s="817" t="s">
        <v>3320</v>
      </c>
      <c r="C217" s="120" t="b">
        <v>0</v>
      </c>
      <c r="D217" s="120" t="b">
        <v>0</v>
      </c>
    </row>
    <row r="218" spans="1:14">
      <c r="A218" s="43" t="str">
        <f t="shared" si="157"/>
        <v>Locarno-Monti</v>
      </c>
      <c r="B218" s="817" t="s">
        <v>3324</v>
      </c>
      <c r="C218" s="45" t="b">
        <v>1</v>
      </c>
      <c r="D218" s="120" t="b">
        <v>1</v>
      </c>
    </row>
    <row r="219" spans="1:14">
      <c r="A219" s="43" t="str">
        <f t="shared" si="157"/>
        <v>Lugano</v>
      </c>
      <c r="B219" s="817" t="s">
        <v>3324</v>
      </c>
      <c r="C219" s="120" t="b">
        <v>0</v>
      </c>
      <c r="D219" s="120" t="b">
        <v>1</v>
      </c>
    </row>
    <row r="220" spans="1:14">
      <c r="A220" s="43" t="str">
        <f t="shared" si="157"/>
        <v>Luzern</v>
      </c>
      <c r="B220" s="817" t="s">
        <v>3321</v>
      </c>
      <c r="C220" s="120" t="b">
        <v>0</v>
      </c>
      <c r="D220" s="120" t="b">
        <v>0</v>
      </c>
    </row>
    <row r="221" spans="1:14">
      <c r="A221" s="43" t="str">
        <f t="shared" si="157"/>
        <v>Magadino</v>
      </c>
      <c r="B221" s="817" t="s">
        <v>3324</v>
      </c>
      <c r="C221" s="45" t="b">
        <v>1</v>
      </c>
      <c r="D221" s="120" t="b">
        <v>1</v>
      </c>
    </row>
    <row r="222" spans="1:14">
      <c r="A222" s="43" t="str">
        <f t="shared" si="157"/>
        <v>Montana</v>
      </c>
      <c r="B222" s="817" t="s">
        <v>3320</v>
      </c>
      <c r="C222" s="45" t="b">
        <v>1</v>
      </c>
      <c r="D222" s="120" t="b">
        <v>0</v>
      </c>
    </row>
    <row r="223" spans="1:14">
      <c r="A223" s="43" t="str">
        <f t="shared" si="157"/>
        <v>Neuchâtel</v>
      </c>
      <c r="B223" s="817" t="s">
        <v>3323</v>
      </c>
      <c r="C223" s="120" t="b">
        <v>0</v>
      </c>
      <c r="D223" s="120" t="b">
        <v>0</v>
      </c>
    </row>
    <row r="224" spans="1:14">
      <c r="A224" s="43" t="str">
        <f t="shared" si="157"/>
        <v>Payerne</v>
      </c>
      <c r="B224" s="817" t="s">
        <v>3321</v>
      </c>
      <c r="C224" s="120" t="b">
        <v>0</v>
      </c>
      <c r="D224" s="120" t="b">
        <v>0</v>
      </c>
    </row>
    <row r="225" spans="1:4">
      <c r="A225" s="43" t="str">
        <f t="shared" si="157"/>
        <v>Piotta</v>
      </c>
      <c r="B225" s="817" t="s">
        <v>3320</v>
      </c>
      <c r="C225" s="45" t="b">
        <v>1</v>
      </c>
      <c r="D225" s="120" t="b">
        <v>1</v>
      </c>
    </row>
    <row r="226" spans="1:4">
      <c r="A226" s="43" t="str">
        <f t="shared" si="157"/>
        <v>Pully</v>
      </c>
      <c r="B226" s="817" t="s">
        <v>3323</v>
      </c>
      <c r="C226" s="120" t="b">
        <v>0</v>
      </c>
      <c r="D226" s="120" t="b">
        <v>0</v>
      </c>
    </row>
    <row r="227" spans="1:4">
      <c r="A227" s="43" t="str">
        <f t="shared" si="157"/>
        <v>Robbia</v>
      </c>
      <c r="B227" s="817" t="s">
        <v>3320</v>
      </c>
      <c r="C227" s="45" t="b">
        <v>1</v>
      </c>
      <c r="D227" s="120" t="b">
        <v>1</v>
      </c>
    </row>
    <row r="228" spans="1:4">
      <c r="A228" s="43" t="str">
        <f t="shared" si="157"/>
        <v>Rünenberg</v>
      </c>
      <c r="B228" s="817" t="s">
        <v>3321</v>
      </c>
      <c r="C228" s="120" t="b">
        <v>0</v>
      </c>
      <c r="D228" s="120" t="b">
        <v>0</v>
      </c>
    </row>
    <row r="229" spans="1:4">
      <c r="A229" s="43" t="str">
        <f t="shared" si="157"/>
        <v>Samedan</v>
      </c>
      <c r="B229" s="817" t="s">
        <v>3322</v>
      </c>
      <c r="C229" s="45" t="b">
        <v>1</v>
      </c>
      <c r="D229" s="120" t="b">
        <v>0</v>
      </c>
    </row>
    <row r="230" spans="1:4">
      <c r="A230" s="43" t="str">
        <f t="shared" si="157"/>
        <v>San Bernardino</v>
      </c>
      <c r="B230" s="817" t="s">
        <v>3322</v>
      </c>
      <c r="C230" s="45" t="b">
        <v>1</v>
      </c>
      <c r="D230" s="120" t="b">
        <v>1</v>
      </c>
    </row>
    <row r="231" spans="1:4">
      <c r="A231" s="43" t="str">
        <f t="shared" si="157"/>
        <v>St. Gallen</v>
      </c>
      <c r="B231" s="817" t="s">
        <v>3321</v>
      </c>
      <c r="C231" s="120" t="b">
        <v>0</v>
      </c>
      <c r="D231" s="120" t="b">
        <v>0</v>
      </c>
    </row>
    <row r="232" spans="1:4">
      <c r="A232" s="43" t="str">
        <f t="shared" si="157"/>
        <v>Schaffhausen</v>
      </c>
      <c r="B232" s="817" t="s">
        <v>3321</v>
      </c>
      <c r="C232" s="120" t="b">
        <v>0</v>
      </c>
      <c r="D232" s="120" t="b">
        <v>0</v>
      </c>
    </row>
    <row r="233" spans="1:4">
      <c r="A233" s="43" t="str">
        <f t="shared" si="157"/>
        <v>Schuls</v>
      </c>
      <c r="B233" s="817" t="s">
        <v>3322</v>
      </c>
      <c r="C233" s="45" t="b">
        <v>1</v>
      </c>
      <c r="D233" s="120" t="b">
        <v>0</v>
      </c>
    </row>
    <row r="234" spans="1:4">
      <c r="A234" s="43" t="str">
        <f t="shared" si="157"/>
        <v>Sion</v>
      </c>
      <c r="B234" s="817" t="s">
        <v>3323</v>
      </c>
      <c r="C234" s="45" t="b">
        <v>1</v>
      </c>
      <c r="D234" s="120" t="b">
        <v>0</v>
      </c>
    </row>
    <row r="235" spans="1:4">
      <c r="A235" s="43" t="str">
        <f t="shared" si="157"/>
        <v>Ulrichen</v>
      </c>
      <c r="B235" s="817" t="s">
        <v>3322</v>
      </c>
      <c r="C235" s="45" t="b">
        <v>1</v>
      </c>
      <c r="D235" s="120" t="b">
        <v>0</v>
      </c>
    </row>
    <row r="236" spans="1:4">
      <c r="A236" s="43" t="str">
        <f t="shared" si="157"/>
        <v>Vaduz</v>
      </c>
      <c r="B236" s="817" t="s">
        <v>3321</v>
      </c>
      <c r="C236" s="45" t="b">
        <v>1</v>
      </c>
      <c r="D236" s="120" t="b">
        <v>0</v>
      </c>
    </row>
    <row r="237" spans="1:4">
      <c r="A237" s="43" t="str">
        <f t="shared" si="157"/>
        <v>Wynau</v>
      </c>
      <c r="B237" s="817" t="s">
        <v>3321</v>
      </c>
      <c r="C237" s="120" t="b">
        <v>0</v>
      </c>
      <c r="D237" s="120" t="b">
        <v>0</v>
      </c>
    </row>
    <row r="238" spans="1:4">
      <c r="A238" s="43" t="str">
        <f t="shared" si="157"/>
        <v>Zermatt</v>
      </c>
      <c r="B238" s="817" t="s">
        <v>3322</v>
      </c>
      <c r="C238" s="45" t="b">
        <v>1</v>
      </c>
      <c r="D238" s="120" t="b">
        <v>0</v>
      </c>
    </row>
    <row r="239" spans="1:4">
      <c r="A239" s="43" t="str">
        <f t="shared" si="157"/>
        <v>Zürich-Kloten</v>
      </c>
      <c r="B239" s="817" t="s">
        <v>3321</v>
      </c>
      <c r="C239" s="120" t="b">
        <v>0</v>
      </c>
      <c r="D239" s="120" t="b">
        <v>0</v>
      </c>
    </row>
    <row r="240" spans="1:4">
      <c r="A240" s="94" t="str">
        <f>A94</f>
        <v>Zürich SMA</v>
      </c>
      <c r="B240" s="818" t="s">
        <v>3321</v>
      </c>
      <c r="C240" s="120" t="b">
        <v>0</v>
      </c>
      <c r="D240" s="142" t="b">
        <v>0</v>
      </c>
    </row>
    <row r="241" spans="1:4">
      <c r="A241" s="127" t="s">
        <v>3878</v>
      </c>
      <c r="B241" s="126"/>
      <c r="C241" s="126"/>
      <c r="D241" s="1904" t="b">
        <f>IF(B51=0,FALSE,INDEX(D200:D240,B51,1))</f>
        <v>0</v>
      </c>
    </row>
    <row r="242" spans="1:4">
      <c r="A242" s="94" t="s">
        <v>3879</v>
      </c>
      <c r="B242" s="60"/>
      <c r="C242" s="60"/>
      <c r="D242" s="1905" t="b">
        <f>AND(IF(B51=0,FALSE,INDEX(C200:C240,B51,1)),IF(Hoehe=0,TRUE,IF(Hoehe&lt;=800,FALSE,TRUE)))</f>
        <v>1</v>
      </c>
    </row>
  </sheetData>
  <sheetProtection algorithmName="SHA-512" hashValue="+INK5WBalgO5vOavhJ3peaGTnWKP26kM/LLRfkDRq8V+tPF+kiHK7h/GLDDthgRlILev+M8RF/bnPCsznqDlZg==" saltValue="YgzJkowD6hFJmReiYHgkKg==" spinCount="100000" sheet="1" objects="1" scenarios="1"/>
  <mergeCells count="67">
    <mergeCell ref="P66:S66"/>
    <mergeCell ref="I204:I209"/>
    <mergeCell ref="K199:K203"/>
    <mergeCell ref="L199:L203"/>
    <mergeCell ref="M199:M203"/>
    <mergeCell ref="J200:J203"/>
    <mergeCell ref="N122:Q122"/>
    <mergeCell ref="O83:P83"/>
    <mergeCell ref="U23:X23"/>
    <mergeCell ref="AI33:AJ33"/>
    <mergeCell ref="AK33:AL33"/>
    <mergeCell ref="X65:AC65"/>
    <mergeCell ref="AM33:AN33"/>
    <mergeCell ref="AI43:AJ43"/>
    <mergeCell ref="AI44:AJ44"/>
    <mergeCell ref="AI42:AJ42"/>
    <mergeCell ref="AM49:AN49"/>
    <mergeCell ref="AM43:AN43"/>
    <mergeCell ref="AM44:AN44"/>
    <mergeCell ref="AM45:AN45"/>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2</v>
      </c>
      <c r="B1" s="943" t="s">
        <v>841</v>
      </c>
      <c r="C1" s="948" t="s">
        <v>134</v>
      </c>
      <c r="D1" s="397"/>
      <c r="E1" s="1934" t="s">
        <v>136</v>
      </c>
      <c r="F1" s="922"/>
      <c r="G1" s="922"/>
      <c r="H1" s="406" t="str">
        <f>E3</f>
        <v>deutsch</v>
      </c>
      <c r="I1" s="910">
        <v>1</v>
      </c>
    </row>
    <row r="2" spans="1:9" ht="34.5" customHeight="1">
      <c r="A2" s="1378">
        <v>1</v>
      </c>
      <c r="B2" s="1374"/>
      <c r="C2" s="1377">
        <v>2021</v>
      </c>
      <c r="D2" s="1375" t="s">
        <v>2122</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v2.5</v>
      </c>
      <c r="E4" s="1476" t="s">
        <v>4009</v>
      </c>
      <c r="F4" s="914" t="str">
        <f>E4</f>
        <v>v2.5</v>
      </c>
      <c r="G4" s="405" t="str">
        <f>E4</f>
        <v>v2.5</v>
      </c>
    </row>
    <row r="5" spans="1:9" ht="25.9" customHeight="1">
      <c r="A5" s="403">
        <v>2</v>
      </c>
      <c r="B5" s="944" t="s">
        <v>53</v>
      </c>
      <c r="C5" s="944" t="s">
        <v>843</v>
      </c>
      <c r="D5" s="911" t="str">
        <f t="shared" ref="D5:D68" si="0">INDEX($E$4:$G$503,$A5,$A$1)</f>
        <v>Formulaire MINERGIE 2021.1, à utiliser jusqu'au 31 décembre 2021</v>
      </c>
      <c r="E5" s="431" t="str">
        <f>IF(MUKEN,"Formular EN101b, "&amp;E4&amp;", zu verwenden bis 31. Dezember "&amp;$C$2,"MINERGIE-Nachweisformular "&amp;$C$2&amp;"."&amp;$A$2&amp;", zu verwenden bis 31. Dezember "&amp;$C$2)</f>
        <v>MINERGIE-Nachweisformular 2021.1, zu verwenden bis 31. Dezember 2021</v>
      </c>
      <c r="F5" s="914" t="str">
        <f>IF(MUKEN,"Formulaire EN101b, "&amp;E4&amp;", à utiliser jusqu'au 31 décembre "&amp;$C$2,"Formulaire MINERGIE "&amp;$C$2&amp;"."&amp;$A$2&amp;", à utiliser jusqu'au 31 décembre "&amp;$C$2)</f>
        <v>Formulaire MINERGIE 2021.1, à utiliser jusqu'au 31 décembre 2021</v>
      </c>
      <c r="G5" s="405" t="str">
        <f>IF(MUKEN,"Formulario EN101b, "&amp;E4&amp;", da utilizzare fino al 31. 12. "&amp;$C$2,"Formulario MINERGIE "&amp;$C$2&amp;"."&amp;$A$2&amp;", da utilizzare fino al 31. 12. "&amp;$C$2)</f>
        <v>Formulario MINERGIE 2021.1, da utilizzare fino al 31. 12. 2021</v>
      </c>
    </row>
    <row r="6" spans="1:9" ht="25.9" customHeight="1">
      <c r="A6" s="403">
        <v>3</v>
      </c>
      <c r="B6" s="944" t="s">
        <v>53</v>
      </c>
      <c r="C6" s="944" t="s">
        <v>844</v>
      </c>
      <c r="D6" s="911" t="str">
        <f t="shared" si="0"/>
        <v>Justificatif énergétique</v>
      </c>
      <c r="E6" s="404" t="s">
        <v>755</v>
      </c>
      <c r="F6" s="914" t="s">
        <v>1492</v>
      </c>
      <c r="G6" s="405" t="s">
        <v>1237</v>
      </c>
    </row>
    <row r="7" spans="1:9" ht="25.9" customHeight="1">
      <c r="A7" s="403">
        <v>4</v>
      </c>
      <c r="B7" s="944" t="s">
        <v>53</v>
      </c>
      <c r="C7" s="944" t="s">
        <v>845</v>
      </c>
      <c r="D7" s="911" t="str">
        <f t="shared" si="0"/>
        <v>Besoin d'énergie</v>
      </c>
      <c r="E7" s="404" t="s">
        <v>1692</v>
      </c>
      <c r="F7" s="914" t="s">
        <v>1693</v>
      </c>
      <c r="G7" s="405" t="s">
        <v>1694</v>
      </c>
    </row>
    <row r="8" spans="1:9" ht="25.9" customHeight="1">
      <c r="A8" s="403">
        <v>5</v>
      </c>
      <c r="B8" s="944" t="s">
        <v>53</v>
      </c>
      <c r="C8" s="944" t="s">
        <v>846</v>
      </c>
      <c r="D8" s="911" t="str">
        <f t="shared" si="0"/>
        <v>Preuve calculée</v>
      </c>
      <c r="E8" s="404" t="s">
        <v>757</v>
      </c>
      <c r="F8" s="914" t="s">
        <v>1493</v>
      </c>
      <c r="G8" s="405" t="s">
        <v>1238</v>
      </c>
    </row>
    <row r="9" spans="1:9" ht="25.9" customHeight="1">
      <c r="A9" s="403">
        <v>6</v>
      </c>
      <c r="B9" s="944" t="s">
        <v>53</v>
      </c>
      <c r="C9" s="944" t="s">
        <v>847</v>
      </c>
      <c r="D9" s="911" t="str">
        <f t="shared" si="0"/>
        <v>Commune:</v>
      </c>
      <c r="E9" s="404" t="s">
        <v>797</v>
      </c>
      <c r="F9" s="914" t="s">
        <v>1494</v>
      </c>
      <c r="G9" s="405" t="s">
        <v>1239</v>
      </c>
    </row>
    <row r="10" spans="1:9" ht="26.1" customHeight="1">
      <c r="A10" s="403">
        <v>7</v>
      </c>
      <c r="B10" s="944" t="s">
        <v>53</v>
      </c>
      <c r="C10" s="944" t="s">
        <v>1207</v>
      </c>
      <c r="D10" s="911" t="str">
        <f t="shared" si="0"/>
        <v>N° cadastre:</v>
      </c>
      <c r="E10" s="404" t="s">
        <v>800</v>
      </c>
      <c r="F10" s="914" t="s">
        <v>1495</v>
      </c>
      <c r="G10" s="405" t="s">
        <v>1240</v>
      </c>
    </row>
    <row r="11" spans="1:9" ht="26.1" customHeight="1">
      <c r="A11" s="403">
        <v>8</v>
      </c>
      <c r="B11" s="944" t="s">
        <v>53</v>
      </c>
      <c r="C11" s="944" t="s">
        <v>1050</v>
      </c>
      <c r="D11" s="911" t="str">
        <f t="shared" si="0"/>
        <v>N° bâtiment:</v>
      </c>
      <c r="E11" s="404" t="s">
        <v>799</v>
      </c>
      <c r="F11" s="914" t="s">
        <v>1496</v>
      </c>
      <c r="G11" s="405" t="s">
        <v>1241</v>
      </c>
    </row>
    <row r="12" spans="1:9" ht="26.1" customHeight="1">
      <c r="A12" s="403">
        <v>9</v>
      </c>
      <c r="B12" s="944" t="s">
        <v>53</v>
      </c>
      <c r="C12" s="944" t="s">
        <v>840</v>
      </c>
      <c r="D12" s="911" t="str">
        <f t="shared" si="0"/>
        <v>Canton:</v>
      </c>
      <c r="E12" s="474" t="s">
        <v>617</v>
      </c>
      <c r="F12" s="916" t="s">
        <v>839</v>
      </c>
      <c r="G12" s="405" t="s">
        <v>1242</v>
      </c>
    </row>
    <row r="13" spans="1:9" ht="26.1" customHeight="1">
      <c r="A13" s="403">
        <v>10</v>
      </c>
      <c r="B13" s="944" t="s">
        <v>53</v>
      </c>
      <c r="C13" s="944" t="s">
        <v>850</v>
      </c>
      <c r="D13" s="911" t="str">
        <f t="shared" si="0"/>
        <v>Objet:</v>
      </c>
      <c r="E13" s="404" t="s">
        <v>798</v>
      </c>
      <c r="F13" s="914" t="s">
        <v>1497</v>
      </c>
      <c r="G13" s="405" t="s">
        <v>1243</v>
      </c>
    </row>
    <row r="14" spans="1:9" ht="26.1" customHeight="1">
      <c r="A14" s="403">
        <v>11</v>
      </c>
      <c r="B14" s="944" t="s">
        <v>53</v>
      </c>
      <c r="C14" s="944" t="s">
        <v>851</v>
      </c>
      <c r="D14" s="911" t="str">
        <f t="shared" si="0"/>
        <v>Données sur le bâtiment</v>
      </c>
      <c r="E14" s="404" t="s">
        <v>489</v>
      </c>
      <c r="F14" s="914" t="s">
        <v>1498</v>
      </c>
      <c r="G14" s="405" t="s">
        <v>1244</v>
      </c>
    </row>
    <row r="15" spans="1:9" ht="26.1" customHeight="1">
      <c r="A15" s="403">
        <v>12</v>
      </c>
      <c r="B15" s="944" t="s">
        <v>53</v>
      </c>
      <c r="C15" s="944" t="s">
        <v>389</v>
      </c>
      <c r="D15" s="911" t="str">
        <f t="shared" si="0"/>
        <v xml:space="preserve">Altitude: </v>
      </c>
      <c r="E15" s="404" t="s">
        <v>830</v>
      </c>
      <c r="F15" s="914" t="s">
        <v>1499</v>
      </c>
      <c r="G15" s="405" t="s">
        <v>1245</v>
      </c>
    </row>
    <row r="16" spans="1:9" s="922" customFormat="1" ht="26.1" customHeight="1">
      <c r="A16" s="403">
        <v>13</v>
      </c>
      <c r="B16" s="944" t="s">
        <v>53</v>
      </c>
      <c r="C16" s="944" t="s">
        <v>853</v>
      </c>
      <c r="D16" s="911" t="str">
        <f t="shared" si="0"/>
        <v>m</v>
      </c>
      <c r="E16" s="919" t="s">
        <v>251</v>
      </c>
      <c r="F16" s="920" t="s">
        <v>1500</v>
      </c>
      <c r="G16" s="921" t="s">
        <v>3519</v>
      </c>
    </row>
    <row r="17" spans="1:7" ht="26.1" customHeight="1">
      <c r="A17" s="403">
        <v>14</v>
      </c>
      <c r="B17" s="944" t="s">
        <v>53</v>
      </c>
      <c r="C17" s="944" t="s">
        <v>466</v>
      </c>
      <c r="D17" s="911" t="str">
        <f t="shared" si="0"/>
        <v>(Selon la norme SIA 380/1)</v>
      </c>
      <c r="E17" s="404" t="s">
        <v>826</v>
      </c>
      <c r="F17" s="914" t="s">
        <v>1501</v>
      </c>
      <c r="G17" s="405" t="s">
        <v>1246</v>
      </c>
    </row>
    <row r="18" spans="1:7" ht="26.1" customHeight="1">
      <c r="A18" s="403">
        <v>15</v>
      </c>
      <c r="B18" s="944" t="s">
        <v>53</v>
      </c>
      <c r="C18" s="944" t="s">
        <v>852</v>
      </c>
      <c r="D18" s="911" t="str">
        <f t="shared" si="0"/>
        <v>Justificatif pour:</v>
      </c>
      <c r="E18" s="404" t="s">
        <v>831</v>
      </c>
      <c r="F18" s="914" t="s">
        <v>1502</v>
      </c>
      <c r="G18" s="405" t="s">
        <v>1247</v>
      </c>
    </row>
    <row r="19" spans="1:7" ht="26.1" customHeight="1">
      <c r="A19" s="403">
        <v>16</v>
      </c>
      <c r="B19" s="944" t="s">
        <v>622</v>
      </c>
      <c r="C19" s="944" t="s">
        <v>857</v>
      </c>
      <c r="D19" s="911" t="str">
        <f t="shared" si="0"/>
        <v>Preuve officielle</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1859</v>
      </c>
      <c r="D23" s="911" t="str">
        <f t="shared" si="0"/>
        <v>satisfait</v>
      </c>
      <c r="E23" s="404" t="s">
        <v>676</v>
      </c>
      <c r="F23" s="914" t="s">
        <v>1504</v>
      </c>
      <c r="G23" s="405" t="s">
        <v>1249</v>
      </c>
    </row>
    <row r="24" spans="1:7" ht="26.1" customHeight="1">
      <c r="A24" s="403">
        <v>21</v>
      </c>
      <c r="B24" s="944" t="s">
        <v>313</v>
      </c>
      <c r="C24" s="944" t="s">
        <v>1860</v>
      </c>
      <c r="D24" s="911" t="str">
        <f t="shared" si="0"/>
        <v>non satisfait</v>
      </c>
      <c r="E24" s="404" t="s">
        <v>677</v>
      </c>
      <c r="F24" s="914" t="s">
        <v>1505</v>
      </c>
      <c r="G24" s="405" t="s">
        <v>1250</v>
      </c>
    </row>
    <row r="25" spans="1:7" ht="26.1" customHeight="1">
      <c r="A25" s="403">
        <v>22</v>
      </c>
      <c r="B25" s="944" t="s">
        <v>622</v>
      </c>
      <c r="C25" s="944" t="s">
        <v>861</v>
      </c>
      <c r="D25" s="911" t="str">
        <f t="shared" si="0"/>
        <v>oui</v>
      </c>
      <c r="E25" s="404" t="s">
        <v>120</v>
      </c>
      <c r="F25" s="914" t="s">
        <v>329</v>
      </c>
      <c r="G25" s="405" t="s">
        <v>1251</v>
      </c>
    </row>
    <row r="26" spans="1:7" ht="26.1" customHeight="1">
      <c r="A26" s="403">
        <v>23</v>
      </c>
      <c r="B26" s="944" t="s">
        <v>622</v>
      </c>
      <c r="C26" s="944" t="s">
        <v>862</v>
      </c>
      <c r="D26" s="911" t="str">
        <f t="shared" si="0"/>
        <v>non</v>
      </c>
      <c r="E26" s="917" t="s">
        <v>122</v>
      </c>
      <c r="F26" s="918" t="s">
        <v>330</v>
      </c>
      <c r="G26" s="405" t="s">
        <v>1252</v>
      </c>
    </row>
    <row r="27" spans="1:7" ht="26.1" customHeight="1">
      <c r="A27" s="403">
        <v>24</v>
      </c>
      <c r="B27" s="944" t="s">
        <v>1757</v>
      </c>
      <c r="C27" s="944" t="s">
        <v>412</v>
      </c>
      <c r="D27" s="911" t="str">
        <f t="shared" si="0"/>
        <v>n.a.</v>
      </c>
      <c r="E27" s="404" t="s">
        <v>216</v>
      </c>
      <c r="F27" s="914" t="s">
        <v>216</v>
      </c>
      <c r="G27" s="405" t="s">
        <v>216</v>
      </c>
    </row>
    <row r="28" spans="1:7" ht="26.1" customHeight="1">
      <c r="A28" s="403">
        <v>25</v>
      </c>
      <c r="B28" s="944" t="s">
        <v>53</v>
      </c>
      <c r="C28" s="944" t="s">
        <v>849</v>
      </c>
      <c r="D28" s="911" t="str">
        <f t="shared" si="0"/>
        <v>Station climat.</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Somme</v>
      </c>
      <c r="E30" s="404" t="s">
        <v>490</v>
      </c>
      <c r="F30" s="914" t="s">
        <v>1507</v>
      </c>
      <c r="G30" s="405" t="s">
        <v>1254</v>
      </c>
    </row>
    <row r="31" spans="1:7" ht="26.1" customHeight="1">
      <c r="A31" s="403">
        <v>28</v>
      </c>
      <c r="B31" s="944" t="s">
        <v>53</v>
      </c>
      <c r="C31" s="944" t="s">
        <v>855</v>
      </c>
      <c r="D31" s="911" t="str">
        <f t="shared" si="0"/>
        <v>Catégorie d'ouvrage</v>
      </c>
      <c r="E31" s="404" t="s">
        <v>331</v>
      </c>
      <c r="F31" s="914" t="s">
        <v>1508</v>
      </c>
      <c r="G31" s="405" t="s">
        <v>1255</v>
      </c>
    </row>
    <row r="32" spans="1:7" ht="26.1" customHeight="1">
      <c r="A32" s="403">
        <v>29</v>
      </c>
      <c r="B32" s="944" t="s">
        <v>53</v>
      </c>
      <c r="C32" s="944" t="s">
        <v>856</v>
      </c>
      <c r="D32" s="911" t="str">
        <f t="shared" si="0"/>
        <v>Avec eau chaude?</v>
      </c>
      <c r="E32" s="404" t="s">
        <v>364</v>
      </c>
      <c r="F32" s="914" t="s">
        <v>1509</v>
      </c>
      <c r="G32" s="405" t="s">
        <v>1256</v>
      </c>
    </row>
    <row r="33" spans="1:7" ht="26.1" customHeight="1">
      <c r="A33" s="403">
        <v>30</v>
      </c>
      <c r="B33" s="944" t="s">
        <v>53</v>
      </c>
      <c r="C33" s="944" t="s">
        <v>488</v>
      </c>
      <c r="D33" s="911" t="str">
        <f t="shared" si="0"/>
        <v>Surface de référence énergétique SRE</v>
      </c>
      <c r="E33" s="404" t="s">
        <v>137</v>
      </c>
      <c r="F33" s="914" t="s">
        <v>1510</v>
      </c>
      <c r="G33" s="405" t="s">
        <v>1257</v>
      </c>
    </row>
    <row r="34" spans="1:7" ht="26.1" customHeight="1">
      <c r="A34" s="403">
        <v>31</v>
      </c>
      <c r="B34" s="944" t="s">
        <v>53</v>
      </c>
      <c r="C34" s="944" t="s">
        <v>549</v>
      </c>
      <c r="D34" s="911" t="str">
        <f t="shared" si="0"/>
        <v>Nouvelle construction</v>
      </c>
      <c r="E34" s="404" t="s">
        <v>650</v>
      </c>
      <c r="F34" s="914" t="s">
        <v>1511</v>
      </c>
      <c r="G34" s="405" t="s">
        <v>1258</v>
      </c>
    </row>
    <row r="35" spans="1:7" ht="26.1" customHeight="1">
      <c r="A35" s="403">
        <v>32</v>
      </c>
      <c r="B35" s="944" t="s">
        <v>53</v>
      </c>
      <c r="C35" s="944" t="s">
        <v>866</v>
      </c>
      <c r="D35" s="911" t="str">
        <f t="shared" si="0"/>
        <v>(moyenne)</v>
      </c>
      <c r="E35" s="404" t="s">
        <v>492</v>
      </c>
      <c r="F35" s="914" t="s">
        <v>1512</v>
      </c>
      <c r="G35" s="405" t="s">
        <v>1259</v>
      </c>
    </row>
    <row r="36" spans="1:7" ht="26.1" customHeight="1">
      <c r="A36" s="403">
        <v>33</v>
      </c>
      <c r="B36" s="944" t="s">
        <v>53</v>
      </c>
      <c r="C36" s="944" t="s">
        <v>549</v>
      </c>
      <c r="D36" s="911" t="str">
        <f t="shared" si="0"/>
        <v>Nouvelle construction</v>
      </c>
      <c r="E36" s="404" t="s">
        <v>650</v>
      </c>
      <c r="F36" s="914" t="s">
        <v>1511</v>
      </c>
      <c r="G36" s="405" t="s">
        <v>1258</v>
      </c>
    </row>
    <row r="37" spans="1:7" ht="26.1" customHeight="1">
      <c r="A37" s="403">
        <v>34</v>
      </c>
      <c r="B37" s="944" t="s">
        <v>53</v>
      </c>
      <c r="C37" s="944" t="s">
        <v>551</v>
      </c>
      <c r="D37" s="911" t="str">
        <f t="shared" si="0"/>
        <v>Besoins pour chauffage avec renouvellement d'air normal</v>
      </c>
      <c r="E37" s="404" t="s">
        <v>702</v>
      </c>
      <c r="F37" s="914" t="s">
        <v>1513</v>
      </c>
      <c r="G37" s="405" t="s">
        <v>1260</v>
      </c>
    </row>
    <row r="38" spans="1:7" ht="26.1" customHeight="1">
      <c r="A38" s="403">
        <v>35</v>
      </c>
      <c r="B38" s="944" t="s">
        <v>53</v>
      </c>
      <c r="C38" s="944" t="s">
        <v>867</v>
      </c>
      <c r="D38" s="911" t="str">
        <f t="shared" si="0"/>
        <v>Installations de ventilation et de climatisation</v>
      </c>
      <c r="E38" s="404" t="s">
        <v>514</v>
      </c>
      <c r="F38" s="914" t="s">
        <v>255</v>
      </c>
      <c r="G38" s="405" t="s">
        <v>2799</v>
      </c>
    </row>
    <row r="39" spans="1:7" ht="46.5" customHeight="1">
      <c r="A39" s="403">
        <v>36</v>
      </c>
      <c r="B39" s="944" t="s">
        <v>53</v>
      </c>
      <c r="C39" s="944" t="s">
        <v>868</v>
      </c>
      <c r="D39" s="911" t="str">
        <f t="shared" si="0"/>
        <v>Le débit d'air neuf thermiquement actif calculé en F45-I45 est à introduire dans le calcul des besoins de chaleur pour le chauffage (SIA 380/1)</v>
      </c>
      <c r="E39" s="404" t="s">
        <v>1697</v>
      </c>
      <c r="F39" s="914" t="s">
        <v>3520</v>
      </c>
      <c r="G39" s="405" t="s">
        <v>1261</v>
      </c>
    </row>
    <row r="40" spans="1:7" ht="26.1" customHeight="1">
      <c r="A40" s="403">
        <v>37</v>
      </c>
      <c r="B40" s="944" t="s">
        <v>53</v>
      </c>
      <c r="C40" s="944" t="s">
        <v>869</v>
      </c>
      <c r="D40" s="911" t="str">
        <f t="shared" si="0"/>
        <v>Données pour installation de ventilation standard</v>
      </c>
      <c r="E40" s="404" t="s">
        <v>837</v>
      </c>
      <c r="F40" s="914" t="s">
        <v>1514</v>
      </c>
      <c r="G40" s="405" t="s">
        <v>2798</v>
      </c>
    </row>
    <row r="41" spans="1:7" ht="26.1" customHeight="1">
      <c r="A41" s="403">
        <v>38</v>
      </c>
      <c r="B41" s="944" t="s">
        <v>53</v>
      </c>
      <c r="C41" s="944" t="s">
        <v>513</v>
      </c>
      <c r="D41" s="911" t="str">
        <f t="shared" si="0"/>
        <v>Type d'installation de ventilation standard</v>
      </c>
      <c r="E41" s="404" t="s">
        <v>634</v>
      </c>
      <c r="F41" s="914" t="s">
        <v>1515</v>
      </c>
      <c r="G41" s="405" t="s">
        <v>2800</v>
      </c>
    </row>
    <row r="42" spans="1:7" ht="26.1" customHeight="1">
      <c r="A42" s="403">
        <v>39</v>
      </c>
      <c r="B42" s="944" t="s">
        <v>53</v>
      </c>
      <c r="C42" s="944" t="s">
        <v>872</v>
      </c>
      <c r="D42" s="911" t="str">
        <f t="shared" si="0"/>
        <v>Locaux avec air fourni ou nombre de personnes</v>
      </c>
      <c r="E42" s="404" t="s">
        <v>871</v>
      </c>
      <c r="F42" s="914" t="s">
        <v>1516</v>
      </c>
      <c r="G42" s="405" t="s">
        <v>2801</v>
      </c>
    </row>
    <row r="43" spans="1:7" ht="26.1" customHeight="1">
      <c r="A43" s="403">
        <v>40</v>
      </c>
      <c r="B43" s="944" t="s">
        <v>53</v>
      </c>
      <c r="C43" s="944" t="s">
        <v>872</v>
      </c>
      <c r="D43" s="911" t="str">
        <f t="shared" si="0"/>
        <v>Nombre de locaux avec air fourni</v>
      </c>
      <c r="E43" s="404" t="s">
        <v>211</v>
      </c>
      <c r="F43" s="914" t="s">
        <v>1517</v>
      </c>
      <c r="G43" s="405" t="s">
        <v>2802</v>
      </c>
    </row>
    <row r="44" spans="1:7" ht="26.1" customHeight="1">
      <c r="A44" s="403">
        <v>41</v>
      </c>
      <c r="B44" s="944" t="s">
        <v>53</v>
      </c>
      <c r="C44" s="944" t="s">
        <v>872</v>
      </c>
      <c r="D44" s="911" t="str">
        <f t="shared" si="0"/>
        <v>Nombre de personnes</v>
      </c>
      <c r="E44" s="404" t="s">
        <v>30</v>
      </c>
      <c r="F44" s="914" t="s">
        <v>1518</v>
      </c>
      <c r="G44" s="405" t="s">
        <v>2803</v>
      </c>
    </row>
    <row r="45" spans="1:7" ht="26.1" customHeight="1">
      <c r="A45" s="403">
        <v>42</v>
      </c>
      <c r="B45" s="944" t="s">
        <v>53</v>
      </c>
      <c r="C45" s="944" t="s">
        <v>97</v>
      </c>
      <c r="D45" s="911" t="str">
        <f t="shared" si="0"/>
        <v>Récupération de chaleur-Echangeur de chaleur</v>
      </c>
      <c r="E45" s="404" t="s">
        <v>130</v>
      </c>
      <c r="F45" s="914" t="s">
        <v>1519</v>
      </c>
      <c r="G45" s="405" t="s">
        <v>1262</v>
      </c>
    </row>
    <row r="46" spans="1:7" ht="26.1" customHeight="1">
      <c r="A46" s="403">
        <v>43</v>
      </c>
      <c r="B46" s="944" t="s">
        <v>53</v>
      </c>
      <c r="C46" s="944" t="s">
        <v>438</v>
      </c>
      <c r="D46" s="911" t="str">
        <f t="shared" si="0"/>
        <v>Débit d'air nominal</v>
      </c>
      <c r="E46" s="404" t="s">
        <v>553</v>
      </c>
      <c r="F46" s="914" t="s">
        <v>1520</v>
      </c>
      <c r="G46" s="405" t="s">
        <v>1263</v>
      </c>
    </row>
    <row r="47" spans="1:7" ht="25.9" customHeight="1">
      <c r="A47" s="403">
        <v>44</v>
      </c>
      <c r="B47" s="944" t="s">
        <v>53</v>
      </c>
      <c r="C47" s="944" t="s">
        <v>98</v>
      </c>
      <c r="D47" s="911" t="str">
        <f t="shared" si="0"/>
        <v>Entrainement de ventilateur avec</v>
      </c>
      <c r="E47" s="404" t="s">
        <v>339</v>
      </c>
      <c r="F47" s="914" t="s">
        <v>1521</v>
      </c>
      <c r="G47" s="405" t="s">
        <v>1264</v>
      </c>
    </row>
    <row r="48" spans="1:7" ht="25.9" customHeight="1">
      <c r="A48" s="403">
        <v>45</v>
      </c>
      <c r="B48" s="944" t="s">
        <v>53</v>
      </c>
      <c r="C48" s="944" t="s">
        <v>870</v>
      </c>
      <c r="D48" s="911" t="str">
        <f t="shared" si="0"/>
        <v>Petite installation avec valeurs standard</v>
      </c>
      <c r="E48" s="404" t="s">
        <v>182</v>
      </c>
      <c r="F48" s="914" t="s">
        <v>1522</v>
      </c>
      <c r="G48" s="405" t="s">
        <v>1265</v>
      </c>
    </row>
    <row r="49" spans="1:7" ht="26.1" customHeight="1">
      <c r="A49" s="403">
        <v>46</v>
      </c>
      <c r="B49" s="944" t="s">
        <v>53</v>
      </c>
      <c r="C49" s="944" t="s">
        <v>875</v>
      </c>
      <c r="D49" s="911" t="str">
        <f t="shared" si="0"/>
        <v>Débit d'air neuf thermiquement actif</v>
      </c>
      <c r="E49" s="404" t="s">
        <v>535</v>
      </c>
      <c r="F49" s="914" t="s">
        <v>1523</v>
      </c>
      <c r="G49" s="405" t="s">
        <v>2807</v>
      </c>
    </row>
    <row r="50" spans="1:7" ht="26.1" customHeight="1">
      <c r="A50" s="403">
        <v>47</v>
      </c>
      <c r="B50" s="944" t="s">
        <v>53</v>
      </c>
      <c r="C50" s="944" t="s">
        <v>874</v>
      </c>
      <c r="D50" s="911" t="str">
        <f t="shared" si="0"/>
        <v>Besoins d'électricité pour la ventilation et la protection antigel</v>
      </c>
      <c r="E50" s="404" t="s">
        <v>181</v>
      </c>
      <c r="F50" s="914" t="s">
        <v>1524</v>
      </c>
      <c r="G50" s="405" t="s">
        <v>1266</v>
      </c>
    </row>
    <row r="51" spans="1:7" ht="26.1" customHeight="1">
      <c r="A51" s="403">
        <v>48</v>
      </c>
      <c r="B51" s="944" t="s">
        <v>53</v>
      </c>
      <c r="C51" s="944" t="s">
        <v>873</v>
      </c>
      <c r="D51" s="911" t="str">
        <f t="shared" si="0"/>
        <v>Besoins d'électricité pour la climatisation et l'humidification</v>
      </c>
      <c r="E51" s="404" t="s">
        <v>141</v>
      </c>
      <c r="F51" s="914" t="s">
        <v>256</v>
      </c>
      <c r="G51" s="405" t="s">
        <v>2804</v>
      </c>
    </row>
    <row r="52" spans="1:7" ht="26.1" customHeight="1">
      <c r="A52" s="403">
        <v>49</v>
      </c>
      <c r="B52" s="944" t="s">
        <v>53</v>
      </c>
      <c r="C52" s="944" t="s">
        <v>880</v>
      </c>
      <c r="D52" s="911" t="str">
        <f t="shared" si="0"/>
        <v>Besoins d'électricité exploitation</v>
      </c>
      <c r="E52" s="404" t="s">
        <v>486</v>
      </c>
      <c r="F52" s="914" t="s">
        <v>156</v>
      </c>
      <c r="G52" s="405" t="s">
        <v>1267</v>
      </c>
    </row>
    <row r="53" spans="1:7" ht="26.1" customHeight="1">
      <c r="A53" s="403">
        <v>50</v>
      </c>
      <c r="B53" s="944" t="s">
        <v>53</v>
      </c>
      <c r="C53" s="944" t="s">
        <v>380</v>
      </c>
      <c r="D53" s="911" t="str">
        <f t="shared" si="0"/>
        <v>Calcul externe</v>
      </c>
      <c r="E53" s="404" t="s">
        <v>772</v>
      </c>
      <c r="F53" s="914" t="s">
        <v>842</v>
      </c>
      <c r="G53" s="405" t="s">
        <v>1268</v>
      </c>
    </row>
    <row r="54" spans="1:7" ht="26.1" customHeight="1">
      <c r="A54" s="403">
        <v>51</v>
      </c>
      <c r="B54" s="944" t="s">
        <v>53</v>
      </c>
      <c r="C54" s="944" t="s">
        <v>487</v>
      </c>
      <c r="D54" s="911" t="str">
        <f t="shared" si="0"/>
        <v>Rafraîchissement et/ou humidification ?</v>
      </c>
      <c r="E54" s="404" t="s">
        <v>143</v>
      </c>
      <c r="F54" s="914" t="s">
        <v>257</v>
      </c>
      <c r="G54" s="405" t="s">
        <v>2805</v>
      </c>
    </row>
    <row r="55" spans="1:7" ht="26.1" customHeight="1">
      <c r="A55" s="403">
        <v>52</v>
      </c>
      <c r="B55" s="944" t="s">
        <v>53</v>
      </c>
      <c r="C55" s="944" t="s">
        <v>883</v>
      </c>
      <c r="D55" s="911" t="str">
        <f t="shared" si="0"/>
        <v>Y aura-t-il un rafraîchissement ou une humidification?</v>
      </c>
      <c r="E55" s="404" t="s">
        <v>144</v>
      </c>
      <c r="F55" s="914" t="s">
        <v>258</v>
      </c>
      <c r="G55" s="405" t="s">
        <v>2806</v>
      </c>
    </row>
    <row r="56" spans="1:7" ht="26.1" customHeight="1">
      <c r="A56" s="403">
        <v>53</v>
      </c>
      <c r="B56" s="944" t="s">
        <v>53</v>
      </c>
      <c r="C56" s="944" t="s">
        <v>880</v>
      </c>
      <c r="D56" s="911" t="str">
        <f t="shared" si="0"/>
        <v>Besoins d'électricité pour le transport du froid et pour les auxiliaires</v>
      </c>
      <c r="E56" s="404" t="s">
        <v>3683</v>
      </c>
      <c r="F56" s="914" t="s">
        <v>3685</v>
      </c>
      <c r="G56" s="405" t="s">
        <v>3684</v>
      </c>
    </row>
    <row r="57" spans="1:7" ht="26.1" customHeight="1">
      <c r="A57" s="403">
        <v>54</v>
      </c>
      <c r="B57" s="944" t="s">
        <v>53</v>
      </c>
      <c r="C57" s="944" t="s">
        <v>705</v>
      </c>
      <c r="D57" s="911" t="str">
        <f t="shared" si="0"/>
        <v>Qh avec débit d'air thermiquement actif</v>
      </c>
      <c r="E57" s="404" t="s">
        <v>1695</v>
      </c>
      <c r="F57" s="914" t="s">
        <v>83</v>
      </c>
      <c r="G57" s="405" t="s">
        <v>1269</v>
      </c>
    </row>
    <row r="58" spans="1:7" ht="26.1" customHeight="1">
      <c r="A58" s="403">
        <v>55</v>
      </c>
      <c r="B58" s="944" t="s">
        <v>53</v>
      </c>
      <c r="C58" s="944" t="s">
        <v>881</v>
      </c>
      <c r="D58" s="911" t="str">
        <f t="shared" si="0"/>
        <v>Débit d'air neuf thermiquement actif</v>
      </c>
      <c r="E58" s="404" t="s">
        <v>33</v>
      </c>
      <c r="F58" s="914" t="s">
        <v>1523</v>
      </c>
      <c r="G58" s="405" t="s">
        <v>2807</v>
      </c>
    </row>
    <row r="59" spans="1:7" ht="48.75" customHeight="1">
      <c r="A59" s="403">
        <v>56</v>
      </c>
      <c r="B59" s="944" t="s">
        <v>53</v>
      </c>
      <c r="C59" s="944" t="s">
        <v>884</v>
      </c>
      <c r="D59" s="911" t="str">
        <f t="shared" si="0"/>
        <v>Débit d'air spécifique thermiquement actif Vth selon SIA 380/1: cette valeur doit correspondre à celle donnée pour le calcul de la demande d'énergie de chauffage avec aération effective.</v>
      </c>
      <c r="E59" s="404" t="s">
        <v>118</v>
      </c>
      <c r="F59" s="914" t="s">
        <v>48</v>
      </c>
      <c r="G59" s="405" t="s">
        <v>3521</v>
      </c>
    </row>
    <row r="60" spans="1:7" ht="25.9" customHeight="1">
      <c r="A60" s="403">
        <v>57</v>
      </c>
      <c r="B60" s="944" t="s">
        <v>53</v>
      </c>
      <c r="C60" s="944" t="s">
        <v>882</v>
      </c>
      <c r="D60" s="911" t="str">
        <f t="shared" si="0"/>
        <v>Besoins pour le chauffage effectif avec l'installation de ventilation</v>
      </c>
      <c r="E60" s="404" t="s">
        <v>190</v>
      </c>
      <c r="F60" s="914" t="s">
        <v>1525</v>
      </c>
      <c r="G60" s="405" t="s">
        <v>1270</v>
      </c>
    </row>
    <row r="61" spans="1:7" ht="52.5" customHeight="1">
      <c r="A61" s="403">
        <v>58</v>
      </c>
      <c r="B61" s="944" t="s">
        <v>53</v>
      </c>
      <c r="C61" s="944" t="s">
        <v>885</v>
      </c>
      <c r="D61" s="911" t="str">
        <f t="shared" si="0"/>
        <v>Entrée obligatoire: Qh,eff ou Qh,corr
à reporter du calcul SIA 380/1 les besoins de chaleur pour le chauffage Qh,eff avec débit d’air neuf thermiquement actif Vth.</v>
      </c>
      <c r="E61" s="404" t="s">
        <v>3589</v>
      </c>
      <c r="F61" s="914" t="s">
        <v>3588</v>
      </c>
      <c r="G61" s="405" t="s">
        <v>3590</v>
      </c>
    </row>
    <row r="62" spans="1:7" ht="40.5" customHeight="1">
      <c r="A62" s="403">
        <v>59</v>
      </c>
      <c r="B62" s="944" t="s">
        <v>53</v>
      </c>
      <c r="C62" s="944" t="s">
        <v>887</v>
      </c>
      <c r="D62" s="911" t="str">
        <f t="shared" si="0"/>
        <v>Indiquer ici le résulat d'un calcul externe (sur une feuille séparée).
Entrée obligatoire pour les installation de climatisation.</v>
      </c>
      <c r="E62" s="404" t="s">
        <v>886</v>
      </c>
      <c r="F62" s="914" t="s">
        <v>1526</v>
      </c>
      <c r="G62" s="405" t="s">
        <v>1271</v>
      </c>
    </row>
    <row r="63" spans="1:7" ht="100.5" customHeight="1">
      <c r="A63" s="403">
        <v>60</v>
      </c>
      <c r="B63" s="944" t="s">
        <v>53</v>
      </c>
      <c r="C63" s="944" t="s">
        <v>890</v>
      </c>
      <c r="D63" s="911" t="str">
        <f t="shared" si="0"/>
        <v>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v>
      </c>
      <c r="E63" s="404" t="s">
        <v>889</v>
      </c>
      <c r="F63" s="914" t="s">
        <v>3522</v>
      </c>
      <c r="G63" s="405" t="s">
        <v>3523</v>
      </c>
    </row>
    <row r="64" spans="1:7" ht="60" customHeight="1">
      <c r="A64" s="403">
        <v>61</v>
      </c>
      <c r="B64" s="944" t="s">
        <v>53</v>
      </c>
      <c r="C64" s="944" t="s">
        <v>891</v>
      </c>
      <c r="D64" s="911" t="str">
        <f t="shared" si="0"/>
        <v>Justificatif énergétique:
Seules les nouvelles constructions sont considérées dans le justificatif énergétique.
Minergie:
Année de construction (achèvement) à partir de 2000.</v>
      </c>
      <c r="E64" s="404" t="s">
        <v>1219</v>
      </c>
      <c r="F64" s="914" t="s">
        <v>2808</v>
      </c>
      <c r="G64" s="405" t="s">
        <v>1272</v>
      </c>
    </row>
    <row r="65" spans="1:7" ht="25.9" customHeight="1">
      <c r="A65" s="403">
        <v>62</v>
      </c>
      <c r="B65" s="944" t="s">
        <v>53</v>
      </c>
      <c r="C65" s="944" t="s">
        <v>888</v>
      </c>
      <c r="D65" s="911" t="str">
        <f t="shared" si="0"/>
        <v>Surface de référence énergétique AE, doit être reprise du calcul SIA 380/1.</v>
      </c>
      <c r="E65" s="404" t="s">
        <v>139</v>
      </c>
      <c r="F65" s="914" t="s">
        <v>254</v>
      </c>
      <c r="G65" s="405" t="s">
        <v>1273</v>
      </c>
    </row>
    <row r="66" spans="1:7" ht="96" customHeight="1">
      <c r="A66" s="403">
        <v>63</v>
      </c>
      <c r="B66" s="944" t="s">
        <v>53</v>
      </c>
      <c r="C66" s="944" t="s">
        <v>892</v>
      </c>
      <c r="D66" s="911" t="str">
        <f t="shared" si="0"/>
        <v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v>
      </c>
      <c r="E66" s="404" t="s">
        <v>893</v>
      </c>
      <c r="F66" s="914" t="s">
        <v>1527</v>
      </c>
      <c r="G66" s="405" t="s">
        <v>1274</v>
      </c>
    </row>
    <row r="67" spans="1:7" ht="25.9" customHeight="1">
      <c r="A67" s="403">
        <v>64</v>
      </c>
      <c r="B67" s="944" t="s">
        <v>53</v>
      </c>
      <c r="C67" s="944" t="s">
        <v>895</v>
      </c>
      <c r="D67" s="911" t="str">
        <f t="shared" si="0"/>
        <v>Entrée possible que pour l'habitat jusqu'à 2000 m2 et l'administration et les écoles jusqu'à 1000 m2.</v>
      </c>
      <c r="E67" s="404" t="s">
        <v>894</v>
      </c>
      <c r="F67" s="914" t="s">
        <v>1528</v>
      </c>
      <c r="G67" s="405" t="s">
        <v>1275</v>
      </c>
    </row>
    <row r="68" spans="1:7" ht="133.5" customHeight="1">
      <c r="A68" s="403">
        <v>65</v>
      </c>
      <c r="B68" s="944" t="s">
        <v>53</v>
      </c>
      <c r="C68" s="944" t="s">
        <v>328</v>
      </c>
      <c r="D68" s="911" t="str">
        <f t="shared" si="0"/>
        <v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v>
      </c>
      <c r="E68" s="404" t="s">
        <v>896</v>
      </c>
      <c r="F68" s="914" t="s">
        <v>1529</v>
      </c>
      <c r="G68" s="405" t="s">
        <v>3524</v>
      </c>
    </row>
    <row r="69" spans="1:7" ht="67.5" customHeight="1">
      <c r="A69" s="403">
        <v>66</v>
      </c>
      <c r="B69" s="944" t="s">
        <v>53</v>
      </c>
      <c r="C69" s="944" t="s">
        <v>897</v>
      </c>
      <c r="D69" s="911" t="str">
        <f t="shared" ref="D69:D132" si="1">INDEX($E$4:$G$503,$A69,$A$1)</f>
        <v>Nombre de pièces avec air fourni:
Données obligatoires que pour l'habitat.
Nombre de personnes (total par zones).
Données obligatoires pour administration ou écoles.
Seront utilisées pour le calcul de l'air fourni.</v>
      </c>
      <c r="E69" s="404" t="s">
        <v>898</v>
      </c>
      <c r="F69" s="914" t="s">
        <v>3525</v>
      </c>
      <c r="G69" s="405" t="s">
        <v>1276</v>
      </c>
    </row>
    <row r="70" spans="1:7" ht="114.75" customHeight="1">
      <c r="A70" s="403">
        <v>67</v>
      </c>
      <c r="B70" s="944" t="s">
        <v>53</v>
      </c>
      <c r="C70" s="944" t="s">
        <v>900</v>
      </c>
      <c r="D70" s="911" t="str">
        <f t="shared" si="1"/>
        <v>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v>
      </c>
      <c r="E70" s="404" t="s">
        <v>899</v>
      </c>
      <c r="F70" s="914" t="s">
        <v>3526</v>
      </c>
      <c r="G70" s="405" t="s">
        <v>1277</v>
      </c>
    </row>
    <row r="71" spans="1:7" ht="42" customHeight="1">
      <c r="A71" s="403">
        <v>68</v>
      </c>
      <c r="B71" s="944" t="s">
        <v>53</v>
      </c>
      <c r="C71" s="944" t="s">
        <v>902</v>
      </c>
      <c r="D71" s="911" t="str">
        <f t="shared" si="1"/>
        <v>Données pour les petites installations avec des valeurs standard:
Moteurs des ventilateurs: à courant alternatif (AC) ou à courant continu (DC)</v>
      </c>
      <c r="E71" s="404" t="s">
        <v>901</v>
      </c>
      <c r="F71" s="914" t="s">
        <v>1530</v>
      </c>
      <c r="G71" s="405" t="s">
        <v>1278</v>
      </c>
    </row>
    <row r="72" spans="1:7" ht="26.1" customHeight="1">
      <c r="A72" s="403">
        <v>69</v>
      </c>
      <c r="B72" s="944" t="s">
        <v>622</v>
      </c>
      <c r="C72" s="944" t="s">
        <v>903</v>
      </c>
      <c r="D72" s="911" t="str">
        <f t="shared" si="1"/>
        <v>donnée manquante</v>
      </c>
      <c r="E72" s="404" t="s">
        <v>835</v>
      </c>
      <c r="F72" s="914" t="s">
        <v>1531</v>
      </c>
      <c r="G72" s="405" t="s">
        <v>1279</v>
      </c>
    </row>
    <row r="73" spans="1:7" ht="26.1" customHeight="1">
      <c r="A73" s="403">
        <v>70</v>
      </c>
      <c r="B73" s="944" t="s">
        <v>622</v>
      </c>
      <c r="C73" s="944" t="s">
        <v>904</v>
      </c>
      <c r="D73" s="911" t="str">
        <f t="shared" si="1"/>
        <v>donnée erronée</v>
      </c>
      <c r="E73" s="404" t="s">
        <v>836</v>
      </c>
      <c r="F73" s="914" t="s">
        <v>3527</v>
      </c>
      <c r="G73" s="405" t="s">
        <v>1280</v>
      </c>
    </row>
    <row r="74" spans="1:7" ht="25.9" customHeight="1">
      <c r="A74" s="403">
        <v>71</v>
      </c>
      <c r="B74" s="944" t="s">
        <v>53</v>
      </c>
      <c r="C74" s="944" t="s">
        <v>906</v>
      </c>
      <c r="D74" s="912" t="str">
        <f t="shared" si="1"/>
        <v>Exigence primaire pas requise</v>
      </c>
      <c r="E74" s="923" t="s">
        <v>905</v>
      </c>
      <c r="F74" s="916" t="s">
        <v>1532</v>
      </c>
      <c r="G74" s="475" t="s">
        <v>1281</v>
      </c>
    </row>
    <row r="75" spans="1:7" ht="25.9" customHeight="1">
      <c r="A75" s="403">
        <v>72</v>
      </c>
      <c r="B75" s="944" t="s">
        <v>53</v>
      </c>
      <c r="C75" s="944" t="s">
        <v>906</v>
      </c>
      <c r="D75" s="911" t="str">
        <f t="shared" si="1"/>
        <v>Exigence 2 pas satisfaite</v>
      </c>
      <c r="E75" s="404" t="s">
        <v>907</v>
      </c>
      <c r="F75" s="914" t="s">
        <v>1533</v>
      </c>
      <c r="G75" s="405" t="s">
        <v>1282</v>
      </c>
    </row>
    <row r="76" spans="1:7" ht="25.9" customHeight="1">
      <c r="A76" s="403">
        <v>73</v>
      </c>
      <c r="D76" s="911" t="str">
        <f t="shared" si="1"/>
        <v>Donnée manque</v>
      </c>
      <c r="E76" s="404" t="s">
        <v>534</v>
      </c>
      <c r="F76" s="914" t="s">
        <v>538</v>
      </c>
      <c r="G76" s="405" t="s">
        <v>1279</v>
      </c>
    </row>
    <row r="77" spans="1:7" ht="25.9" customHeight="1">
      <c r="A77" s="403">
        <v>74</v>
      </c>
      <c r="D77" s="911" t="str">
        <f t="shared" si="1"/>
        <v>Remarque: dans la feuille 'Entrée' une installation de ventilation avec PAC intégrée a été choisie</v>
      </c>
      <c r="E77" s="404" t="s">
        <v>24</v>
      </c>
      <c r="F77" s="914" t="s">
        <v>539</v>
      </c>
      <c r="G77" s="405" t="s">
        <v>1283</v>
      </c>
    </row>
    <row r="78" spans="1:7" ht="25.9" customHeight="1">
      <c r="A78" s="403">
        <v>75</v>
      </c>
      <c r="B78" s="944" t="s">
        <v>622</v>
      </c>
      <c r="C78" s="944" t="s">
        <v>876</v>
      </c>
      <c r="D78" s="911" t="str">
        <f t="shared" si="1"/>
        <v>Refroidissement</v>
      </c>
      <c r="E78" s="404" t="s">
        <v>369</v>
      </c>
      <c r="F78" s="914" t="s">
        <v>94</v>
      </c>
      <c r="G78" s="405" t="s">
        <v>1284</v>
      </c>
    </row>
    <row r="79" spans="1:7" ht="25.9" customHeight="1">
      <c r="A79" s="403">
        <v>76</v>
      </c>
      <c r="B79" s="944" t="s">
        <v>622</v>
      </c>
      <c r="C79" s="944" t="s">
        <v>877</v>
      </c>
      <c r="D79" s="911" t="str">
        <f t="shared" si="1"/>
        <v>Humidification</v>
      </c>
      <c r="E79" s="404" t="s">
        <v>108</v>
      </c>
      <c r="F79" s="914" t="s">
        <v>95</v>
      </c>
      <c r="G79" s="405" t="s">
        <v>1285</v>
      </c>
    </row>
    <row r="80" spans="1:7" ht="25.9" customHeight="1">
      <c r="A80" s="403">
        <v>77</v>
      </c>
      <c r="B80" s="944" t="s">
        <v>622</v>
      </c>
      <c r="C80" s="944" t="s">
        <v>878</v>
      </c>
      <c r="D80" s="911" t="str">
        <f t="shared" si="1"/>
        <v>Refr. + humid.</v>
      </c>
      <c r="E80" s="404" t="s">
        <v>109</v>
      </c>
      <c r="F80" s="914" t="s">
        <v>96</v>
      </c>
      <c r="G80" s="405" t="s">
        <v>1286</v>
      </c>
    </row>
    <row r="81" spans="1:7" ht="25.9" customHeight="1">
      <c r="A81" s="403">
        <v>78</v>
      </c>
      <c r="B81" s="944" t="s">
        <v>622</v>
      </c>
      <c r="C81" s="944" t="s">
        <v>879</v>
      </c>
      <c r="D81" s="911" t="str">
        <f t="shared" si="1"/>
        <v>aucune</v>
      </c>
      <c r="E81" s="404" t="s">
        <v>708</v>
      </c>
      <c r="F81" s="914" t="s">
        <v>1534</v>
      </c>
      <c r="G81" s="405" t="s">
        <v>1287</v>
      </c>
    </row>
    <row r="82" spans="1:7" ht="26.1" customHeight="1">
      <c r="A82" s="403">
        <v>79</v>
      </c>
      <c r="B82" s="944" t="s">
        <v>622</v>
      </c>
      <c r="C82" s="944" t="s">
        <v>908</v>
      </c>
      <c r="D82" s="911" t="str">
        <f t="shared" si="1"/>
        <v>Habitat collectif</v>
      </c>
      <c r="E82" s="404" t="s">
        <v>332</v>
      </c>
      <c r="F82" s="914" t="s">
        <v>1536</v>
      </c>
      <c r="G82" s="405" t="s">
        <v>1288</v>
      </c>
    </row>
    <row r="83" spans="1:7" ht="26.1" customHeight="1">
      <c r="A83" s="403">
        <v>80</v>
      </c>
      <c r="B83" s="944" t="s">
        <v>622</v>
      </c>
      <c r="C83" s="944" t="s">
        <v>909</v>
      </c>
      <c r="D83" s="911" t="str">
        <f t="shared" si="1"/>
        <v>Habitat individuel</v>
      </c>
      <c r="E83" s="404" t="s">
        <v>333</v>
      </c>
      <c r="F83" s="914" t="s">
        <v>1535</v>
      </c>
      <c r="G83" s="405" t="s">
        <v>1289</v>
      </c>
    </row>
    <row r="84" spans="1:7" ht="26.1" customHeight="1">
      <c r="A84" s="403">
        <v>81</v>
      </c>
      <c r="B84" s="944" t="s">
        <v>622</v>
      </c>
      <c r="C84" s="944" t="s">
        <v>910</v>
      </c>
      <c r="D84" s="911" t="str">
        <f t="shared" si="1"/>
        <v>Administration</v>
      </c>
      <c r="E84" s="404" t="s">
        <v>1</v>
      </c>
      <c r="F84" s="914" t="s">
        <v>1537</v>
      </c>
      <c r="G84" s="405" t="s">
        <v>1290</v>
      </c>
    </row>
    <row r="85" spans="1:7" ht="26.1" customHeight="1">
      <c r="A85" s="403">
        <v>82</v>
      </c>
      <c r="B85" s="944" t="s">
        <v>622</v>
      </c>
      <c r="C85" s="944" t="s">
        <v>911</v>
      </c>
      <c r="D85" s="911" t="str">
        <f t="shared" si="1"/>
        <v>Ecole</v>
      </c>
      <c r="E85" s="404" t="s">
        <v>340</v>
      </c>
      <c r="F85" s="914" t="s">
        <v>1538</v>
      </c>
      <c r="G85" s="405" t="s">
        <v>1291</v>
      </c>
    </row>
    <row r="86" spans="1:7" ht="26.1" customHeight="1">
      <c r="A86" s="403">
        <v>83</v>
      </c>
      <c r="B86" s="944" t="s">
        <v>622</v>
      </c>
      <c r="C86" s="944" t="s">
        <v>912</v>
      </c>
      <c r="D86" s="911" t="str">
        <f t="shared" si="1"/>
        <v>Commerce</v>
      </c>
      <c r="E86" s="404" t="s">
        <v>237</v>
      </c>
      <c r="F86" s="914" t="s">
        <v>1539</v>
      </c>
      <c r="G86" s="405" t="s">
        <v>1292</v>
      </c>
    </row>
    <row r="87" spans="1:7" ht="26.1" customHeight="1">
      <c r="A87" s="403">
        <v>84</v>
      </c>
      <c r="B87" s="944" t="s">
        <v>622</v>
      </c>
      <c r="C87" s="944" t="s">
        <v>913</v>
      </c>
      <c r="D87" s="911" t="str">
        <f t="shared" si="1"/>
        <v>Restaurant</v>
      </c>
      <c r="E87" s="404" t="s">
        <v>832</v>
      </c>
      <c r="F87" s="914" t="s">
        <v>832</v>
      </c>
      <c r="G87" s="405" t="s">
        <v>1293</v>
      </c>
    </row>
    <row r="88" spans="1:7" ht="26.1" customHeight="1">
      <c r="A88" s="403">
        <v>85</v>
      </c>
      <c r="B88" s="944" t="s">
        <v>622</v>
      </c>
      <c r="C88" s="944" t="s">
        <v>914</v>
      </c>
      <c r="D88" s="911" t="str">
        <f t="shared" si="1"/>
        <v>Lieu de rassemblement</v>
      </c>
      <c r="E88" s="404" t="s">
        <v>833</v>
      </c>
      <c r="F88" s="914" t="s">
        <v>1540</v>
      </c>
      <c r="G88" s="405" t="s">
        <v>1294</v>
      </c>
    </row>
    <row r="89" spans="1:7" ht="25.9" customHeight="1">
      <c r="A89" s="403">
        <v>86</v>
      </c>
      <c r="B89" s="944" t="s">
        <v>622</v>
      </c>
      <c r="C89" s="944" t="s">
        <v>915</v>
      </c>
      <c r="D89" s="911" t="str">
        <f t="shared" si="1"/>
        <v>Hôpital</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Entrepôt</v>
      </c>
      <c r="E91" s="404" t="s">
        <v>239</v>
      </c>
      <c r="F91" s="914" t="s">
        <v>1542</v>
      </c>
      <c r="G91" s="405" t="s">
        <v>1296</v>
      </c>
    </row>
    <row r="92" spans="1:7" ht="25.9" customHeight="1">
      <c r="A92" s="403">
        <v>89</v>
      </c>
      <c r="B92" s="944" t="s">
        <v>622</v>
      </c>
      <c r="C92" s="944" t="s">
        <v>918</v>
      </c>
      <c r="D92" s="911" t="str">
        <f t="shared" si="1"/>
        <v>Installation sportive</v>
      </c>
      <c r="E92" s="404" t="s">
        <v>240</v>
      </c>
      <c r="F92" s="914" t="s">
        <v>1543</v>
      </c>
      <c r="G92" s="405" t="s">
        <v>1297</v>
      </c>
    </row>
    <row r="93" spans="1:7" ht="25.9" customHeight="1">
      <c r="A93" s="403">
        <v>90</v>
      </c>
      <c r="B93" s="944" t="s">
        <v>622</v>
      </c>
      <c r="C93" s="944" t="s">
        <v>919</v>
      </c>
      <c r="D93" s="911" t="str">
        <f t="shared" si="1"/>
        <v>Piscine couverte</v>
      </c>
      <c r="E93" s="404" t="s">
        <v>796</v>
      </c>
      <c r="F93" s="914" t="s">
        <v>1544</v>
      </c>
      <c r="G93" s="405" t="s">
        <v>1298</v>
      </c>
    </row>
    <row r="94" spans="1:7" ht="26.1" customHeight="1">
      <c r="A94" s="403">
        <v>91</v>
      </c>
      <c r="B94" s="944" t="s">
        <v>622</v>
      </c>
      <c r="C94" s="944" t="s">
        <v>920</v>
      </c>
      <c r="D94" s="911" t="str">
        <f t="shared" si="1"/>
        <v>Pas de ventilation</v>
      </c>
      <c r="E94" s="404" t="s">
        <v>808</v>
      </c>
      <c r="F94" s="914" t="s">
        <v>1545</v>
      </c>
      <c r="G94" s="405" t="s">
        <v>1299</v>
      </c>
    </row>
    <row r="95" spans="1:7" ht="26.1" customHeight="1">
      <c r="A95" s="403">
        <v>92</v>
      </c>
      <c r="B95" s="944" t="s">
        <v>622</v>
      </c>
      <c r="C95" s="944" t="s">
        <v>921</v>
      </c>
      <c r="D95" s="911" t="str">
        <f t="shared" si="1"/>
        <v>FOU/REP sans RC</v>
      </c>
      <c r="E95" s="404" t="s">
        <v>814</v>
      </c>
      <c r="F95" s="914" t="s">
        <v>3698</v>
      </c>
      <c r="G95" s="405" t="s">
        <v>1300</v>
      </c>
    </row>
    <row r="96" spans="1:7" ht="26.1" customHeight="1">
      <c r="A96" s="403">
        <v>93</v>
      </c>
      <c r="B96" s="944" t="s">
        <v>622</v>
      </c>
      <c r="C96" s="944" t="s">
        <v>922</v>
      </c>
      <c r="D96" s="911" t="str">
        <f t="shared" si="1"/>
        <v>Double flux</v>
      </c>
      <c r="E96" s="404" t="s">
        <v>809</v>
      </c>
      <c r="F96" s="914" t="s">
        <v>1546</v>
      </c>
      <c r="G96" s="405" t="s">
        <v>1301</v>
      </c>
    </row>
    <row r="97" spans="1:7" ht="26.1" customHeight="1">
      <c r="A97" s="403">
        <v>94</v>
      </c>
      <c r="B97" s="944" t="s">
        <v>622</v>
      </c>
      <c r="C97" s="944" t="s">
        <v>923</v>
      </c>
      <c r="D97" s="911" t="str">
        <f t="shared" si="1"/>
        <v>FOU/REP+PAC</v>
      </c>
      <c r="E97" s="404" t="s">
        <v>812</v>
      </c>
      <c r="F97" s="914" t="s">
        <v>1547</v>
      </c>
      <c r="G97" s="405" t="s">
        <v>1302</v>
      </c>
    </row>
    <row r="98" spans="1:7" ht="26.1" customHeight="1">
      <c r="A98" s="403">
        <v>95</v>
      </c>
      <c r="B98" s="944" t="s">
        <v>622</v>
      </c>
      <c r="C98" s="944" t="s">
        <v>924</v>
      </c>
      <c r="D98" s="911" t="str">
        <f t="shared" si="1"/>
        <v>REP</v>
      </c>
      <c r="E98" s="404" t="s">
        <v>815</v>
      </c>
      <c r="F98" s="914" t="s">
        <v>1548</v>
      </c>
      <c r="G98" s="405" t="s">
        <v>1303</v>
      </c>
    </row>
    <row r="99" spans="1:7" ht="26.1" customHeight="1">
      <c r="A99" s="403">
        <v>96</v>
      </c>
      <c r="B99" s="944" t="s">
        <v>622</v>
      </c>
      <c r="C99" s="944" t="s">
        <v>925</v>
      </c>
      <c r="D99" s="911" t="str">
        <f t="shared" si="1"/>
        <v>REP+PAC</v>
      </c>
      <c r="E99" s="404" t="s">
        <v>813</v>
      </c>
      <c r="F99" s="914" t="s">
        <v>1549</v>
      </c>
      <c r="G99" s="405" t="s">
        <v>1304</v>
      </c>
    </row>
    <row r="100" spans="1:7" ht="26.1" customHeight="1">
      <c r="A100" s="403">
        <v>97</v>
      </c>
      <c r="B100" s="944" t="s">
        <v>622</v>
      </c>
      <c r="C100" s="944" t="s">
        <v>926</v>
      </c>
      <c r="D100" s="911" t="str">
        <f t="shared" si="1"/>
        <v>Par Local</v>
      </c>
      <c r="E100" s="404" t="s">
        <v>460</v>
      </c>
      <c r="F100" s="914" t="s">
        <v>3697</v>
      </c>
      <c r="G100" s="405" t="s">
        <v>1305</v>
      </c>
    </row>
    <row r="101" spans="1:7" ht="26.1" customHeight="1">
      <c r="A101" s="403">
        <v>98</v>
      </c>
      <c r="B101" s="944" t="s">
        <v>622</v>
      </c>
      <c r="C101" s="944" t="s">
        <v>927</v>
      </c>
      <c r="D101" s="911" t="str">
        <f t="shared" si="1"/>
        <v>Fen. auto</v>
      </c>
      <c r="E101" s="404" t="s">
        <v>461</v>
      </c>
      <c r="F101" s="914" t="s">
        <v>1550</v>
      </c>
      <c r="G101" s="405" t="s">
        <v>1306</v>
      </c>
    </row>
    <row r="102" spans="1:7" ht="26.1" customHeight="1">
      <c r="A102" s="403">
        <v>99</v>
      </c>
      <c r="B102" s="944" t="s">
        <v>622</v>
      </c>
      <c r="C102" s="944" t="s">
        <v>928</v>
      </c>
      <c r="D102" s="911" t="str">
        <f t="shared" si="1"/>
        <v>Pas de récup.</v>
      </c>
      <c r="E102" s="404" t="s">
        <v>214</v>
      </c>
      <c r="F102" s="914" t="s">
        <v>1551</v>
      </c>
      <c r="G102" s="405" t="s">
        <v>1307</v>
      </c>
    </row>
    <row r="103" spans="1:7" ht="26.1" customHeight="1">
      <c r="A103" s="924">
        <v>100</v>
      </c>
      <c r="B103" s="944" t="s">
        <v>622</v>
      </c>
      <c r="C103" s="944" t="s">
        <v>929</v>
      </c>
      <c r="D103" s="925" t="str">
        <f t="shared" si="1"/>
        <v>Courant croisé</v>
      </c>
      <c r="E103" s="404" t="s">
        <v>352</v>
      </c>
      <c r="F103" s="914" t="s">
        <v>1552</v>
      </c>
      <c r="G103" s="928" t="s">
        <v>1308</v>
      </c>
    </row>
    <row r="104" spans="1:7" s="929" customFormat="1" ht="26.1" customHeight="1">
      <c r="A104" s="403">
        <v>101</v>
      </c>
      <c r="B104" s="944" t="s">
        <v>622</v>
      </c>
      <c r="C104" s="944" t="s">
        <v>930</v>
      </c>
      <c r="D104" s="911" t="str">
        <f t="shared" si="1"/>
        <v>Contre-courant</v>
      </c>
      <c r="E104" s="404" t="s">
        <v>353</v>
      </c>
      <c r="F104" s="914" t="s">
        <v>1553</v>
      </c>
      <c r="G104" s="405" t="s">
        <v>1309</v>
      </c>
    </row>
    <row r="105" spans="1:7" ht="26.1" customHeight="1">
      <c r="A105" s="473">
        <v>102</v>
      </c>
      <c r="B105" s="944" t="s">
        <v>622</v>
      </c>
      <c r="C105" s="944" t="s">
        <v>931</v>
      </c>
      <c r="D105" s="912" t="str">
        <f t="shared" si="1"/>
        <v>Rotatif</v>
      </c>
      <c r="E105" s="404" t="s">
        <v>631</v>
      </c>
      <c r="F105" s="914" t="s">
        <v>1554</v>
      </c>
      <c r="G105" s="475" t="s">
        <v>1310</v>
      </c>
    </row>
    <row r="106" spans="1:7" ht="26.1" customHeight="1">
      <c r="A106" s="403">
        <v>103</v>
      </c>
      <c r="B106" s="944" t="s">
        <v>622</v>
      </c>
      <c r="C106" s="944" t="s">
        <v>932</v>
      </c>
      <c r="D106" s="911" t="str">
        <f t="shared" si="1"/>
        <v>Circulation-KVS</v>
      </c>
      <c r="E106" s="404" t="s">
        <v>131</v>
      </c>
      <c r="F106" s="914" t="s">
        <v>1555</v>
      </c>
      <c r="G106" s="405" t="s">
        <v>1311</v>
      </c>
    </row>
    <row r="107" spans="1:7" ht="26.1" customHeight="1">
      <c r="A107" s="403">
        <v>104</v>
      </c>
      <c r="B107" s="944" t="s">
        <v>622</v>
      </c>
      <c r="C107" s="944" t="s">
        <v>933</v>
      </c>
      <c r="D107" s="911" t="str">
        <f t="shared" si="1"/>
        <v>Moteur AC</v>
      </c>
      <c r="E107" s="404" t="s">
        <v>643</v>
      </c>
      <c r="F107" s="914" t="s">
        <v>1556</v>
      </c>
      <c r="G107" s="405" t="s">
        <v>1312</v>
      </c>
    </row>
    <row r="108" spans="1:7" ht="26.1" customHeight="1">
      <c r="A108" s="403">
        <v>105</v>
      </c>
      <c r="B108" s="944" t="s">
        <v>622</v>
      </c>
      <c r="C108" s="944" t="s">
        <v>934</v>
      </c>
      <c r="D108" s="911" t="str">
        <f t="shared" si="1"/>
        <v>Moteur DC/EC</v>
      </c>
      <c r="E108" s="404" t="s">
        <v>644</v>
      </c>
      <c r="F108" s="914" t="s">
        <v>1557</v>
      </c>
      <c r="G108" s="405" t="s">
        <v>1313</v>
      </c>
    </row>
    <row r="109" spans="1:7" ht="26.1" customHeight="1">
      <c r="A109" s="403">
        <v>106</v>
      </c>
      <c r="B109" s="944" t="s">
        <v>706</v>
      </c>
      <c r="C109" s="944" t="s">
        <v>3892</v>
      </c>
      <c r="D109" s="911" t="str">
        <f t="shared" si="1"/>
        <v>Taux de couverture trop haut</v>
      </c>
      <c r="E109" s="404" t="s">
        <v>25</v>
      </c>
      <c r="F109" s="914" t="s">
        <v>540</v>
      </c>
      <c r="G109" s="405" t="s">
        <v>1314</v>
      </c>
    </row>
    <row r="110" spans="1:7" ht="26.1" customHeight="1">
      <c r="A110" s="403">
        <v>107</v>
      </c>
      <c r="D110" s="911" t="str">
        <f t="shared" si="1"/>
        <v>Chauffage choisi</v>
      </c>
      <c r="E110" s="404" t="s">
        <v>26</v>
      </c>
      <c r="F110" s="914" t="s">
        <v>541</v>
      </c>
      <c r="G110" s="405" t="s">
        <v>1315</v>
      </c>
    </row>
    <row r="111" spans="1:7" ht="26.1" customHeight="1">
      <c r="A111" s="403">
        <v>108</v>
      </c>
      <c r="D111" s="911" t="str">
        <f t="shared" si="1"/>
        <v>Eau chaude choisie</v>
      </c>
      <c r="E111" s="404" t="s">
        <v>27</v>
      </c>
      <c r="F111" s="914" t="s">
        <v>542</v>
      </c>
      <c r="G111" s="405" t="s">
        <v>1316</v>
      </c>
    </row>
    <row r="112" spans="1:7" ht="26.1" customHeight="1">
      <c r="A112" s="403">
        <v>109</v>
      </c>
      <c r="D112" s="911" t="str">
        <f t="shared" si="1"/>
        <v>Calcul annexé</v>
      </c>
      <c r="E112" s="404" t="s">
        <v>28</v>
      </c>
      <c r="F112" s="914" t="s">
        <v>543</v>
      </c>
      <c r="G112" s="405" t="s">
        <v>1317</v>
      </c>
    </row>
    <row r="113" spans="1:7" ht="26.1" customHeight="1">
      <c r="A113" s="403">
        <v>110</v>
      </c>
      <c r="D113" s="911" t="str">
        <f t="shared" si="1"/>
        <v>Choisir un chauffage électrique complémentaire de l'ECS</v>
      </c>
      <c r="E113" s="404" t="s">
        <v>187</v>
      </c>
      <c r="F113" s="914" t="s">
        <v>544</v>
      </c>
      <c r="G113" s="405" t="s">
        <v>1318</v>
      </c>
    </row>
    <row r="114" spans="1:7" ht="26.1" customHeight="1">
      <c r="A114" s="403">
        <v>111</v>
      </c>
      <c r="D114" s="911" t="str">
        <f t="shared" si="1"/>
        <v>Calcul externe annexé</v>
      </c>
      <c r="E114" s="404" t="s">
        <v>448</v>
      </c>
      <c r="F114" s="914" t="s">
        <v>537</v>
      </c>
      <c r="G114" s="405" t="s">
        <v>1319</v>
      </c>
    </row>
    <row r="115" spans="1:7" ht="35.25" customHeight="1">
      <c r="A115" s="924">
        <v>112</v>
      </c>
      <c r="B115" s="946"/>
      <c r="C115" s="946"/>
      <c r="D115" s="925" t="str">
        <f t="shared" si="1"/>
        <v>Remarque: dans la feuille 'Entrée' une installation de ventilation avec PAC intégrée a été choisie
-&gt; choisir une PAC avec air fourni comme mode de production de chaleur</v>
      </c>
      <c r="E115" s="404" t="s">
        <v>262</v>
      </c>
      <c r="F115" s="914" t="s">
        <v>154</v>
      </c>
      <c r="G115" s="928" t="s">
        <v>1320</v>
      </c>
    </row>
    <row r="116" spans="1:7" s="929" customFormat="1" ht="25.9" customHeight="1">
      <c r="A116" s="403">
        <v>113</v>
      </c>
      <c r="B116" s="944" t="s">
        <v>53</v>
      </c>
      <c r="C116" s="944" t="s">
        <v>949</v>
      </c>
      <c r="D116" s="911" t="str">
        <f t="shared" si="1"/>
        <v>1) Joindre un calcul externe et introduire les valeurs aux cellules F40 - I43</v>
      </c>
      <c r="E116" s="926" t="s">
        <v>1117</v>
      </c>
      <c r="F116" s="927" t="s">
        <v>1118</v>
      </c>
      <c r="G116" s="405" t="s">
        <v>1321</v>
      </c>
    </row>
    <row r="117" spans="1:7" ht="25.9" customHeight="1">
      <c r="A117" s="473">
        <v>114</v>
      </c>
      <c r="B117" s="944" t="s">
        <v>53</v>
      </c>
      <c r="C117" s="913" t="s">
        <v>1205</v>
      </c>
      <c r="D117" s="912" t="str">
        <f t="shared" si="1"/>
        <v>EGID:</v>
      </c>
      <c r="E117" s="404" t="s">
        <v>1206</v>
      </c>
      <c r="F117" s="914" t="s">
        <v>1322</v>
      </c>
      <c r="G117" s="475" t="s">
        <v>1322</v>
      </c>
    </row>
    <row r="118" spans="1:7" ht="25.9" customHeight="1">
      <c r="A118" s="403">
        <v>115</v>
      </c>
      <c r="B118" s="944" t="s">
        <v>622</v>
      </c>
      <c r="C118" s="944" t="s">
        <v>54</v>
      </c>
      <c r="D118" s="911" t="str">
        <f t="shared" si="1"/>
        <v>Argovie</v>
      </c>
      <c r="E118" s="404" t="s">
        <v>610</v>
      </c>
      <c r="F118" s="914" t="s">
        <v>558</v>
      </c>
      <c r="G118" s="405" t="s">
        <v>1323</v>
      </c>
    </row>
    <row r="119" spans="1:7" ht="25.9" customHeight="1">
      <c r="A119" s="403">
        <v>116</v>
      </c>
      <c r="B119" s="944" t="s">
        <v>622</v>
      </c>
      <c r="C119" s="944" t="s">
        <v>55</v>
      </c>
      <c r="D119" s="911" t="str">
        <f t="shared" si="1"/>
        <v>Appenzell Rhodes-Intérieures</v>
      </c>
      <c r="E119" s="404" t="s">
        <v>611</v>
      </c>
      <c r="F119" s="914" t="s">
        <v>559</v>
      </c>
      <c r="G119" s="405" t="s">
        <v>1324</v>
      </c>
    </row>
    <row r="120" spans="1:7" ht="25.9" customHeight="1">
      <c r="A120" s="403">
        <v>117</v>
      </c>
      <c r="B120" s="944" t="s">
        <v>622</v>
      </c>
      <c r="C120" s="944" t="s">
        <v>56</v>
      </c>
      <c r="D120" s="911" t="str">
        <f t="shared" si="1"/>
        <v>Appenzell Rhodes-Extérieures</v>
      </c>
      <c r="E120" s="404" t="s">
        <v>612</v>
      </c>
      <c r="F120" s="914" t="s">
        <v>1721</v>
      </c>
      <c r="G120" s="405" t="s">
        <v>1325</v>
      </c>
    </row>
    <row r="121" spans="1:7" ht="25.9" customHeight="1">
      <c r="A121" s="403">
        <v>118</v>
      </c>
      <c r="B121" s="944" t="s">
        <v>622</v>
      </c>
      <c r="C121" s="944" t="s">
        <v>57</v>
      </c>
      <c r="D121" s="911" t="str">
        <f t="shared" si="1"/>
        <v>Berne</v>
      </c>
      <c r="E121" s="404" t="s">
        <v>280</v>
      </c>
      <c r="F121" s="914" t="s">
        <v>560</v>
      </c>
      <c r="G121" s="405" t="s">
        <v>1326</v>
      </c>
    </row>
    <row r="122" spans="1:7" ht="25.9" customHeight="1">
      <c r="A122" s="403">
        <v>119</v>
      </c>
      <c r="B122" s="944" t="s">
        <v>622</v>
      </c>
      <c r="C122" s="944" t="s">
        <v>58</v>
      </c>
      <c r="D122" s="911" t="str">
        <f t="shared" si="1"/>
        <v>Bâle-Campagne</v>
      </c>
      <c r="E122" s="404" t="s">
        <v>613</v>
      </c>
      <c r="F122" s="914" t="s">
        <v>561</v>
      </c>
      <c r="G122" s="405" t="s">
        <v>1327</v>
      </c>
    </row>
    <row r="123" spans="1:7" ht="25.9" customHeight="1">
      <c r="A123" s="403">
        <v>120</v>
      </c>
      <c r="B123" s="944" t="s">
        <v>622</v>
      </c>
      <c r="C123" s="944" t="s">
        <v>59</v>
      </c>
      <c r="D123" s="911" t="str">
        <f t="shared" si="1"/>
        <v>Bâle-Ville</v>
      </c>
      <c r="E123" s="404" t="s">
        <v>614</v>
      </c>
      <c r="F123" s="914" t="s">
        <v>562</v>
      </c>
      <c r="G123" s="405" t="s">
        <v>1328</v>
      </c>
    </row>
    <row r="124" spans="1:7" ht="25.9" customHeight="1">
      <c r="A124" s="403">
        <v>121</v>
      </c>
      <c r="B124" s="944" t="s">
        <v>622</v>
      </c>
      <c r="C124" s="944" t="s">
        <v>60</v>
      </c>
      <c r="D124" s="911" t="str">
        <f t="shared" si="1"/>
        <v>Fribourg</v>
      </c>
      <c r="E124" s="404" t="s">
        <v>283</v>
      </c>
      <c r="F124" s="914" t="s">
        <v>283</v>
      </c>
      <c r="G124" s="405" t="s">
        <v>1329</v>
      </c>
    </row>
    <row r="125" spans="1:7" ht="25.9" customHeight="1">
      <c r="A125" s="403">
        <v>122</v>
      </c>
      <c r="B125" s="944" t="s">
        <v>622</v>
      </c>
      <c r="C125" s="944" t="s">
        <v>61</v>
      </c>
      <c r="D125" s="911" t="str">
        <f t="shared" si="1"/>
        <v>Genève</v>
      </c>
      <c r="E125" s="404" t="s">
        <v>284</v>
      </c>
      <c r="F125" s="914" t="s">
        <v>284</v>
      </c>
      <c r="G125" s="405" t="s">
        <v>1330</v>
      </c>
    </row>
    <row r="126" spans="1:7" ht="25.9" customHeight="1">
      <c r="A126" s="403">
        <v>123</v>
      </c>
      <c r="B126" s="944" t="s">
        <v>622</v>
      </c>
      <c r="C126" s="944" t="s">
        <v>62</v>
      </c>
      <c r="D126" s="911" t="str">
        <f t="shared" si="1"/>
        <v>Glaris</v>
      </c>
      <c r="E126" s="404" t="s">
        <v>288</v>
      </c>
      <c r="F126" s="914" t="s">
        <v>563</v>
      </c>
      <c r="G126" s="405" t="s">
        <v>1331</v>
      </c>
    </row>
    <row r="127" spans="1:7" ht="25.9" customHeight="1">
      <c r="A127" s="403">
        <v>124</v>
      </c>
      <c r="B127" s="944" t="s">
        <v>622</v>
      </c>
      <c r="C127" s="944" t="s">
        <v>63</v>
      </c>
      <c r="D127" s="911" t="str">
        <f t="shared" si="1"/>
        <v>Grisons</v>
      </c>
      <c r="E127" s="404" t="s">
        <v>453</v>
      </c>
      <c r="F127" s="914" t="s">
        <v>1722</v>
      </c>
      <c r="G127" s="405" t="s">
        <v>1332</v>
      </c>
    </row>
    <row r="128" spans="1:7" ht="25.9" customHeight="1">
      <c r="A128" s="403">
        <v>125</v>
      </c>
      <c r="B128" s="944" t="s">
        <v>622</v>
      </c>
      <c r="C128" s="944" t="s">
        <v>863</v>
      </c>
      <c r="D128" s="911" t="str">
        <f t="shared" si="1"/>
        <v>Jura</v>
      </c>
      <c r="E128" s="404" t="s">
        <v>435</v>
      </c>
      <c r="F128" s="914" t="s">
        <v>435</v>
      </c>
      <c r="G128" s="405" t="s">
        <v>1333</v>
      </c>
    </row>
    <row r="129" spans="1:7" ht="25.9" customHeight="1">
      <c r="A129" s="403">
        <v>126</v>
      </c>
      <c r="B129" s="944" t="s">
        <v>622</v>
      </c>
      <c r="C129" s="944" t="s">
        <v>64</v>
      </c>
      <c r="D129" s="911" t="str">
        <f t="shared" si="1"/>
        <v>Lucerne</v>
      </c>
      <c r="E129" s="404" t="s">
        <v>281</v>
      </c>
      <c r="F129" s="914" t="s">
        <v>564</v>
      </c>
      <c r="G129" s="405" t="s">
        <v>1334</v>
      </c>
    </row>
    <row r="130" spans="1:7" ht="25.9" customHeight="1">
      <c r="A130" s="403">
        <v>127</v>
      </c>
      <c r="B130" s="944" t="s">
        <v>622</v>
      </c>
      <c r="C130" s="944" t="s">
        <v>65</v>
      </c>
      <c r="D130" s="911" t="str">
        <f t="shared" si="1"/>
        <v>Neuchâtel</v>
      </c>
      <c r="E130" s="404" t="s">
        <v>436</v>
      </c>
      <c r="F130" s="914" t="s">
        <v>287</v>
      </c>
      <c r="G130" s="405" t="s">
        <v>287</v>
      </c>
    </row>
    <row r="131" spans="1:7" ht="25.9" customHeight="1">
      <c r="A131" s="403">
        <v>128</v>
      </c>
      <c r="B131" s="944" t="s">
        <v>622</v>
      </c>
      <c r="C131" s="944" t="s">
        <v>66</v>
      </c>
      <c r="D131" s="911" t="str">
        <f t="shared" si="1"/>
        <v>Nidwald</v>
      </c>
      <c r="E131" s="404" t="s">
        <v>451</v>
      </c>
      <c r="F131" s="914" t="s">
        <v>565</v>
      </c>
      <c r="G131" s="405" t="s">
        <v>1335</v>
      </c>
    </row>
    <row r="132" spans="1:7" ht="25.9" customHeight="1">
      <c r="A132" s="403">
        <v>129</v>
      </c>
      <c r="B132" s="944" t="s">
        <v>622</v>
      </c>
      <c r="C132" s="944" t="s">
        <v>67</v>
      </c>
      <c r="D132" s="911" t="str">
        <f t="shared" si="1"/>
        <v>Obwald</v>
      </c>
      <c r="E132" s="404" t="s">
        <v>450</v>
      </c>
      <c r="F132" s="914" t="s">
        <v>566</v>
      </c>
      <c r="G132" s="405" t="s">
        <v>1336</v>
      </c>
    </row>
    <row r="133" spans="1:7" ht="25.9" customHeight="1">
      <c r="A133" s="403">
        <v>130</v>
      </c>
      <c r="B133" s="944" t="s">
        <v>622</v>
      </c>
      <c r="C133" s="944" t="s">
        <v>68</v>
      </c>
      <c r="D133" s="911" t="str">
        <f t="shared" ref="D133:D196" si="2">INDEX($E$4:$G$503,$A133,$A$1)</f>
        <v>St-Gall</v>
      </c>
      <c r="E133" s="404" t="s">
        <v>276</v>
      </c>
      <c r="F133" s="914" t="s">
        <v>567</v>
      </c>
      <c r="G133" s="405" t="s">
        <v>1337</v>
      </c>
    </row>
    <row r="134" spans="1:7" ht="25.9" customHeight="1">
      <c r="A134" s="403">
        <v>131</v>
      </c>
      <c r="B134" s="944" t="s">
        <v>622</v>
      </c>
      <c r="C134" s="944" t="s">
        <v>69</v>
      </c>
      <c r="D134" s="911" t="str">
        <f t="shared" si="2"/>
        <v>Schaffhouse</v>
      </c>
      <c r="E134" s="404" t="s">
        <v>274</v>
      </c>
      <c r="F134" s="914" t="s">
        <v>568</v>
      </c>
      <c r="G134" s="405" t="s">
        <v>1338</v>
      </c>
    </row>
    <row r="135" spans="1:7" ht="25.9" customHeight="1">
      <c r="A135" s="403">
        <v>132</v>
      </c>
      <c r="B135" s="944" t="s">
        <v>622</v>
      </c>
      <c r="C135" s="944" t="s">
        <v>70</v>
      </c>
      <c r="D135" s="911" t="str">
        <f t="shared" si="2"/>
        <v>Soleure</v>
      </c>
      <c r="E135" s="404" t="s">
        <v>263</v>
      </c>
      <c r="F135" s="914" t="s">
        <v>569</v>
      </c>
      <c r="G135" s="405" t="s">
        <v>1339</v>
      </c>
    </row>
    <row r="136" spans="1:7" ht="25.9" customHeight="1">
      <c r="A136" s="403">
        <v>133</v>
      </c>
      <c r="B136" s="944" t="s">
        <v>622</v>
      </c>
      <c r="C136" s="944" t="s">
        <v>71</v>
      </c>
      <c r="D136" s="911" t="str">
        <f t="shared" si="2"/>
        <v>Schwytz</v>
      </c>
      <c r="E136" s="404" t="s">
        <v>449</v>
      </c>
      <c r="F136" s="914" t="s">
        <v>570</v>
      </c>
      <c r="G136" s="405" t="s">
        <v>1340</v>
      </c>
    </row>
    <row r="137" spans="1:7" ht="25.9" customHeight="1">
      <c r="A137" s="403">
        <v>134</v>
      </c>
      <c r="B137" s="944" t="s">
        <v>622</v>
      </c>
      <c r="C137" s="944" t="s">
        <v>72</v>
      </c>
      <c r="D137" s="911" t="str">
        <f t="shared" si="2"/>
        <v>Thurgovie</v>
      </c>
      <c r="E137" s="404" t="s">
        <v>434</v>
      </c>
      <c r="F137" s="914" t="s">
        <v>571</v>
      </c>
      <c r="G137" s="405" t="s">
        <v>1341</v>
      </c>
    </row>
    <row r="138" spans="1:7" ht="25.9" customHeight="1">
      <c r="A138" s="403">
        <v>135</v>
      </c>
      <c r="B138" s="944" t="s">
        <v>622</v>
      </c>
      <c r="C138" s="944" t="s">
        <v>73</v>
      </c>
      <c r="D138" s="911" t="str">
        <f t="shared" si="2"/>
        <v>Tessin</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Vaud</v>
      </c>
      <c r="E140" s="404" t="s">
        <v>615</v>
      </c>
      <c r="F140" s="914" t="s">
        <v>572</v>
      </c>
      <c r="G140" s="405" t="s">
        <v>572</v>
      </c>
    </row>
    <row r="141" spans="1:7" ht="25.9" customHeight="1">
      <c r="A141" s="403">
        <v>138</v>
      </c>
      <c r="B141" s="944" t="s">
        <v>622</v>
      </c>
      <c r="C141" s="944" t="s">
        <v>76</v>
      </c>
      <c r="D141" s="911" t="str">
        <f t="shared" si="2"/>
        <v>Valais</v>
      </c>
      <c r="E141" s="404" t="s">
        <v>431</v>
      </c>
      <c r="F141" s="914" t="s">
        <v>573</v>
      </c>
      <c r="G141" s="405" t="s">
        <v>1343</v>
      </c>
    </row>
    <row r="142" spans="1:7" ht="25.9" customHeight="1">
      <c r="A142" s="403">
        <v>139</v>
      </c>
      <c r="B142" s="944" t="s">
        <v>622</v>
      </c>
      <c r="C142" s="944" t="s">
        <v>77</v>
      </c>
      <c r="D142" s="911" t="str">
        <f t="shared" si="2"/>
        <v>Zoug</v>
      </c>
      <c r="E142" s="404" t="s">
        <v>432</v>
      </c>
      <c r="F142" s="914" t="s">
        <v>574</v>
      </c>
      <c r="G142" s="405" t="s">
        <v>1344</v>
      </c>
    </row>
    <row r="143" spans="1:7" ht="25.9" customHeight="1">
      <c r="A143" s="403">
        <v>140</v>
      </c>
      <c r="B143" s="944" t="s">
        <v>622</v>
      </c>
      <c r="C143" s="944" t="s">
        <v>78</v>
      </c>
      <c r="D143" s="911" t="str">
        <f t="shared" si="2"/>
        <v>Zurich</v>
      </c>
      <c r="E143" s="404" t="s">
        <v>433</v>
      </c>
      <c r="F143" s="914" t="s">
        <v>575</v>
      </c>
      <c r="G143" s="405" t="s">
        <v>1345</v>
      </c>
    </row>
    <row r="144" spans="1:7" ht="25.9" customHeight="1">
      <c r="A144" s="403">
        <v>141</v>
      </c>
      <c r="B144" s="944" t="s">
        <v>622</v>
      </c>
      <c r="C144" s="944" t="s">
        <v>79</v>
      </c>
      <c r="D144" s="911" t="str">
        <f t="shared" si="2"/>
        <v>Principauté du Liechtenstein</v>
      </c>
      <c r="E144" s="404" t="s">
        <v>616</v>
      </c>
      <c r="F144" s="914" t="s">
        <v>576</v>
      </c>
      <c r="G144" s="405" t="s">
        <v>1346</v>
      </c>
    </row>
    <row r="145" spans="1:7" ht="25.9" customHeight="1">
      <c r="A145" s="403">
        <v>142</v>
      </c>
      <c r="B145" s="944" t="s">
        <v>622</v>
      </c>
      <c r="C145" s="944" t="s">
        <v>548</v>
      </c>
      <c r="D145" s="911" t="str">
        <f t="shared" si="2"/>
        <v>spécial</v>
      </c>
      <c r="E145" s="404" t="s">
        <v>547</v>
      </c>
      <c r="F145" s="914" t="s">
        <v>577</v>
      </c>
      <c r="G145" s="405" t="s">
        <v>1347</v>
      </c>
    </row>
    <row r="146" spans="1:7" ht="25.9" customHeight="1">
      <c r="A146" s="403">
        <v>143</v>
      </c>
      <c r="B146" s="944" t="s">
        <v>53</v>
      </c>
      <c r="C146" s="944" t="s">
        <v>935</v>
      </c>
      <c r="D146" s="911" t="str">
        <f t="shared" si="2"/>
        <v>Signature</v>
      </c>
      <c r="E146" s="404" t="s">
        <v>762</v>
      </c>
      <c r="F146" s="914" t="s">
        <v>1558</v>
      </c>
      <c r="G146" s="405" t="s">
        <v>1348</v>
      </c>
    </row>
    <row r="147" spans="1:7" ht="25.9" customHeight="1">
      <c r="A147" s="403">
        <v>144</v>
      </c>
      <c r="B147" s="944" t="s">
        <v>53</v>
      </c>
      <c r="C147" s="944" t="s">
        <v>936</v>
      </c>
      <c r="D147" s="911" t="str">
        <f t="shared" si="2"/>
        <v>Justificatif établi par:</v>
      </c>
      <c r="E147" s="404" t="s">
        <v>763</v>
      </c>
      <c r="F147" s="914" t="s">
        <v>1559</v>
      </c>
      <c r="G147" s="405" t="s">
        <v>1349</v>
      </c>
    </row>
    <row r="148" spans="1:7" ht="25.9" customHeight="1">
      <c r="A148" s="403">
        <v>145</v>
      </c>
      <c r="B148" s="944" t="s">
        <v>53</v>
      </c>
      <c r="C148" s="944" t="s">
        <v>937</v>
      </c>
      <c r="D148" s="911" t="str">
        <f t="shared" si="2"/>
        <v>Contrôle du justificatif/Contrôle privé:</v>
      </c>
      <c r="E148" s="404" t="s">
        <v>764</v>
      </c>
      <c r="F148" s="914" t="s">
        <v>1560</v>
      </c>
      <c r="G148" s="405" t="s">
        <v>1350</v>
      </c>
    </row>
    <row r="149" spans="1:7" ht="25.9" customHeight="1">
      <c r="A149" s="403">
        <v>146</v>
      </c>
      <c r="B149" s="944" t="s">
        <v>53</v>
      </c>
      <c r="C149" s="944" t="s">
        <v>938</v>
      </c>
      <c r="D149" s="911" t="str">
        <f t="shared" si="2"/>
        <v>Certifié complet et correct</v>
      </c>
      <c r="E149" s="404" t="s">
        <v>765</v>
      </c>
      <c r="F149" s="914" t="s">
        <v>1561</v>
      </c>
      <c r="G149" s="405" t="s">
        <v>1351</v>
      </c>
    </row>
    <row r="150" spans="1:7" ht="25.9" customHeight="1">
      <c r="A150" s="403">
        <v>147</v>
      </c>
      <c r="B150" s="944" t="s">
        <v>53</v>
      </c>
      <c r="C150" s="944" t="s">
        <v>939</v>
      </c>
      <c r="D150" s="911" t="str">
        <f t="shared" si="2"/>
        <v>Nom et adresse</v>
      </c>
      <c r="E150" s="404" t="s">
        <v>766</v>
      </c>
      <c r="F150" s="914" t="s">
        <v>1562</v>
      </c>
      <c r="G150" s="405" t="s">
        <v>1352</v>
      </c>
    </row>
    <row r="151" spans="1:7" ht="25.9" customHeight="1">
      <c r="A151" s="403">
        <v>148</v>
      </c>
      <c r="B151" s="944" t="s">
        <v>53</v>
      </c>
      <c r="C151" s="944" t="s">
        <v>940</v>
      </c>
      <c r="D151" s="911" t="str">
        <f t="shared" si="2"/>
        <v>ou tampon de l'entreprise</v>
      </c>
      <c r="E151" s="404" t="s">
        <v>767</v>
      </c>
      <c r="F151" s="914" t="s">
        <v>1563</v>
      </c>
      <c r="G151" s="405" t="s">
        <v>1353</v>
      </c>
    </row>
    <row r="152" spans="1:7" ht="25.9" customHeight="1">
      <c r="A152" s="403">
        <v>149</v>
      </c>
      <c r="B152" s="944" t="s">
        <v>53</v>
      </c>
      <c r="C152" s="944" t="s">
        <v>941</v>
      </c>
      <c r="D152" s="911" t="str">
        <f t="shared" si="2"/>
        <v>Responsable, tél.:</v>
      </c>
      <c r="E152" s="404" t="s">
        <v>768</v>
      </c>
      <c r="F152" s="914" t="s">
        <v>1564</v>
      </c>
      <c r="G152" s="405" t="s">
        <v>1354</v>
      </c>
    </row>
    <row r="153" spans="1:7" ht="25.9" customHeight="1">
      <c r="A153" s="403">
        <v>150</v>
      </c>
      <c r="B153" s="944" t="s">
        <v>53</v>
      </c>
      <c r="C153" s="944" t="s">
        <v>944</v>
      </c>
      <c r="D153" s="911" t="str">
        <f t="shared" si="2"/>
        <v>Lieu, date, signature:</v>
      </c>
      <c r="E153" s="404" t="s">
        <v>769</v>
      </c>
      <c r="F153" s="914" t="s">
        <v>1565</v>
      </c>
      <c r="G153" s="405" t="s">
        <v>1355</v>
      </c>
    </row>
    <row r="154" spans="1:7" ht="25.9" customHeight="1">
      <c r="A154" s="403">
        <v>151</v>
      </c>
      <c r="B154" s="944" t="s">
        <v>53</v>
      </c>
      <c r="C154" s="944" t="s">
        <v>945</v>
      </c>
      <c r="D154" s="911" t="str">
        <f t="shared" si="2"/>
        <v>Contrôle d'exécution</v>
      </c>
      <c r="E154" s="404" t="s">
        <v>770</v>
      </c>
      <c r="F154" s="914" t="s">
        <v>1566</v>
      </c>
      <c r="G154" s="405" t="s">
        <v>1356</v>
      </c>
    </row>
    <row r="155" spans="1:7" ht="25.9" customHeight="1">
      <c r="A155" s="403">
        <v>152</v>
      </c>
      <c r="B155" s="944" t="s">
        <v>53</v>
      </c>
      <c r="C155" s="944" t="s">
        <v>947</v>
      </c>
      <c r="D155" s="911" t="str">
        <f t="shared" si="2"/>
        <v>même personne</v>
      </c>
      <c r="E155" s="404" t="s">
        <v>778</v>
      </c>
      <c r="F155" s="914" t="s">
        <v>1567</v>
      </c>
      <c r="G155" s="405" t="s">
        <v>1357</v>
      </c>
    </row>
    <row r="156" spans="1:7" ht="25.9" customHeight="1">
      <c r="A156" s="934">
        <v>153</v>
      </c>
      <c r="B156" s="947" t="s">
        <v>53</v>
      </c>
      <c r="C156" s="947" t="s">
        <v>948</v>
      </c>
      <c r="D156" s="935" t="str">
        <f t="shared" si="2"/>
        <v>ou:</v>
      </c>
      <c r="E156" s="936" t="s">
        <v>779</v>
      </c>
      <c r="F156" s="937" t="s">
        <v>1568</v>
      </c>
      <c r="G156" s="938" t="s">
        <v>1358</v>
      </c>
    </row>
    <row r="157" spans="1:7" ht="25.9" customHeight="1">
      <c r="A157" s="473">
        <v>154</v>
      </c>
      <c r="B157" s="944" t="s">
        <v>622</v>
      </c>
      <c r="C157" s="944" t="s">
        <v>950</v>
      </c>
      <c r="D157" s="912" t="str">
        <f t="shared" si="2"/>
        <v>Chaudière à mazout</v>
      </c>
      <c r="E157" s="474" t="s">
        <v>203</v>
      </c>
      <c r="F157" s="916" t="s">
        <v>1569</v>
      </c>
      <c r="G157" s="475" t="s">
        <v>1359</v>
      </c>
    </row>
    <row r="158" spans="1:7" ht="25.9" customHeight="1">
      <c r="A158" s="403">
        <v>155</v>
      </c>
      <c r="B158" s="944" t="s">
        <v>622</v>
      </c>
      <c r="C158" s="944" t="s">
        <v>951</v>
      </c>
      <c r="D158" s="911" t="str">
        <f t="shared" si="2"/>
        <v>Chaudière à mazout à condensation, que chauffage</v>
      </c>
      <c r="E158" s="404" t="s">
        <v>86</v>
      </c>
      <c r="F158" s="914" t="s">
        <v>1570</v>
      </c>
      <c r="G158" s="405" t="s">
        <v>1360</v>
      </c>
    </row>
    <row r="159" spans="1:7" ht="25.9" customHeight="1">
      <c r="A159" s="403">
        <v>156</v>
      </c>
      <c r="B159" s="944" t="s">
        <v>622</v>
      </c>
      <c r="C159" s="944" t="s">
        <v>952</v>
      </c>
      <c r="D159" s="911" t="str">
        <f t="shared" si="2"/>
        <v xml:space="preserve">Chaudière à mazout à condensation, qu'eau chaude </v>
      </c>
      <c r="E159" s="404" t="s">
        <v>87</v>
      </c>
      <c r="F159" s="914" t="s">
        <v>1571</v>
      </c>
      <c r="G159" s="405" t="s">
        <v>1361</v>
      </c>
    </row>
    <row r="160" spans="1:7" ht="25.9" customHeight="1">
      <c r="A160" s="403">
        <v>157</v>
      </c>
      <c r="B160" s="944" t="s">
        <v>622</v>
      </c>
      <c r="C160" s="944" t="s">
        <v>953</v>
      </c>
      <c r="D160" s="911" t="str">
        <f t="shared" si="2"/>
        <v>Chaudière à gaz</v>
      </c>
      <c r="E160" s="404" t="s">
        <v>204</v>
      </c>
      <c r="F160" s="914" t="s">
        <v>1572</v>
      </c>
      <c r="G160" s="405" t="s">
        <v>1362</v>
      </c>
    </row>
    <row r="161" spans="1:7" ht="25.9" customHeight="1">
      <c r="A161" s="403">
        <v>158</v>
      </c>
      <c r="B161" s="944" t="s">
        <v>622</v>
      </c>
      <c r="C161" s="944" t="s">
        <v>954</v>
      </c>
      <c r="D161" s="911" t="str">
        <f t="shared" si="2"/>
        <v>Chaudière à gaz à condensation, que chauffage</v>
      </c>
      <c r="E161" s="404" t="s">
        <v>88</v>
      </c>
      <c r="F161" s="914" t="s">
        <v>1573</v>
      </c>
      <c r="G161" s="405" t="s">
        <v>1363</v>
      </c>
    </row>
    <row r="162" spans="1:7" ht="25.9" customHeight="1">
      <c r="A162" s="403">
        <v>159</v>
      </c>
      <c r="B162" s="944" t="s">
        <v>622</v>
      </c>
      <c r="C162" s="944" t="s">
        <v>955</v>
      </c>
      <c r="D162" s="911" t="str">
        <f t="shared" si="2"/>
        <v>Chaudière à gaz à condensation, qu'eau chaude</v>
      </c>
      <c r="E162" s="404" t="s">
        <v>89</v>
      </c>
      <c r="F162" s="914" t="s">
        <v>1574</v>
      </c>
      <c r="G162" s="405" t="s">
        <v>1364</v>
      </c>
    </row>
    <row r="163" spans="1:7" ht="26.1" customHeight="1">
      <c r="A163" s="403">
        <v>160</v>
      </c>
      <c r="B163" s="944" t="s">
        <v>622</v>
      </c>
      <c r="C163" s="944" t="s">
        <v>956</v>
      </c>
      <c r="D163" s="911" t="str">
        <f t="shared" si="2"/>
        <v>Chauffe-eau à gaz</v>
      </c>
      <c r="E163" s="404" t="s">
        <v>205</v>
      </c>
      <c r="F163" s="914" t="s">
        <v>1575</v>
      </c>
      <c r="G163" s="405" t="s">
        <v>1365</v>
      </c>
    </row>
    <row r="164" spans="1:7" ht="26.1" customHeight="1">
      <c r="A164" s="403">
        <v>161</v>
      </c>
      <c r="B164" s="944" t="s">
        <v>622</v>
      </c>
      <c r="C164" s="944" t="s">
        <v>957</v>
      </c>
      <c r="D164" s="911" t="str">
        <f t="shared" si="2"/>
        <v>Chauffage au bois</v>
      </c>
      <c r="E164" s="404" t="s">
        <v>318</v>
      </c>
      <c r="F164" s="914" t="s">
        <v>1576</v>
      </c>
      <c r="G164" s="405" t="s">
        <v>1366</v>
      </c>
    </row>
    <row r="165" spans="1:7" ht="26.1" customHeight="1">
      <c r="A165" s="403">
        <v>162</v>
      </c>
      <c r="B165" s="944" t="s">
        <v>622</v>
      </c>
      <c r="C165" s="944" t="s">
        <v>958</v>
      </c>
      <c r="D165" s="911" t="str">
        <f t="shared" si="2"/>
        <v>Chauffage au pellets</v>
      </c>
      <c r="E165" s="404" t="s">
        <v>22</v>
      </c>
      <c r="F165" s="914" t="s">
        <v>1577</v>
      </c>
      <c r="G165" s="405" t="s">
        <v>1367</v>
      </c>
    </row>
    <row r="166" spans="1:7" ht="26.1" customHeight="1">
      <c r="A166" s="403">
        <v>163</v>
      </c>
      <c r="B166" s="944" t="s">
        <v>622</v>
      </c>
      <c r="C166" s="944" t="s">
        <v>959</v>
      </c>
      <c r="D166" s="911" t="str">
        <f t="shared" si="2"/>
        <v>Chaleur à distance (min. 50% énergies ren., rejets, CCF)</v>
      </c>
      <c r="E166" s="404" t="s">
        <v>1227</v>
      </c>
      <c r="F166" s="914" t="s">
        <v>1578</v>
      </c>
      <c r="G166" s="405" t="s">
        <v>1483</v>
      </c>
    </row>
    <row r="167" spans="1:7" ht="26.1" customHeight="1">
      <c r="A167" s="403">
        <v>164</v>
      </c>
      <c r="B167" s="944" t="s">
        <v>622</v>
      </c>
      <c r="C167" s="944" t="s">
        <v>960</v>
      </c>
      <c r="D167" s="911" t="str">
        <f t="shared" si="2"/>
        <v>Chauffage central électrique</v>
      </c>
      <c r="E167" s="404" t="s">
        <v>186</v>
      </c>
      <c r="F167" s="914" t="s">
        <v>1579</v>
      </c>
      <c r="G167" s="405" t="s">
        <v>1368</v>
      </c>
    </row>
    <row r="168" spans="1:7" ht="26.1" customHeight="1">
      <c r="A168" s="403">
        <v>165</v>
      </c>
      <c r="B168" s="944" t="s">
        <v>622</v>
      </c>
      <c r="C168" s="944" t="s">
        <v>961</v>
      </c>
      <c r="D168" s="911" t="str">
        <f t="shared" si="2"/>
        <v>Chauffage électrique direct</v>
      </c>
      <c r="E168" s="404" t="s">
        <v>45</v>
      </c>
      <c r="F168" s="914" t="s">
        <v>1580</v>
      </c>
      <c r="G168" s="405" t="s">
        <v>1369</v>
      </c>
    </row>
    <row r="169" spans="1:7" ht="26.1" customHeight="1">
      <c r="A169" s="403">
        <v>166</v>
      </c>
      <c r="B169" s="944" t="s">
        <v>622</v>
      </c>
      <c r="C169" s="944" t="s">
        <v>962</v>
      </c>
      <c r="D169" s="911" t="str">
        <f t="shared" si="2"/>
        <v>Chauffe-eau électrique</v>
      </c>
      <c r="E169" s="404" t="s">
        <v>145</v>
      </c>
      <c r="F169" s="914" t="s">
        <v>1581</v>
      </c>
      <c r="G169" s="405" t="s">
        <v>1370</v>
      </c>
    </row>
    <row r="170" spans="1:7" ht="26.1" customHeight="1">
      <c r="A170" s="403">
        <v>167</v>
      </c>
      <c r="B170" s="944" t="s">
        <v>622</v>
      </c>
      <c r="C170" s="944" t="s">
        <v>963</v>
      </c>
      <c r="D170" s="911" t="str">
        <f t="shared" si="2"/>
        <v>CCF (fossile) - part thermique et électrique</v>
      </c>
      <c r="E170" s="404" t="s">
        <v>707</v>
      </c>
      <c r="F170" s="914" t="s">
        <v>1582</v>
      </c>
      <c r="G170" s="405" t="s">
        <v>1371</v>
      </c>
    </row>
    <row r="171" spans="1:7" ht="26.1" customHeight="1">
      <c r="A171" s="403">
        <v>168</v>
      </c>
      <c r="B171" s="944" t="s">
        <v>622</v>
      </c>
      <c r="C171" s="944" t="s">
        <v>964</v>
      </c>
      <c r="D171" s="911" t="str">
        <f t="shared" si="2"/>
        <v>CCF (bois) - part thermique et électrique</v>
      </c>
      <c r="E171" s="404" t="s">
        <v>458</v>
      </c>
      <c r="F171" s="914" t="s">
        <v>1583</v>
      </c>
      <c r="G171" s="405" t="s">
        <v>1372</v>
      </c>
    </row>
    <row r="172" spans="1:7" ht="25.9" customHeight="1">
      <c r="A172" s="403">
        <v>169</v>
      </c>
      <c r="B172" s="944" t="s">
        <v>622</v>
      </c>
      <c r="C172" s="944" t="s">
        <v>965</v>
      </c>
      <c r="D172" s="911" t="str">
        <f t="shared" si="2"/>
        <v>Pompe à chaleur air-eau, que chauffage</v>
      </c>
      <c r="E172" s="404" t="s">
        <v>90</v>
      </c>
      <c r="F172" s="914" t="s">
        <v>1723</v>
      </c>
      <c r="G172" s="405" t="s">
        <v>2809</v>
      </c>
    </row>
    <row r="173" spans="1:7" ht="25.9" customHeight="1">
      <c r="A173" s="403">
        <v>170</v>
      </c>
      <c r="B173" s="944" t="s">
        <v>622</v>
      </c>
      <c r="C173" s="944" t="s">
        <v>966</v>
      </c>
      <c r="D173" s="911" t="str">
        <f t="shared" si="2"/>
        <v>Pompe à chaleur air-eau, qu'eau chaude</v>
      </c>
      <c r="E173" s="404" t="s">
        <v>91</v>
      </c>
      <c r="F173" s="914" t="s">
        <v>1724</v>
      </c>
      <c r="G173" s="405" t="s">
        <v>2810</v>
      </c>
    </row>
    <row r="174" spans="1:7" ht="25.9" customHeight="1">
      <c r="A174" s="403">
        <v>171</v>
      </c>
      <c r="B174" s="944" t="s">
        <v>622</v>
      </c>
      <c r="C174" s="944" t="s">
        <v>967</v>
      </c>
      <c r="D174" s="911" t="str">
        <f t="shared" si="2"/>
        <v>Pompe à chaleur géothermique, que chauffage</v>
      </c>
      <c r="E174" s="404" t="s">
        <v>92</v>
      </c>
      <c r="F174" s="914" t="s">
        <v>1584</v>
      </c>
      <c r="G174" s="405" t="s">
        <v>1373</v>
      </c>
    </row>
    <row r="175" spans="1:7" ht="26.1" customHeight="1">
      <c r="A175" s="403">
        <v>172</v>
      </c>
      <c r="B175" s="944" t="s">
        <v>622</v>
      </c>
      <c r="C175" s="944" t="s">
        <v>968</v>
      </c>
      <c r="D175" s="911" t="str">
        <f t="shared" si="2"/>
        <v>Pompe à chaleur géothermique, qu'eau chaude</v>
      </c>
      <c r="E175" s="404" t="s">
        <v>93</v>
      </c>
      <c r="F175" s="914" t="s">
        <v>1585</v>
      </c>
      <c r="G175" s="405" t="s">
        <v>1374</v>
      </c>
    </row>
    <row r="176" spans="1:7" ht="26.1" customHeight="1">
      <c r="A176" s="403">
        <v>173</v>
      </c>
      <c r="B176" s="944" t="s">
        <v>622</v>
      </c>
      <c r="C176" s="944" t="s">
        <v>969</v>
      </c>
      <c r="D176" s="911" t="str">
        <f t="shared" si="2"/>
        <v>Pompe à chaleur eau usée, que chauffage</v>
      </c>
      <c r="E176" s="404" t="s">
        <v>455</v>
      </c>
      <c r="F176" s="914" t="s">
        <v>1586</v>
      </c>
      <c r="G176" s="405" t="s">
        <v>1375</v>
      </c>
    </row>
    <row r="177" spans="1:7" ht="26.1" customHeight="1">
      <c r="A177" s="403">
        <v>174</v>
      </c>
      <c r="B177" s="944" t="s">
        <v>622</v>
      </c>
      <c r="C177" s="944" t="s">
        <v>970</v>
      </c>
      <c r="D177" s="911" t="str">
        <f t="shared" si="2"/>
        <v>Pompe à chaleur eau usée, qu'eau chaude</v>
      </c>
      <c r="E177" s="404" t="s">
        <v>456</v>
      </c>
      <c r="F177" s="914" t="s">
        <v>1587</v>
      </c>
      <c r="G177" s="405" t="s">
        <v>1376</v>
      </c>
    </row>
    <row r="178" spans="1:7" ht="26.1" customHeight="1">
      <c r="A178" s="403">
        <v>175</v>
      </c>
      <c r="B178" s="944" t="s">
        <v>622</v>
      </c>
      <c r="C178" s="944" t="s">
        <v>971</v>
      </c>
      <c r="D178" s="911" t="str">
        <f t="shared" si="2"/>
        <v>Pompe à chaleur eau-eau, que chauffage</v>
      </c>
      <c r="E178" s="404" t="s">
        <v>457</v>
      </c>
      <c r="F178" s="914" t="s">
        <v>1588</v>
      </c>
      <c r="G178" s="405" t="s">
        <v>2811</v>
      </c>
    </row>
    <row r="179" spans="1:7" ht="26.1" customHeight="1">
      <c r="A179" s="403">
        <v>176</v>
      </c>
      <c r="B179" s="944" t="s">
        <v>622</v>
      </c>
      <c r="C179" s="944" t="s">
        <v>972</v>
      </c>
      <c r="D179" s="911" t="str">
        <f t="shared" si="2"/>
        <v>Pompe à chaleur eau-eau, qu'eau chaude</v>
      </c>
      <c r="E179" s="404" t="s">
        <v>218</v>
      </c>
      <c r="F179" s="914" t="s">
        <v>1589</v>
      </c>
      <c r="G179" s="405" t="s">
        <v>2812</v>
      </c>
    </row>
    <row r="180" spans="1:7" ht="26.1" customHeight="1">
      <c r="A180" s="403">
        <v>177</v>
      </c>
      <c r="B180" s="944" t="s">
        <v>622</v>
      </c>
      <c r="C180" s="944" t="s">
        <v>973</v>
      </c>
      <c r="D180" s="911" t="str">
        <f t="shared" si="2"/>
        <v>Pompe à chaleur eau souterraine, directe, que chauffage</v>
      </c>
      <c r="E180" s="404" t="s">
        <v>219</v>
      </c>
      <c r="F180" s="914" t="s">
        <v>1590</v>
      </c>
      <c r="G180" s="405" t="s">
        <v>1377</v>
      </c>
    </row>
    <row r="181" spans="1:7" ht="26.1" customHeight="1">
      <c r="A181" s="403">
        <v>178</v>
      </c>
      <c r="B181" s="944" t="s">
        <v>622</v>
      </c>
      <c r="C181" s="944" t="s">
        <v>974</v>
      </c>
      <c r="D181" s="911" t="str">
        <f t="shared" si="2"/>
        <v>Pompe à chaleur eau souterraine, directe, qu'eau chaude</v>
      </c>
      <c r="E181" s="404" t="s">
        <v>220</v>
      </c>
      <c r="F181" s="914" t="s">
        <v>1591</v>
      </c>
      <c r="G181" s="405" t="s">
        <v>1378</v>
      </c>
    </row>
    <row r="182" spans="1:7" ht="26.1" customHeight="1">
      <c r="A182" s="403">
        <v>179</v>
      </c>
      <c r="B182" s="944" t="s">
        <v>622</v>
      </c>
      <c r="C182" s="944" t="s">
        <v>975</v>
      </c>
      <c r="D182" s="911" t="str">
        <f t="shared" si="2"/>
        <v>Pompe à chaleur eau souterraine, indirecte, que chauffage</v>
      </c>
      <c r="E182" s="404" t="s">
        <v>221</v>
      </c>
      <c r="F182" s="914" t="s">
        <v>1592</v>
      </c>
      <c r="G182" s="405" t="s">
        <v>1379</v>
      </c>
    </row>
    <row r="183" spans="1:7" ht="26.1" customHeight="1">
      <c r="A183" s="403">
        <v>180</v>
      </c>
      <c r="B183" s="944" t="s">
        <v>622</v>
      </c>
      <c r="C183" s="944" t="s">
        <v>976</v>
      </c>
      <c r="D183" s="911" t="str">
        <f t="shared" si="2"/>
        <v>Pompe à chaleur eau souterraine, indirecte, qu'eau chaude</v>
      </c>
      <c r="E183" s="404" t="s">
        <v>222</v>
      </c>
      <c r="F183" s="914" t="s">
        <v>1593</v>
      </c>
      <c r="G183" s="405" t="s">
        <v>1380</v>
      </c>
    </row>
    <row r="184" spans="1:7" ht="26.1" customHeight="1">
      <c r="A184" s="403">
        <v>181</v>
      </c>
      <c r="B184" s="944" t="s">
        <v>622</v>
      </c>
      <c r="C184" s="944" t="s">
        <v>977</v>
      </c>
      <c r="D184" s="911" t="str">
        <f t="shared" si="2"/>
        <v>Pompe à chaleur registre terrestre, que chauffage</v>
      </c>
      <c r="E184" s="404" t="s">
        <v>223</v>
      </c>
      <c r="F184" s="914" t="s">
        <v>1594</v>
      </c>
      <c r="G184" s="405" t="s">
        <v>1381</v>
      </c>
    </row>
    <row r="185" spans="1:7" ht="26.1" customHeight="1">
      <c r="A185" s="403">
        <v>182</v>
      </c>
      <c r="B185" s="944" t="s">
        <v>622</v>
      </c>
      <c r="C185" s="944" t="s">
        <v>978</v>
      </c>
      <c r="D185" s="911" t="str">
        <f t="shared" si="2"/>
        <v>Pompe à chaleur registre terrestre, qu'eau chaude</v>
      </c>
      <c r="E185" s="404" t="s">
        <v>224</v>
      </c>
      <c r="F185" s="914" t="s">
        <v>1595</v>
      </c>
      <c r="G185" s="405" t="s">
        <v>1382</v>
      </c>
    </row>
    <row r="186" spans="1:7" ht="26.1" customHeight="1">
      <c r="A186" s="403">
        <v>183</v>
      </c>
      <c r="B186" s="944" t="s">
        <v>622</v>
      </c>
      <c r="C186" s="944" t="s">
        <v>979</v>
      </c>
      <c r="D186" s="911" t="str">
        <f t="shared" si="2"/>
        <v>Capteurs solaires thermiques, que chauffage</v>
      </c>
      <c r="E186" s="404" t="s">
        <v>225</v>
      </c>
      <c r="F186" s="914" t="s">
        <v>1596</v>
      </c>
      <c r="G186" s="405" t="s">
        <v>1383</v>
      </c>
    </row>
    <row r="187" spans="1:7" ht="26.1" customHeight="1">
      <c r="A187" s="403">
        <v>184</v>
      </c>
      <c r="B187" s="944" t="s">
        <v>622</v>
      </c>
      <c r="C187" s="944" t="s">
        <v>980</v>
      </c>
      <c r="D187" s="911" t="str">
        <f t="shared" si="2"/>
        <v>Capteurs solaires thermiques, qu'eau chaude</v>
      </c>
      <c r="E187" s="404" t="s">
        <v>226</v>
      </c>
      <c r="F187" s="914" t="s">
        <v>1597</v>
      </c>
      <c r="G187" s="405" t="s">
        <v>1384</v>
      </c>
    </row>
    <row r="188" spans="1:7" ht="26.1" customHeight="1">
      <c r="A188" s="403">
        <v>185</v>
      </c>
      <c r="B188" s="944" t="s">
        <v>622</v>
      </c>
      <c r="C188" s="944" t="s">
        <v>981</v>
      </c>
      <c r="D188" s="911" t="str">
        <f t="shared" si="2"/>
        <v>Capteurs solaires thermiques, chauffage et eau chaude</v>
      </c>
      <c r="E188" s="404" t="s">
        <v>147</v>
      </c>
      <c r="F188" s="914" t="s">
        <v>1598</v>
      </c>
      <c r="G188" s="405" t="s">
        <v>1385</v>
      </c>
    </row>
    <row r="189" spans="1:7" ht="26.1" customHeight="1">
      <c r="A189" s="403">
        <v>186</v>
      </c>
      <c r="B189" s="944" t="s">
        <v>622</v>
      </c>
      <c r="C189" s="944" t="s">
        <v>982</v>
      </c>
      <c r="D189" s="911" t="str">
        <f t="shared" si="2"/>
        <v>Installation photovoltaïque</v>
      </c>
      <c r="E189" s="404" t="s">
        <v>319</v>
      </c>
      <c r="F189" s="914" t="s">
        <v>1599</v>
      </c>
      <c r="G189" s="405" t="s">
        <v>1386</v>
      </c>
    </row>
    <row r="190" spans="1:7" ht="26.1" customHeight="1">
      <c r="A190" s="403">
        <v>187</v>
      </c>
      <c r="B190" s="944" t="s">
        <v>622</v>
      </c>
      <c r="C190" s="944" t="s">
        <v>983</v>
      </c>
      <c r="D190" s="911" t="str">
        <f t="shared" si="2"/>
        <v>Rejets thermiques issus de climatisation</v>
      </c>
      <c r="E190" s="404" t="s">
        <v>3654</v>
      </c>
      <c r="F190" s="1862" t="s">
        <v>3661</v>
      </c>
      <c r="G190" s="1863" t="s">
        <v>3662</v>
      </c>
    </row>
    <row r="191" spans="1:7" ht="26.1" customHeight="1">
      <c r="A191" s="403">
        <v>188</v>
      </c>
      <c r="B191" s="944" t="s">
        <v>622</v>
      </c>
      <c r="C191" s="944" t="s">
        <v>984</v>
      </c>
      <c r="D191" s="911" t="str">
        <f t="shared" si="2"/>
        <v>Rejets thermiques issus de froid industriel</v>
      </c>
      <c r="E191" s="404" t="s">
        <v>3655</v>
      </c>
      <c r="F191" s="1862" t="s">
        <v>2314</v>
      </c>
      <c r="G191" s="1863" t="s">
        <v>2408</v>
      </c>
    </row>
    <row r="192" spans="1:7" ht="26.1" customHeight="1">
      <c r="A192" s="403">
        <v>189</v>
      </c>
      <c r="B192" s="944" t="s">
        <v>622</v>
      </c>
      <c r="C192" s="944" t="s">
        <v>985</v>
      </c>
      <c r="D192" s="911" t="str">
        <f t="shared" si="2"/>
        <v>Aération avec PAC air repris/fourni et récup. de chaleur</v>
      </c>
      <c r="E192" s="404" t="s">
        <v>373</v>
      </c>
      <c r="F192" s="914" t="s">
        <v>578</v>
      </c>
      <c r="G192" s="405" t="s">
        <v>1389</v>
      </c>
    </row>
    <row r="193" spans="1:7" ht="26.1" customHeight="1">
      <c r="A193" s="403">
        <v>190</v>
      </c>
      <c r="B193" s="944" t="s">
        <v>622</v>
      </c>
      <c r="C193" s="944" t="s">
        <v>986</v>
      </c>
      <c r="D193" s="925" t="str">
        <f t="shared" si="2"/>
        <v>Aération avec PAC air repris/fourni sans récup. de chaleur</v>
      </c>
      <c r="E193" s="404" t="s">
        <v>372</v>
      </c>
      <c r="F193" s="914" t="s">
        <v>579</v>
      </c>
      <c r="G193" s="405" t="s">
        <v>1390</v>
      </c>
    </row>
    <row r="194" spans="1:7" ht="26.1" customHeight="1">
      <c r="A194" s="939">
        <v>191</v>
      </c>
      <c r="B194" s="944" t="s">
        <v>622</v>
      </c>
      <c r="C194" s="944" t="s">
        <v>987</v>
      </c>
      <c r="D194" s="911" t="str">
        <f t="shared" si="2"/>
        <v>Aération air repris avec PAC (sans air fourni)</v>
      </c>
      <c r="E194" s="404" t="s">
        <v>351</v>
      </c>
      <c r="F194" s="914" t="s">
        <v>580</v>
      </c>
      <c r="G194" s="405" t="s">
        <v>1391</v>
      </c>
    </row>
    <row r="195" spans="1:7" ht="26.1" customHeight="1">
      <c r="A195" s="403">
        <v>192</v>
      </c>
      <c r="B195" s="944" t="s">
        <v>622</v>
      </c>
      <c r="C195" s="944" t="s">
        <v>988</v>
      </c>
      <c r="D195" s="912" t="str">
        <f t="shared" si="2"/>
        <v>PAC compacte avec air fourni/repris avec récup. de chaleur</v>
      </c>
      <c r="E195" s="404" t="s">
        <v>358</v>
      </c>
      <c r="F195" s="914" t="s">
        <v>1602</v>
      </c>
      <c r="G195" s="405" t="s">
        <v>1392</v>
      </c>
    </row>
    <row r="196" spans="1:7" ht="26.1" customHeight="1">
      <c r="A196" s="403">
        <v>193</v>
      </c>
      <c r="B196" s="944" t="s">
        <v>622</v>
      </c>
      <c r="C196" s="944" t="s">
        <v>989</v>
      </c>
      <c r="D196" s="911" t="str">
        <f t="shared" si="2"/>
        <v>PAC compacte avec air fourni/repris sans récup. de chaleur (que chauffage)</v>
      </c>
      <c r="E196" s="404" t="s">
        <v>370</v>
      </c>
      <c r="F196" s="914" t="s">
        <v>1603</v>
      </c>
      <c r="G196" s="405" t="s">
        <v>1393</v>
      </c>
    </row>
    <row r="197" spans="1:7" ht="26.1" customHeight="1">
      <c r="A197" s="403">
        <v>194</v>
      </c>
      <c r="B197" s="944" t="s">
        <v>622</v>
      </c>
      <c r="C197" s="944" t="s">
        <v>990</v>
      </c>
      <c r="D197" s="911" t="str">
        <f t="shared" ref="D197:D260" si="3">INDEX($E$4:$G$503,$A197,$A$1)</f>
        <v>PAC compacte avec air fourni/repris sans récup. de chaleur (qu'eau chaude)</v>
      </c>
      <c r="E197" s="404" t="s">
        <v>371</v>
      </c>
      <c r="F197" s="914" t="s">
        <v>1604</v>
      </c>
      <c r="G197" s="405" t="s">
        <v>1394</v>
      </c>
    </row>
    <row r="198" spans="1:7" ht="26.1" customHeight="1">
      <c r="A198" s="403">
        <v>195</v>
      </c>
      <c r="B198" s="944" t="s">
        <v>622</v>
      </c>
      <c r="C198" s="944" t="s">
        <v>991</v>
      </c>
      <c r="D198" s="911" t="str">
        <f t="shared" si="3"/>
        <v>Biomasse, connectée au réseau hydraulique</v>
      </c>
      <c r="E198" s="404" t="s">
        <v>498</v>
      </c>
      <c r="F198" s="914" t="s">
        <v>158</v>
      </c>
      <c r="G198" s="405" t="s">
        <v>1395</v>
      </c>
    </row>
    <row r="199" spans="1:7" ht="26.1" customHeight="1">
      <c r="A199" s="403">
        <v>196</v>
      </c>
      <c r="B199" s="944" t="s">
        <v>622</v>
      </c>
      <c r="C199" s="944" t="s">
        <v>992</v>
      </c>
      <c r="D199" s="911" t="str">
        <f t="shared" si="3"/>
        <v>Chaleur à distance (max. 25% énergies ren., rejets, CCF)</v>
      </c>
      <c r="E199" s="404" t="s">
        <v>1225</v>
      </c>
      <c r="F199" s="914" t="s">
        <v>1605</v>
      </c>
      <c r="G199" s="405" t="s">
        <v>1484</v>
      </c>
    </row>
    <row r="200" spans="1:7" ht="26.1" customHeight="1">
      <c r="A200" s="403">
        <v>197</v>
      </c>
      <c r="B200" s="944" t="s">
        <v>622</v>
      </c>
      <c r="C200" s="944" t="s">
        <v>993</v>
      </c>
      <c r="D200" s="911" t="str">
        <f t="shared" si="3"/>
        <v>Chaleur à distance (min. 25% énergies ren., rejets, CCF)</v>
      </c>
      <c r="E200" s="404" t="s">
        <v>1224</v>
      </c>
      <c r="F200" s="914" t="s">
        <v>1606</v>
      </c>
      <c r="G200" s="405" t="s">
        <v>1485</v>
      </c>
    </row>
    <row r="201" spans="1:7" ht="26.1" customHeight="1">
      <c r="A201" s="403">
        <v>198</v>
      </c>
      <c r="B201" s="944" t="s">
        <v>622</v>
      </c>
      <c r="C201" s="944" t="s">
        <v>994</v>
      </c>
      <c r="D201" s="911" t="str">
        <f t="shared" si="3"/>
        <v>Chaleur à distance (min. 75% énergies ren., rejets, CCF)</v>
      </c>
      <c r="E201" s="404" t="s">
        <v>1223</v>
      </c>
      <c r="F201" s="914" t="s">
        <v>1607</v>
      </c>
      <c r="G201" s="405" t="s">
        <v>1486</v>
      </c>
    </row>
    <row r="202" spans="1:7" ht="26.1" customHeight="1">
      <c r="A202" s="403">
        <v>199</v>
      </c>
      <c r="B202" s="944" t="s">
        <v>622</v>
      </c>
      <c r="C202" s="944" t="s">
        <v>995</v>
      </c>
      <c r="D202" s="911" t="str">
        <f t="shared" si="3"/>
        <v>Chaudière à mazout</v>
      </c>
      <c r="E202" s="404" t="s">
        <v>203</v>
      </c>
      <c r="F202" s="914" t="s">
        <v>1569</v>
      </c>
      <c r="G202" s="405" t="s">
        <v>1359</v>
      </c>
    </row>
    <row r="203" spans="1:7" ht="26.1" customHeight="1">
      <c r="A203" s="403">
        <v>200</v>
      </c>
      <c r="B203" s="944" t="s">
        <v>622</v>
      </c>
      <c r="C203" s="944" t="s">
        <v>996</v>
      </c>
      <c r="D203" s="911" t="str">
        <f t="shared" si="3"/>
        <v>Chaudière à mazout à condensation</v>
      </c>
      <c r="E203" s="404" t="s">
        <v>471</v>
      </c>
      <c r="F203" s="914" t="s">
        <v>1608</v>
      </c>
      <c r="G203" s="405" t="s">
        <v>1396</v>
      </c>
    </row>
    <row r="204" spans="1:7" ht="26.1" customHeight="1">
      <c r="A204" s="403">
        <v>201</v>
      </c>
      <c r="B204" s="944" t="s">
        <v>622</v>
      </c>
      <c r="C204" s="944" t="s">
        <v>997</v>
      </c>
      <c r="D204" s="911" t="str">
        <f t="shared" si="3"/>
        <v xml:space="preserve">Chaudière à mazout à condensation. Eau chaude. </v>
      </c>
      <c r="E204" s="404" t="s">
        <v>472</v>
      </c>
      <c r="F204" s="914" t="s">
        <v>1609</v>
      </c>
      <c r="G204" s="405" t="s">
        <v>1397</v>
      </c>
    </row>
    <row r="205" spans="1:7" ht="26.1" customHeight="1">
      <c r="A205" s="403">
        <v>202</v>
      </c>
      <c r="B205" s="944" t="s">
        <v>622</v>
      </c>
      <c r="C205" s="944" t="s">
        <v>998</v>
      </c>
      <c r="D205" s="911" t="str">
        <f t="shared" si="3"/>
        <v>Chaudière à gaz</v>
      </c>
      <c r="E205" s="404" t="s">
        <v>204</v>
      </c>
      <c r="F205" s="914" t="s">
        <v>1572</v>
      </c>
      <c r="G205" s="405" t="s">
        <v>1362</v>
      </c>
    </row>
    <row r="206" spans="1:7" ht="26.1" customHeight="1">
      <c r="A206" s="403">
        <v>203</v>
      </c>
      <c r="B206" s="944" t="s">
        <v>622</v>
      </c>
      <c r="C206" s="944" t="s">
        <v>999</v>
      </c>
      <c r="D206" s="911" t="str">
        <f t="shared" si="3"/>
        <v>Chaudière à gaz à condensation</v>
      </c>
      <c r="E206" s="404" t="s">
        <v>473</v>
      </c>
      <c r="F206" s="914" t="s">
        <v>1610</v>
      </c>
      <c r="G206" s="405" t="s">
        <v>1398</v>
      </c>
    </row>
    <row r="207" spans="1:7" ht="26.1" customHeight="1">
      <c r="A207" s="403">
        <v>204</v>
      </c>
      <c r="B207" s="944" t="s">
        <v>622</v>
      </c>
      <c r="C207" s="944" t="s">
        <v>1000</v>
      </c>
      <c r="D207" s="911" t="str">
        <f t="shared" si="3"/>
        <v>Chaudière à gaz à condensation. Eau chaude</v>
      </c>
      <c r="E207" s="404" t="s">
        <v>474</v>
      </c>
      <c r="F207" s="914" t="s">
        <v>1611</v>
      </c>
      <c r="G207" s="405" t="s">
        <v>1399</v>
      </c>
    </row>
    <row r="208" spans="1:7" ht="26.1" customHeight="1">
      <c r="A208" s="403">
        <v>205</v>
      </c>
      <c r="B208" s="944" t="s">
        <v>622</v>
      </c>
      <c r="C208" s="944" t="s">
        <v>1001</v>
      </c>
      <c r="D208" s="911" t="str">
        <f t="shared" si="3"/>
        <v>Chauffe-eau à gaz</v>
      </c>
      <c r="E208" s="404" t="s">
        <v>205</v>
      </c>
      <c r="F208" s="914" t="s">
        <v>1575</v>
      </c>
      <c r="G208" s="405" t="s">
        <v>1365</v>
      </c>
    </row>
    <row r="209" spans="1:7" ht="26.1" customHeight="1">
      <c r="A209" s="403">
        <v>206</v>
      </c>
      <c r="B209" s="944" t="s">
        <v>622</v>
      </c>
      <c r="C209" s="944" t="s">
        <v>1002</v>
      </c>
      <c r="D209" s="911" t="str">
        <f t="shared" si="3"/>
        <v>Chauffage au bois</v>
      </c>
      <c r="E209" s="404" t="s">
        <v>318</v>
      </c>
      <c r="F209" s="914" t="s">
        <v>1576</v>
      </c>
      <c r="G209" s="405" t="s">
        <v>1400</v>
      </c>
    </row>
    <row r="210" spans="1:7" ht="26.1" customHeight="1">
      <c r="A210" s="403">
        <v>207</v>
      </c>
      <c r="B210" s="944" t="s">
        <v>622</v>
      </c>
      <c r="C210" s="944" t="s">
        <v>1003</v>
      </c>
      <c r="D210" s="911" t="str">
        <f t="shared" si="3"/>
        <v>Chauffage au pellets</v>
      </c>
      <c r="E210" s="404" t="s">
        <v>22</v>
      </c>
      <c r="F210" s="914" t="s">
        <v>1577</v>
      </c>
      <c r="G210" s="405" t="s">
        <v>1401</v>
      </c>
    </row>
    <row r="211" spans="1:7" ht="26.1" customHeight="1">
      <c r="A211" s="403">
        <v>208</v>
      </c>
      <c r="B211" s="944" t="s">
        <v>622</v>
      </c>
      <c r="C211" s="944" t="s">
        <v>1004</v>
      </c>
      <c r="D211" s="911" t="str">
        <f t="shared" si="3"/>
        <v>Chaleur à distance (min. 50% énergies ren.)</v>
      </c>
      <c r="E211" s="404" t="s">
        <v>1226</v>
      </c>
      <c r="F211" s="914" t="s">
        <v>1612</v>
      </c>
      <c r="G211" s="405" t="s">
        <v>1487</v>
      </c>
    </row>
    <row r="212" spans="1:7" ht="26.1" customHeight="1">
      <c r="A212" s="403">
        <v>209</v>
      </c>
      <c r="B212" s="944" t="s">
        <v>622</v>
      </c>
      <c r="C212" s="944" t="s">
        <v>1005</v>
      </c>
      <c r="D212" s="911" t="str">
        <f t="shared" si="3"/>
        <v>Chauffage central électrique</v>
      </c>
      <c r="E212" s="404" t="s">
        <v>186</v>
      </c>
      <c r="F212" s="914" t="s">
        <v>1579</v>
      </c>
      <c r="G212" s="405" t="s">
        <v>1368</v>
      </c>
    </row>
    <row r="213" spans="1:7" ht="26.1" customHeight="1">
      <c r="A213" s="403">
        <v>210</v>
      </c>
      <c r="B213" s="944" t="s">
        <v>622</v>
      </c>
      <c r="C213" s="944" t="s">
        <v>1006</v>
      </c>
      <c r="D213" s="911" t="str">
        <f t="shared" si="3"/>
        <v>Chauffage électrique direct</v>
      </c>
      <c r="E213" s="404" t="s">
        <v>45</v>
      </c>
      <c r="F213" s="914" t="s">
        <v>1580</v>
      </c>
      <c r="G213" s="405" t="s">
        <v>1369</v>
      </c>
    </row>
    <row r="214" spans="1:7" ht="26.1" customHeight="1">
      <c r="A214" s="403">
        <v>211</v>
      </c>
      <c r="B214" s="944" t="s">
        <v>622</v>
      </c>
      <c r="C214" s="944" t="s">
        <v>1007</v>
      </c>
      <c r="D214" s="911" t="str">
        <f t="shared" si="3"/>
        <v>Chauffe-eau électrique</v>
      </c>
      <c r="E214" s="404" t="s">
        <v>145</v>
      </c>
      <c r="F214" s="914" t="s">
        <v>1581</v>
      </c>
      <c r="G214" s="405" t="s">
        <v>1370</v>
      </c>
    </row>
    <row r="215" spans="1:7" ht="26.1" customHeight="1">
      <c r="A215" s="403">
        <v>212</v>
      </c>
      <c r="B215" s="944" t="s">
        <v>622</v>
      </c>
      <c r="C215" s="944" t="s">
        <v>1008</v>
      </c>
      <c r="D215" s="911" t="str">
        <f t="shared" si="3"/>
        <v>CCF (fossile) - part thermique et électrique</v>
      </c>
      <c r="E215" s="404" t="s">
        <v>383</v>
      </c>
      <c r="F215" s="914" t="s">
        <v>1582</v>
      </c>
      <c r="G215" s="405" t="s">
        <v>1402</v>
      </c>
    </row>
    <row r="216" spans="1:7" ht="26.1" customHeight="1">
      <c r="A216" s="403">
        <v>213</v>
      </c>
      <c r="B216" s="944" t="s">
        <v>622</v>
      </c>
      <c r="C216" s="944" t="s">
        <v>1009</v>
      </c>
      <c r="D216" s="911" t="str">
        <f t="shared" si="3"/>
        <v>CCF (bois) - part thermique et électrique</v>
      </c>
      <c r="E216" s="404" t="s">
        <v>459</v>
      </c>
      <c r="F216" s="914" t="s">
        <v>1583</v>
      </c>
      <c r="G216" s="405" t="s">
        <v>1403</v>
      </c>
    </row>
    <row r="217" spans="1:7" ht="26.1" customHeight="1">
      <c r="A217" s="403">
        <v>214</v>
      </c>
      <c r="B217" s="944" t="s">
        <v>622</v>
      </c>
      <c r="C217" s="944" t="s">
        <v>1010</v>
      </c>
      <c r="D217" s="911" t="str">
        <f t="shared" si="3"/>
        <v>Pompe à chaleur air-air, chauffage</v>
      </c>
      <c r="E217" s="404" t="s">
        <v>475</v>
      </c>
      <c r="F217" s="914" t="s">
        <v>1613</v>
      </c>
      <c r="G217" s="405" t="s">
        <v>1404</v>
      </c>
    </row>
    <row r="218" spans="1:7" ht="26.1" customHeight="1">
      <c r="A218" s="403">
        <v>215</v>
      </c>
      <c r="B218" s="944" t="s">
        <v>622</v>
      </c>
      <c r="C218" s="944" t="s">
        <v>1011</v>
      </c>
      <c r="D218" s="911" t="str">
        <f t="shared" si="3"/>
        <v>Pompe à chaleur air-air, eau chaude</v>
      </c>
      <c r="E218" s="404" t="s">
        <v>476</v>
      </c>
      <c r="F218" s="914" t="s">
        <v>1614</v>
      </c>
      <c r="G218" s="405" t="s">
        <v>1405</v>
      </c>
    </row>
    <row r="219" spans="1:7" ht="26.1" customHeight="1">
      <c r="A219" s="403">
        <v>216</v>
      </c>
      <c r="B219" s="944" t="s">
        <v>622</v>
      </c>
      <c r="C219" s="944" t="s">
        <v>1012</v>
      </c>
      <c r="D219" s="911" t="str">
        <f t="shared" si="3"/>
        <v>Pompe à chaleur géothermique, chauffage</v>
      </c>
      <c r="E219" s="404" t="s">
        <v>148</v>
      </c>
      <c r="F219" s="914" t="s">
        <v>1615</v>
      </c>
      <c r="G219" s="405" t="s">
        <v>1406</v>
      </c>
    </row>
    <row r="220" spans="1:7" ht="26.1" customHeight="1">
      <c r="A220" s="403">
        <v>217</v>
      </c>
      <c r="B220" s="944" t="s">
        <v>622</v>
      </c>
      <c r="C220" s="944" t="s">
        <v>1013</v>
      </c>
      <c r="D220" s="911" t="str">
        <f t="shared" si="3"/>
        <v>Pompe à chaleur géothermique, eau chaude</v>
      </c>
      <c r="E220" s="404" t="s">
        <v>149</v>
      </c>
      <c r="F220" s="914" t="s">
        <v>1616</v>
      </c>
      <c r="G220" s="405" t="s">
        <v>1407</v>
      </c>
    </row>
    <row r="221" spans="1:7" ht="26.1" customHeight="1">
      <c r="A221" s="403">
        <v>218</v>
      </c>
      <c r="B221" s="944" t="s">
        <v>622</v>
      </c>
      <c r="C221" s="944" t="s">
        <v>1014</v>
      </c>
      <c r="D221" s="911" t="str">
        <f t="shared" si="3"/>
        <v>Pompe à chaleur eau usée (directe), chauffage</v>
      </c>
      <c r="E221" s="404" t="s">
        <v>150</v>
      </c>
      <c r="F221" s="914" t="s">
        <v>1617</v>
      </c>
      <c r="G221" s="405" t="s">
        <v>1408</v>
      </c>
    </row>
    <row r="222" spans="1:7" ht="26.1" customHeight="1">
      <c r="A222" s="403">
        <v>219</v>
      </c>
      <c r="B222" s="944" t="s">
        <v>622</v>
      </c>
      <c r="C222" s="944" t="s">
        <v>1015</v>
      </c>
      <c r="D222" s="911" t="str">
        <f t="shared" si="3"/>
        <v>Pompe à chaleur eau usée directe, eau chaude</v>
      </c>
      <c r="E222" s="404" t="s">
        <v>151</v>
      </c>
      <c r="F222" s="914" t="s">
        <v>1618</v>
      </c>
      <c r="G222" s="405" t="s">
        <v>1409</v>
      </c>
    </row>
    <row r="223" spans="1:7" ht="26.1" customHeight="1">
      <c r="A223" s="403">
        <v>220</v>
      </c>
      <c r="B223" s="944" t="s">
        <v>622</v>
      </c>
      <c r="C223" s="944" t="s">
        <v>1016</v>
      </c>
      <c r="D223" s="911" t="str">
        <f t="shared" si="3"/>
        <v>Pompe à chaleur eau-eau, chauffage</v>
      </c>
      <c r="E223" s="404" t="s">
        <v>146</v>
      </c>
      <c r="F223" s="914" t="s">
        <v>1619</v>
      </c>
      <c r="G223" s="405" t="s">
        <v>1410</v>
      </c>
    </row>
    <row r="224" spans="1:7" ht="26.1" customHeight="1">
      <c r="A224" s="403">
        <v>221</v>
      </c>
      <c r="B224" s="944" t="s">
        <v>622</v>
      </c>
      <c r="C224" s="944" t="s">
        <v>1017</v>
      </c>
      <c r="D224" s="911" t="str">
        <f t="shared" si="3"/>
        <v>Pompe à chaleur eau-eau, eau chaude</v>
      </c>
      <c r="E224" s="404" t="s">
        <v>152</v>
      </c>
      <c r="F224" s="914" t="s">
        <v>1620</v>
      </c>
      <c r="G224" s="405" t="s">
        <v>1411</v>
      </c>
    </row>
    <row r="225" spans="1:7" ht="26.1" customHeight="1">
      <c r="A225" s="403">
        <v>222</v>
      </c>
      <c r="B225" s="944" t="s">
        <v>622</v>
      </c>
      <c r="C225" s="944" t="s">
        <v>1018</v>
      </c>
      <c r="D225" s="911" t="str">
        <f t="shared" si="3"/>
        <v>Pompe à chaleur eau souterraine, directe, chauffage</v>
      </c>
      <c r="E225" s="404" t="s">
        <v>520</v>
      </c>
      <c r="F225" s="914" t="s">
        <v>1621</v>
      </c>
      <c r="G225" s="405" t="s">
        <v>1412</v>
      </c>
    </row>
    <row r="226" spans="1:7" ht="26.1" customHeight="1">
      <c r="A226" s="403">
        <v>223</v>
      </c>
      <c r="B226" s="944" t="s">
        <v>622</v>
      </c>
      <c r="C226" s="944" t="s">
        <v>1019</v>
      </c>
      <c r="D226" s="911" t="str">
        <f t="shared" si="3"/>
        <v>Pompe à chaleur eau souterraine, directe, eau chaude</v>
      </c>
      <c r="E226" s="404" t="s">
        <v>521</v>
      </c>
      <c r="F226" s="914" t="s">
        <v>1622</v>
      </c>
      <c r="G226" s="405" t="s">
        <v>1413</v>
      </c>
    </row>
    <row r="227" spans="1:7" ht="26.1" customHeight="1">
      <c r="A227" s="403">
        <v>224</v>
      </c>
      <c r="B227" s="944" t="s">
        <v>622</v>
      </c>
      <c r="C227" s="944" t="s">
        <v>1020</v>
      </c>
      <c r="D227" s="911" t="str">
        <f t="shared" si="3"/>
        <v>Pompe à chaleur eau souterraine, indirecte, chauffage</v>
      </c>
      <c r="E227" s="404" t="s">
        <v>261</v>
      </c>
      <c r="F227" s="914" t="s">
        <v>1623</v>
      </c>
      <c r="G227" s="405" t="s">
        <v>1414</v>
      </c>
    </row>
    <row r="228" spans="1:7" ht="26.1" customHeight="1">
      <c r="A228" s="403">
        <v>225</v>
      </c>
      <c r="B228" s="944" t="s">
        <v>622</v>
      </c>
      <c r="C228" s="944" t="s">
        <v>1021</v>
      </c>
      <c r="D228" s="911" t="str">
        <f t="shared" si="3"/>
        <v>Pompe à chaleur eau souterraine, indirecte, eau chaude</v>
      </c>
      <c r="E228" s="404" t="s">
        <v>437</v>
      </c>
      <c r="F228" s="914" t="s">
        <v>1624</v>
      </c>
      <c r="G228" s="405" t="s">
        <v>1415</v>
      </c>
    </row>
    <row r="229" spans="1:7" ht="26.1" customHeight="1">
      <c r="A229" s="403">
        <v>226</v>
      </c>
      <c r="B229" s="944" t="s">
        <v>622</v>
      </c>
      <c r="C229" s="944" t="s">
        <v>1022</v>
      </c>
      <c r="D229" s="911" t="str">
        <f t="shared" si="3"/>
        <v>Pompe à chaleur registre terrestre, chauffage</v>
      </c>
      <c r="E229" s="404" t="s">
        <v>259</v>
      </c>
      <c r="F229" s="914" t="s">
        <v>1625</v>
      </c>
      <c r="G229" s="405" t="s">
        <v>1416</v>
      </c>
    </row>
    <row r="230" spans="1:7" ht="25.9" customHeight="1">
      <c r="A230" s="403">
        <v>227</v>
      </c>
      <c r="B230" s="944" t="s">
        <v>622</v>
      </c>
      <c r="C230" s="944" t="s">
        <v>1023</v>
      </c>
      <c r="D230" s="911" t="str">
        <f t="shared" si="3"/>
        <v>Pompe à chaleur registre terrestre, eau chaude</v>
      </c>
      <c r="E230" s="404" t="s">
        <v>260</v>
      </c>
      <c r="F230" s="914" t="s">
        <v>1626</v>
      </c>
      <c r="G230" s="405" t="s">
        <v>1417</v>
      </c>
    </row>
    <row r="231" spans="1:7" ht="25.9" customHeight="1">
      <c r="A231" s="403">
        <v>228</v>
      </c>
      <c r="B231" s="944" t="s">
        <v>622</v>
      </c>
      <c r="C231" s="944" t="s">
        <v>1024</v>
      </c>
      <c r="D231" s="911" t="str">
        <f t="shared" si="3"/>
        <v>Capteurs solaires thermiques, chauffage</v>
      </c>
      <c r="E231" s="404" t="s">
        <v>322</v>
      </c>
      <c r="F231" s="914" t="s">
        <v>1627</v>
      </c>
      <c r="G231" s="405" t="s">
        <v>1418</v>
      </c>
    </row>
    <row r="232" spans="1:7" ht="25.9" customHeight="1">
      <c r="A232" s="403">
        <v>229</v>
      </c>
      <c r="B232" s="944" t="s">
        <v>622</v>
      </c>
      <c r="C232" s="944" t="s">
        <v>1025</v>
      </c>
      <c r="D232" s="911" t="str">
        <f t="shared" si="3"/>
        <v>Capteurs solaires thermiques, eau chaude</v>
      </c>
      <c r="E232" s="404" t="s">
        <v>522</v>
      </c>
      <c r="F232" s="914" t="s">
        <v>1628</v>
      </c>
      <c r="G232" s="405" t="s">
        <v>1419</v>
      </c>
    </row>
    <row r="233" spans="1:7" ht="25.9" customHeight="1">
      <c r="A233" s="403">
        <v>230</v>
      </c>
      <c r="B233" s="944" t="s">
        <v>622</v>
      </c>
      <c r="C233" s="944" t="s">
        <v>1026</v>
      </c>
      <c r="D233" s="911" t="str">
        <f t="shared" si="3"/>
        <v>Capteurs solaires thermiques, chauffage et eau chaude</v>
      </c>
      <c r="E233" s="404" t="s">
        <v>523</v>
      </c>
      <c r="F233" s="914" t="s">
        <v>1598</v>
      </c>
      <c r="G233" s="405" t="s">
        <v>1420</v>
      </c>
    </row>
    <row r="234" spans="1:7" ht="25.9" customHeight="1">
      <c r="A234" s="403">
        <v>231</v>
      </c>
      <c r="B234" s="944" t="s">
        <v>622</v>
      </c>
      <c r="C234" s="944" t="s">
        <v>1027</v>
      </c>
      <c r="D234" s="911" t="str">
        <f t="shared" si="3"/>
        <v>Installation photovoltaïque</v>
      </c>
      <c r="E234" s="404" t="s">
        <v>319</v>
      </c>
      <c r="F234" s="914" t="s">
        <v>1599</v>
      </c>
      <c r="G234" s="405" t="s">
        <v>1386</v>
      </c>
    </row>
    <row r="235" spans="1:7" ht="25.9" customHeight="1">
      <c r="A235" s="403">
        <v>232</v>
      </c>
      <c r="B235" s="944" t="s">
        <v>622</v>
      </c>
      <c r="C235" s="944" t="s">
        <v>1028</v>
      </c>
      <c r="D235" s="911" t="str">
        <f t="shared" si="3"/>
        <v>Autre</v>
      </c>
      <c r="E235" s="404" t="s">
        <v>320</v>
      </c>
      <c r="F235" s="914" t="s">
        <v>1600</v>
      </c>
      <c r="G235" s="405" t="s">
        <v>1387</v>
      </c>
    </row>
    <row r="236" spans="1:7" ht="25.9" customHeight="1">
      <c r="A236" s="403">
        <v>233</v>
      </c>
      <c r="B236" s="944" t="s">
        <v>622</v>
      </c>
      <c r="C236" s="944" t="s">
        <v>1029</v>
      </c>
      <c r="D236" s="911" t="str">
        <f t="shared" si="3"/>
        <v>Report</v>
      </c>
      <c r="E236" s="404" t="s">
        <v>685</v>
      </c>
      <c r="F236" s="914" t="s">
        <v>1601</v>
      </c>
      <c r="G236" s="405" t="s">
        <v>1388</v>
      </c>
    </row>
    <row r="237" spans="1:7" ht="25.9" customHeight="1">
      <c r="A237" s="403">
        <v>234</v>
      </c>
      <c r="B237" s="944" t="s">
        <v>622</v>
      </c>
      <c r="C237" s="944" t="s">
        <v>1030</v>
      </c>
      <c r="D237" s="911" t="str">
        <f t="shared" si="3"/>
        <v>PAC air fourni/repris avec récup. de chaleur</v>
      </c>
      <c r="E237" s="404" t="s">
        <v>374</v>
      </c>
      <c r="F237" s="914" t="s">
        <v>585</v>
      </c>
      <c r="G237" s="405" t="s">
        <v>1389</v>
      </c>
    </row>
    <row r="238" spans="1:7" ht="25.9" customHeight="1">
      <c r="A238" s="403">
        <v>235</v>
      </c>
      <c r="B238" s="944" t="s">
        <v>622</v>
      </c>
      <c r="C238" s="944" t="s">
        <v>1031</v>
      </c>
      <c r="D238" s="911" t="str">
        <f t="shared" si="3"/>
        <v>PAC air fourni/repris sans récup. de chaleur</v>
      </c>
      <c r="E238" s="404" t="s">
        <v>375</v>
      </c>
      <c r="F238" s="914" t="s">
        <v>586</v>
      </c>
      <c r="G238" s="405" t="s">
        <v>1390</v>
      </c>
    </row>
    <row r="239" spans="1:7" ht="25.9" customHeight="1">
      <c r="A239" s="403">
        <v>236</v>
      </c>
      <c r="B239" s="944" t="s">
        <v>622</v>
      </c>
      <c r="C239" s="944" t="s">
        <v>1032</v>
      </c>
      <c r="D239" s="911" t="str">
        <f t="shared" si="3"/>
        <v>PAC air repris sans air fourni</v>
      </c>
      <c r="E239" s="404" t="s">
        <v>39</v>
      </c>
      <c r="F239" s="914" t="s">
        <v>587</v>
      </c>
      <c r="G239" s="405" t="s">
        <v>1421</v>
      </c>
    </row>
    <row r="240" spans="1:7" ht="25.9" customHeight="1">
      <c r="A240" s="403">
        <v>237</v>
      </c>
      <c r="B240" s="944" t="s">
        <v>622</v>
      </c>
      <c r="C240" s="944" t="s">
        <v>1033</v>
      </c>
      <c r="D240" s="911" t="str">
        <f t="shared" si="3"/>
        <v>PAC compacte avec récup. de chaleur</v>
      </c>
      <c r="E240" s="404" t="s">
        <v>376</v>
      </c>
      <c r="F240" s="914" t="s">
        <v>588</v>
      </c>
      <c r="G240" s="405" t="s">
        <v>1422</v>
      </c>
    </row>
    <row r="241" spans="1:7" ht="25.9" customHeight="1">
      <c r="A241" s="403">
        <v>238</v>
      </c>
      <c r="B241" s="944" t="s">
        <v>622</v>
      </c>
      <c r="C241" s="944" t="s">
        <v>1034</v>
      </c>
      <c r="D241" s="911" t="str">
        <f t="shared" si="3"/>
        <v>PAC compacte sans récup. de chaleur, chauffage</v>
      </c>
      <c r="E241" s="404" t="s">
        <v>377</v>
      </c>
      <c r="F241" s="914" t="s">
        <v>589</v>
      </c>
      <c r="G241" s="405" t="s">
        <v>1423</v>
      </c>
    </row>
    <row r="242" spans="1:7" ht="25.9" customHeight="1">
      <c r="A242" s="403">
        <v>239</v>
      </c>
      <c r="B242" s="944" t="s">
        <v>622</v>
      </c>
      <c r="C242" s="944" t="s">
        <v>1035</v>
      </c>
      <c r="D242" s="911" t="str">
        <f t="shared" si="3"/>
        <v>PAC compacte sans récup. de chaleur, eau chaude</v>
      </c>
      <c r="E242" s="404" t="s">
        <v>357</v>
      </c>
      <c r="F242" s="914" t="s">
        <v>1629</v>
      </c>
      <c r="G242" s="405" t="s">
        <v>1424</v>
      </c>
    </row>
    <row r="243" spans="1:7" ht="26.1" customHeight="1">
      <c r="A243" s="403">
        <v>240</v>
      </c>
      <c r="B243" s="944" t="s">
        <v>622</v>
      </c>
      <c r="C243" s="944" t="s">
        <v>1036</v>
      </c>
      <c r="D243" s="911" t="str">
        <f t="shared" si="3"/>
        <v>Biomasse, connectée</v>
      </c>
      <c r="E243" s="404" t="s">
        <v>497</v>
      </c>
      <c r="F243" s="914" t="s">
        <v>157</v>
      </c>
      <c r="G243" s="405" t="s">
        <v>1425</v>
      </c>
    </row>
    <row r="244" spans="1:7" ht="25.9" customHeight="1">
      <c r="A244" s="403">
        <v>241</v>
      </c>
      <c r="B244" s="944" t="s">
        <v>622</v>
      </c>
      <c r="C244" s="944" t="s">
        <v>1037</v>
      </c>
      <c r="D244" s="911" t="str">
        <f t="shared" si="3"/>
        <v>Chaleur à distance (&lt;=25% renouvelable)</v>
      </c>
      <c r="E244" s="404" t="s">
        <v>1220</v>
      </c>
      <c r="F244" s="914" t="s">
        <v>1630</v>
      </c>
      <c r="G244" s="405" t="s">
        <v>1488</v>
      </c>
    </row>
    <row r="245" spans="1:7" ht="25.9" customHeight="1">
      <c r="A245" s="403">
        <v>242</v>
      </c>
      <c r="B245" s="944" t="s">
        <v>622</v>
      </c>
      <c r="C245" s="944" t="s">
        <v>1038</v>
      </c>
      <c r="D245" s="911" t="str">
        <f t="shared" si="3"/>
        <v>Chaleur à distance (&gt;25% renouvelable)</v>
      </c>
      <c r="E245" s="404" t="s">
        <v>1222</v>
      </c>
      <c r="F245" s="914" t="s">
        <v>1631</v>
      </c>
      <c r="G245" s="405" t="s">
        <v>1489</v>
      </c>
    </row>
    <row r="246" spans="1:7" ht="25.9" customHeight="1">
      <c r="A246" s="403">
        <v>243</v>
      </c>
      <c r="B246" s="944" t="s">
        <v>622</v>
      </c>
      <c r="C246" s="944" t="s">
        <v>1039</v>
      </c>
      <c r="D246" s="911" t="str">
        <f t="shared" si="3"/>
        <v>Chaleur à distance (&gt;75% renouvelable)</v>
      </c>
      <c r="E246" s="404" t="s">
        <v>1221</v>
      </c>
      <c r="F246" s="914" t="s">
        <v>1632</v>
      </c>
      <c r="G246" s="405" t="s">
        <v>1490</v>
      </c>
    </row>
    <row r="247" spans="1:7" ht="25.9" customHeight="1">
      <c r="A247" s="403">
        <v>244</v>
      </c>
      <c r="B247" s="944" t="s">
        <v>622</v>
      </c>
      <c r="C247" s="944" t="s">
        <v>1230</v>
      </c>
      <c r="D247" s="911" t="str">
        <f t="shared" si="3"/>
        <v>L'électricité pour les PAC doit être pondérée double</v>
      </c>
      <c r="E247" s="404" t="s">
        <v>1231</v>
      </c>
      <c r="F247" s="914" t="s">
        <v>1685</v>
      </c>
      <c r="G247" s="405" t="s">
        <v>1491</v>
      </c>
    </row>
    <row r="248" spans="1:7" ht="25.9" customHeight="1">
      <c r="A248" s="403">
        <v>245</v>
      </c>
      <c r="B248" s="944" t="s">
        <v>313</v>
      </c>
      <c r="C248" s="944" t="s">
        <v>4013</v>
      </c>
      <c r="D248" s="911" t="str">
        <f t="shared" si="3"/>
        <v>Pondération</v>
      </c>
      <c r="E248" s="404" t="s">
        <v>236</v>
      </c>
      <c r="F248" s="914" t="s">
        <v>1662</v>
      </c>
      <c r="G248" s="405" t="s">
        <v>3528</v>
      </c>
    </row>
    <row r="249" spans="1:7" ht="25.9" customHeight="1">
      <c r="A249" s="403">
        <v>246</v>
      </c>
      <c r="B249" s="944" t="s">
        <v>622</v>
      </c>
      <c r="C249" s="944" t="s">
        <v>1041</v>
      </c>
      <c r="D249" s="911" t="str">
        <f t="shared" si="3"/>
        <v>Rendement électrique (joindre calcul)</v>
      </c>
      <c r="E249" s="404" t="s">
        <v>750</v>
      </c>
      <c r="F249" s="914" t="s">
        <v>1633</v>
      </c>
      <c r="G249" s="405" t="s">
        <v>1426</v>
      </c>
    </row>
    <row r="250" spans="1:7" ht="25.9" customHeight="1">
      <c r="A250" s="403">
        <v>247</v>
      </c>
      <c r="B250" s="944" t="s">
        <v>622</v>
      </c>
      <c r="C250" s="944" t="s">
        <v>1042</v>
      </c>
      <c r="D250" s="911" t="str">
        <f t="shared" si="3"/>
        <v>Surface d'absorbeur [m2]</v>
      </c>
      <c r="E250" s="404" t="s">
        <v>751</v>
      </c>
      <c r="F250" s="914" t="s">
        <v>1634</v>
      </c>
      <c r="G250" s="405" t="s">
        <v>1427</v>
      </c>
    </row>
    <row r="251" spans="1:7" ht="25.9" customHeight="1">
      <c r="A251" s="403">
        <v>248</v>
      </c>
      <c r="B251" s="944" t="s">
        <v>622</v>
      </c>
      <c r="C251" s="944" t="s">
        <v>1043</v>
      </c>
      <c r="D251" s="911" t="str">
        <f t="shared" si="3"/>
        <v>Puissance nominale [kWp]</v>
      </c>
      <c r="E251" s="404" t="s">
        <v>753</v>
      </c>
      <c r="F251" s="914" t="s">
        <v>1635</v>
      </c>
      <c r="G251" s="405" t="s">
        <v>1428</v>
      </c>
    </row>
    <row r="252" spans="1:7" ht="25.9" customHeight="1">
      <c r="A252" s="403">
        <v>249</v>
      </c>
      <c r="B252" s="944" t="s">
        <v>622</v>
      </c>
      <c r="C252" s="944" t="s">
        <v>1044</v>
      </c>
      <c r="D252" s="911" t="str">
        <f t="shared" si="3"/>
        <v>Apport net par m2 d'absorbeur [kWh/m2]</v>
      </c>
      <c r="E252" s="404" t="s">
        <v>752</v>
      </c>
      <c r="F252" s="914" t="s">
        <v>1636</v>
      </c>
      <c r="G252" s="405" t="s">
        <v>1429</v>
      </c>
    </row>
    <row r="253" spans="1:7" ht="25.9" customHeight="1">
      <c r="A253" s="403">
        <v>250</v>
      </c>
      <c r="B253" s="944" t="s">
        <v>622</v>
      </c>
      <c r="C253" s="944" t="s">
        <v>1045</v>
      </c>
      <c r="D253" s="911" t="str">
        <f t="shared" si="3"/>
        <v>Apport net annuel [kWh/kWp] (joindre clacul)</v>
      </c>
      <c r="E253" s="404" t="s">
        <v>1150</v>
      </c>
      <c r="F253" s="914" t="s">
        <v>1637</v>
      </c>
      <c r="G253" s="405" t="s">
        <v>1430</v>
      </c>
    </row>
    <row r="254" spans="1:7" ht="25.9" customHeight="1">
      <c r="A254" s="403">
        <v>251</v>
      </c>
      <c r="B254" s="944" t="s">
        <v>622</v>
      </c>
      <c r="C254" s="944" t="s">
        <v>933</v>
      </c>
      <c r="D254" s="911" t="str">
        <f t="shared" si="3"/>
        <v>Moteur AC</v>
      </c>
      <c r="E254" s="404" t="s">
        <v>643</v>
      </c>
      <c r="F254" s="914" t="s">
        <v>1556</v>
      </c>
      <c r="G254" s="405" t="s">
        <v>1312</v>
      </c>
    </row>
    <row r="255" spans="1:7" ht="25.9" customHeight="1">
      <c r="A255" s="403">
        <v>252</v>
      </c>
      <c r="B255" s="944" t="s">
        <v>622</v>
      </c>
      <c r="C255" s="944" t="s">
        <v>934</v>
      </c>
      <c r="D255" s="911" t="str">
        <f t="shared" si="3"/>
        <v>Moteur DC/EC</v>
      </c>
      <c r="E255" s="404" t="s">
        <v>644</v>
      </c>
      <c r="F255" s="914" t="s">
        <v>1557</v>
      </c>
      <c r="G255" s="405" t="s">
        <v>1313</v>
      </c>
    </row>
    <row r="256" spans="1:7" ht="25.9" customHeight="1">
      <c r="A256" s="403">
        <v>253</v>
      </c>
      <c r="B256" s="944" t="s">
        <v>706</v>
      </c>
      <c r="C256" s="944" t="s">
        <v>1040</v>
      </c>
      <c r="D256" s="911" t="str">
        <f t="shared" si="3"/>
        <v>Production de chaleur:</v>
      </c>
      <c r="E256" s="404" t="s">
        <v>161</v>
      </c>
      <c r="F256" s="914" t="s">
        <v>1638</v>
      </c>
      <c r="G256" s="405" t="s">
        <v>1431</v>
      </c>
    </row>
    <row r="257" spans="1:7" ht="25.9" customHeight="1">
      <c r="A257" s="403">
        <v>254</v>
      </c>
      <c r="B257" s="944" t="s">
        <v>706</v>
      </c>
      <c r="C257" s="944" t="s">
        <v>1046</v>
      </c>
      <c r="D257" s="911" t="str">
        <f t="shared" si="3"/>
        <v>Rendement / COPa</v>
      </c>
      <c r="E257" s="404" t="s">
        <v>777</v>
      </c>
      <c r="F257" s="914" t="s">
        <v>1639</v>
      </c>
      <c r="G257" s="405" t="s">
        <v>3135</v>
      </c>
    </row>
    <row r="258" spans="1:7" ht="25.9" customHeight="1">
      <c r="A258" s="403">
        <v>255</v>
      </c>
      <c r="B258" s="944" t="s">
        <v>706</v>
      </c>
      <c r="C258" s="944" t="s">
        <v>1047</v>
      </c>
      <c r="D258" s="911" t="str">
        <f t="shared" si="3"/>
        <v>Taux de couverture [%]</v>
      </c>
      <c r="E258" s="404" t="s">
        <v>315</v>
      </c>
      <c r="F258" s="914" t="s">
        <v>1640</v>
      </c>
      <c r="G258" s="405" t="s">
        <v>1432</v>
      </c>
    </row>
    <row r="259" spans="1:7" ht="25.9" customHeight="1">
      <c r="A259" s="403">
        <v>256</v>
      </c>
      <c r="B259" s="944" t="s">
        <v>706</v>
      </c>
      <c r="C259" s="944" t="s">
        <v>847</v>
      </c>
      <c r="D259" s="911" t="str">
        <f t="shared" si="3"/>
        <v>Production de chaleur A</v>
      </c>
      <c r="E259" s="404" t="s">
        <v>324</v>
      </c>
      <c r="F259" s="914" t="s">
        <v>1641</v>
      </c>
      <c r="G259" s="405" t="s">
        <v>1433</v>
      </c>
    </row>
    <row r="260" spans="1:7" ht="25.9" customHeight="1">
      <c r="A260" s="403">
        <v>257</v>
      </c>
      <c r="B260" s="944" t="s">
        <v>706</v>
      </c>
      <c r="C260" s="944" t="s">
        <v>1049</v>
      </c>
      <c r="D260" s="911" t="str">
        <f t="shared" si="3"/>
        <v>Production de chaleur B</v>
      </c>
      <c r="E260" s="404" t="s">
        <v>327</v>
      </c>
      <c r="F260" s="914" t="s">
        <v>1642</v>
      </c>
      <c r="G260" s="405" t="s">
        <v>1434</v>
      </c>
    </row>
    <row r="261" spans="1:7" ht="25.9" customHeight="1">
      <c r="A261" s="403">
        <v>258</v>
      </c>
      <c r="B261" s="944" t="s">
        <v>706</v>
      </c>
      <c r="C261" s="944" t="s">
        <v>854</v>
      </c>
      <c r="D261" s="911" t="str">
        <f t="shared" ref="D261:D324" si="4">INDEX($E$4:$G$503,$A261,$A$1)</f>
        <v>Production de chaleur C</v>
      </c>
      <c r="E261" s="404" t="s">
        <v>326</v>
      </c>
      <c r="F261" s="914" t="s">
        <v>1643</v>
      </c>
      <c r="G261" s="405" t="s">
        <v>1435</v>
      </c>
    </row>
    <row r="262" spans="1:7" ht="25.9" customHeight="1">
      <c r="A262" s="403">
        <v>259</v>
      </c>
      <c r="B262" s="944" t="s">
        <v>706</v>
      </c>
      <c r="C262" s="944" t="s">
        <v>488</v>
      </c>
      <c r="D262" s="911" t="str">
        <f t="shared" si="4"/>
        <v>Production de chaleur D</v>
      </c>
      <c r="E262" s="404" t="s">
        <v>325</v>
      </c>
      <c r="F262" s="914" t="s">
        <v>1644</v>
      </c>
      <c r="G262" s="405" t="s">
        <v>1436</v>
      </c>
    </row>
    <row r="263" spans="1:7" ht="25.9" customHeight="1">
      <c r="A263" s="403">
        <v>260</v>
      </c>
      <c r="B263" s="944" t="s">
        <v>706</v>
      </c>
      <c r="C263" s="944" t="s">
        <v>848</v>
      </c>
      <c r="D263" s="911" t="str">
        <f t="shared" si="4"/>
        <v>Entrée</v>
      </c>
      <c r="E263" s="404" t="s">
        <v>739</v>
      </c>
      <c r="F263" s="914" t="s">
        <v>1645</v>
      </c>
      <c r="G263" s="405" t="s">
        <v>1437</v>
      </c>
    </row>
    <row r="264" spans="1:7" ht="25.9" customHeight="1">
      <c r="A264" s="403">
        <v>261</v>
      </c>
      <c r="B264" s="944" t="s">
        <v>706</v>
      </c>
      <c r="C264" s="944" t="s">
        <v>1050</v>
      </c>
      <c r="D264" s="911" t="str">
        <f t="shared" si="4"/>
        <v>Valeur calculée</v>
      </c>
      <c r="E264" s="404" t="s">
        <v>740</v>
      </c>
      <c r="F264" s="914" t="s">
        <v>1646</v>
      </c>
      <c r="G264" s="405" t="s">
        <v>1438</v>
      </c>
    </row>
    <row r="265" spans="1:7" ht="25.9" customHeight="1">
      <c r="A265" s="403">
        <v>262</v>
      </c>
      <c r="B265" s="944" t="s">
        <v>706</v>
      </c>
      <c r="C265" s="944" t="s">
        <v>1048</v>
      </c>
      <c r="D265" s="911" t="str">
        <f t="shared" si="4"/>
        <v>Chauffage</v>
      </c>
      <c r="E265" s="404" t="s">
        <v>243</v>
      </c>
      <c r="F265" s="914" t="s">
        <v>1647</v>
      </c>
      <c r="G265" s="405" t="s">
        <v>1439</v>
      </c>
    </row>
    <row r="266" spans="1:7" ht="25.9" customHeight="1">
      <c r="A266" s="403">
        <v>263</v>
      </c>
      <c r="B266" s="944" t="s">
        <v>706</v>
      </c>
      <c r="C266" s="944" t="s">
        <v>710</v>
      </c>
      <c r="D266" s="911" t="str">
        <f t="shared" si="4"/>
        <v>Eau chaude</v>
      </c>
      <c r="E266" s="404" t="s">
        <v>244</v>
      </c>
      <c r="F266" s="914" t="s">
        <v>1648</v>
      </c>
      <c r="G266" s="405" t="s">
        <v>1440</v>
      </c>
    </row>
    <row r="267" spans="1:7" ht="25.9" customHeight="1">
      <c r="A267" s="403">
        <v>264</v>
      </c>
      <c r="B267" s="944" t="s">
        <v>706</v>
      </c>
      <c r="C267" s="944" t="s">
        <v>550</v>
      </c>
      <c r="D267" s="911" t="str">
        <f t="shared" si="4"/>
        <v>Report autres productions de chaleur</v>
      </c>
      <c r="E267" s="404" t="s">
        <v>701</v>
      </c>
      <c r="F267" s="914" t="s">
        <v>1649</v>
      </c>
      <c r="G267" s="405" t="s">
        <v>1441</v>
      </c>
    </row>
    <row r="268" spans="1:7" ht="25.9" customHeight="1">
      <c r="A268" s="403">
        <v>265</v>
      </c>
      <c r="B268" s="944" t="s">
        <v>706</v>
      </c>
      <c r="C268" s="944" t="s">
        <v>496</v>
      </c>
      <c r="D268" s="911" t="str">
        <f t="shared" si="4"/>
        <v>Electricité fournie (non pondérée)</v>
      </c>
      <c r="E268" s="404" t="s">
        <v>780</v>
      </c>
      <c r="F268" s="914" t="s">
        <v>1650</v>
      </c>
      <c r="G268" s="405" t="s">
        <v>1442</v>
      </c>
    </row>
    <row r="269" spans="1:7" ht="25.9" customHeight="1">
      <c r="A269" s="403">
        <v>266</v>
      </c>
      <c r="B269" s="944" t="s">
        <v>706</v>
      </c>
      <c r="C269" s="944" t="s">
        <v>867</v>
      </c>
      <c r="D269" s="911" t="str">
        <f t="shared" si="4"/>
        <v>Energie fournie (sans électricité, pondérée)</v>
      </c>
      <c r="E269" s="404" t="s">
        <v>781</v>
      </c>
      <c r="F269" s="914" t="s">
        <v>1651</v>
      </c>
      <c r="G269" s="405" t="s">
        <v>1443</v>
      </c>
    </row>
    <row r="270" spans="1:7" ht="25.9" customHeight="1">
      <c r="A270" s="403">
        <v>267</v>
      </c>
      <c r="B270" s="944" t="s">
        <v>706</v>
      </c>
      <c r="C270" s="944" t="s">
        <v>1051</v>
      </c>
      <c r="D270" s="911" t="str">
        <f t="shared" si="4"/>
        <v>Taux de couverture total</v>
      </c>
      <c r="E270" s="404" t="s">
        <v>745</v>
      </c>
      <c r="F270" s="914" t="s">
        <v>1652</v>
      </c>
      <c r="G270" s="405" t="s">
        <v>1444</v>
      </c>
    </row>
    <row r="271" spans="1:7" ht="25.9" customHeight="1">
      <c r="A271" s="403">
        <v>268</v>
      </c>
      <c r="B271" s="944" t="s">
        <v>706</v>
      </c>
      <c r="C271" s="944" t="s">
        <v>869</v>
      </c>
      <c r="D271" s="911" t="str">
        <f t="shared" si="4"/>
        <v>Données du bâtiment, ventilation et valeur limite</v>
      </c>
      <c r="E271" s="404" t="s">
        <v>200</v>
      </c>
      <c r="F271" s="914" t="s">
        <v>1653</v>
      </c>
      <c r="G271" s="405" t="s">
        <v>1445</v>
      </c>
    </row>
    <row r="272" spans="1:7" ht="25.9" customHeight="1">
      <c r="A272" s="403">
        <v>269</v>
      </c>
      <c r="B272" s="944" t="s">
        <v>706</v>
      </c>
      <c r="C272" s="944" t="s">
        <v>1052</v>
      </c>
      <c r="D272" s="911" t="str">
        <f t="shared" si="4"/>
        <v>Total /
Moyenne</v>
      </c>
      <c r="E272" s="404" t="s">
        <v>648</v>
      </c>
      <c r="F272" s="914" t="s">
        <v>2468</v>
      </c>
      <c r="G272" s="405" t="s">
        <v>1446</v>
      </c>
    </row>
    <row r="273" spans="1:7" ht="25.9" customHeight="1">
      <c r="A273" s="403">
        <v>270</v>
      </c>
      <c r="B273" s="944" t="s">
        <v>706</v>
      </c>
      <c r="C273" s="944" t="s">
        <v>97</v>
      </c>
      <c r="D273" s="911" t="str">
        <f t="shared" si="4"/>
        <v>Besoin pour chauffage Qh,eff</v>
      </c>
      <c r="E273" s="404" t="s">
        <v>1053</v>
      </c>
      <c r="F273" s="914" t="s">
        <v>1654</v>
      </c>
      <c r="G273" s="405" t="s">
        <v>1447</v>
      </c>
    </row>
    <row r="274" spans="1:7" ht="25.9" customHeight="1">
      <c r="A274" s="403">
        <v>271</v>
      </c>
      <c r="B274" s="944" t="s">
        <v>706</v>
      </c>
      <c r="C274" s="944" t="s">
        <v>97</v>
      </c>
      <c r="D274" s="911" t="str">
        <f t="shared" si="4"/>
        <v>Qh avec renouvelement d'air effectif</v>
      </c>
      <c r="E274" s="404" t="s">
        <v>1054</v>
      </c>
      <c r="F274" s="914" t="s">
        <v>1655</v>
      </c>
      <c r="G274" s="405" t="s">
        <v>1448</v>
      </c>
    </row>
    <row r="275" spans="1:7" ht="25.9" customHeight="1">
      <c r="A275" s="403">
        <v>272</v>
      </c>
      <c r="B275" s="944" t="s">
        <v>706</v>
      </c>
      <c r="C275" s="944" t="s">
        <v>98</v>
      </c>
      <c r="D275" s="911" t="str">
        <f t="shared" si="4"/>
        <v>Besoin pour eau chaude Qww SIA 380/1</v>
      </c>
      <c r="E275" s="404" t="s">
        <v>2598</v>
      </c>
      <c r="F275" s="914" t="s">
        <v>2599</v>
      </c>
      <c r="G275" s="405" t="s">
        <v>2600</v>
      </c>
    </row>
    <row r="276" spans="1:7" ht="25.9" customHeight="1">
      <c r="A276" s="403">
        <v>273</v>
      </c>
      <c r="B276" s="944" t="s">
        <v>706</v>
      </c>
      <c r="C276" s="944" t="s">
        <v>487</v>
      </c>
      <c r="D276" s="911" t="str">
        <f t="shared" si="4"/>
        <v>Besoin en électricité pour la ventilation</v>
      </c>
      <c r="E276" s="404" t="s">
        <v>495</v>
      </c>
      <c r="F276" s="914" t="s">
        <v>1656</v>
      </c>
      <c r="G276" s="405" t="s">
        <v>1449</v>
      </c>
    </row>
    <row r="277" spans="1:7" ht="25.9" customHeight="1">
      <c r="A277" s="403">
        <v>274</v>
      </c>
      <c r="B277" s="944" t="s">
        <v>706</v>
      </c>
      <c r="C277" s="944" t="s">
        <v>875</v>
      </c>
      <c r="D277" s="911" t="str">
        <f t="shared" si="4"/>
        <v>Electricité pour les auxiliaires / le refroidissement</v>
      </c>
      <c r="E277" s="404" t="s">
        <v>1055</v>
      </c>
      <c r="F277" s="914" t="s">
        <v>1657</v>
      </c>
      <c r="G277" s="405" t="s">
        <v>1450</v>
      </c>
    </row>
    <row r="278" spans="1:7" ht="25.9" customHeight="1">
      <c r="A278" s="403">
        <v>275</v>
      </c>
      <c r="B278" s="944" t="s">
        <v>706</v>
      </c>
      <c r="C278" s="944" t="s">
        <v>875</v>
      </c>
      <c r="D278" s="911" t="str">
        <f t="shared" si="4"/>
        <v>Besoin en électricité pour la climatisation + auxiliaires</v>
      </c>
      <c r="E278" s="404" t="s">
        <v>1182</v>
      </c>
      <c r="F278" s="914" t="s">
        <v>1658</v>
      </c>
      <c r="G278" s="405" t="s">
        <v>1451</v>
      </c>
    </row>
    <row r="279" spans="1:7" ht="25.9" customHeight="1">
      <c r="A279" s="403">
        <v>276</v>
      </c>
      <c r="B279" s="944" t="s">
        <v>706</v>
      </c>
      <c r="C279" s="944" t="s">
        <v>880</v>
      </c>
      <c r="D279" s="911" t="str">
        <f t="shared" si="4"/>
        <v>Valeur limite déterminante</v>
      </c>
      <c r="E279" s="404" t="s">
        <v>554</v>
      </c>
      <c r="F279" s="914" t="s">
        <v>1659</v>
      </c>
      <c r="G279" s="405" t="s">
        <v>1452</v>
      </c>
    </row>
    <row r="280" spans="1:7" ht="25.9" customHeight="1">
      <c r="A280" s="403">
        <v>277</v>
      </c>
      <c r="B280" s="944" t="s">
        <v>706</v>
      </c>
      <c r="C280" s="944" t="s">
        <v>881</v>
      </c>
      <c r="D280" s="911" t="str">
        <f t="shared" si="4"/>
        <v>Production de chaleur:</v>
      </c>
      <c r="E280" s="404" t="s">
        <v>161</v>
      </c>
      <c r="F280" s="914" t="s">
        <v>1638</v>
      </c>
      <c r="G280" s="405" t="s">
        <v>1431</v>
      </c>
    </row>
    <row r="281" spans="1:7" ht="25.9" customHeight="1">
      <c r="A281" s="403">
        <v>278</v>
      </c>
      <c r="B281" s="944" t="s">
        <v>706</v>
      </c>
      <c r="C281" s="944" t="s">
        <v>882</v>
      </c>
      <c r="D281" s="911" t="str">
        <f t="shared" si="4"/>
        <v>(chauffage et eau chaude)</v>
      </c>
      <c r="E281" s="404" t="s">
        <v>646</v>
      </c>
      <c r="F281" s="914" t="s">
        <v>1660</v>
      </c>
      <c r="G281" s="405" t="s">
        <v>1453</v>
      </c>
    </row>
    <row r="282" spans="1:7" ht="25.9" customHeight="1">
      <c r="A282" s="403">
        <v>279</v>
      </c>
      <c r="B282" s="944" t="s">
        <v>706</v>
      </c>
      <c r="C282" s="944" t="s">
        <v>1056</v>
      </c>
      <c r="D282" s="911" t="str">
        <f t="shared" si="4"/>
        <v>ou COPa</v>
      </c>
      <c r="E282" s="404" t="s">
        <v>692</v>
      </c>
      <c r="F282" s="914" t="s">
        <v>1661</v>
      </c>
      <c r="G282" s="405" t="s">
        <v>1454</v>
      </c>
    </row>
    <row r="283" spans="1:7" ht="25.9" customHeight="1">
      <c r="A283" s="403">
        <v>280</v>
      </c>
      <c r="B283" s="944" t="s">
        <v>706</v>
      </c>
      <c r="C283" s="944" t="s">
        <v>1058</v>
      </c>
      <c r="D283" s="911" t="str">
        <f t="shared" si="4"/>
        <v>Pondération</v>
      </c>
      <c r="E283" s="404" t="s">
        <v>1057</v>
      </c>
      <c r="F283" s="914" t="s">
        <v>1662</v>
      </c>
      <c r="G283" s="405" t="s">
        <v>3528</v>
      </c>
    </row>
    <row r="284" spans="1:7" ht="25.9" customHeight="1">
      <c r="A284" s="403">
        <v>281</v>
      </c>
      <c r="B284" s="944" t="s">
        <v>706</v>
      </c>
      <c r="C284" s="944" t="s">
        <v>1059</v>
      </c>
      <c r="D284" s="911" t="str">
        <f t="shared" si="4"/>
        <v>Taux de couverture</v>
      </c>
      <c r="E284" s="404" t="s">
        <v>690</v>
      </c>
      <c r="F284" s="914" t="s">
        <v>1663</v>
      </c>
      <c r="G284" s="405" t="s">
        <v>1455</v>
      </c>
    </row>
    <row r="285" spans="1:7" ht="25.9" customHeight="1">
      <c r="A285" s="403">
        <v>282</v>
      </c>
      <c r="B285" s="944" t="s">
        <v>706</v>
      </c>
      <c r="C285" s="944" t="s">
        <v>1061</v>
      </c>
      <c r="D285" s="911" t="str">
        <f t="shared" si="4"/>
        <v>Energie finale pondérée kWh/m2</v>
      </c>
      <c r="E285" s="404" t="s">
        <v>1060</v>
      </c>
      <c r="F285" s="914" t="s">
        <v>1664</v>
      </c>
      <c r="G285" s="405" t="s">
        <v>1456</v>
      </c>
    </row>
    <row r="286" spans="1:7" ht="25.9" customHeight="1">
      <c r="A286" s="403">
        <v>283</v>
      </c>
      <c r="B286" s="944" t="s">
        <v>706</v>
      </c>
      <c r="C286" s="944" t="s">
        <v>1062</v>
      </c>
      <c r="D286" s="911" t="str">
        <f t="shared" si="4"/>
        <v>Courant</v>
      </c>
      <c r="E286" s="404" t="s">
        <v>731</v>
      </c>
      <c r="F286" s="914" t="s">
        <v>1665</v>
      </c>
      <c r="G286" s="405" t="s">
        <v>1457</v>
      </c>
    </row>
    <row r="287" spans="1:7" ht="25.9" customHeight="1">
      <c r="A287" s="403">
        <v>284</v>
      </c>
      <c r="B287" s="944" t="s">
        <v>706</v>
      </c>
      <c r="C287" s="944" t="s">
        <v>1063</v>
      </c>
      <c r="D287" s="911" t="str">
        <f t="shared" si="4"/>
        <v>autre</v>
      </c>
      <c r="E287" s="404" t="s">
        <v>179</v>
      </c>
      <c r="F287" s="914" t="s">
        <v>1666</v>
      </c>
      <c r="G287" s="405" t="s">
        <v>1458</v>
      </c>
    </row>
    <row r="288" spans="1:7" ht="25.9" customHeight="1">
      <c r="A288" s="403">
        <v>285</v>
      </c>
      <c r="B288" s="944" t="s">
        <v>706</v>
      </c>
      <c r="C288" s="944" t="s">
        <v>1064</v>
      </c>
      <c r="D288" s="911" t="str">
        <f t="shared" si="4"/>
        <v>Chaleur</v>
      </c>
      <c r="E288" s="404" t="s">
        <v>729</v>
      </c>
      <c r="F288" s="914" t="s">
        <v>1667</v>
      </c>
      <c r="G288" s="405" t="s">
        <v>1459</v>
      </c>
    </row>
    <row r="289" spans="1:7" ht="25.9" customHeight="1">
      <c r="A289" s="403">
        <v>286</v>
      </c>
      <c r="B289" s="944" t="s">
        <v>706</v>
      </c>
      <c r="C289" s="944" t="s">
        <v>940</v>
      </c>
      <c r="D289" s="911" t="str">
        <f t="shared" si="4"/>
        <v>Besoin d'électricité ventilation</v>
      </c>
      <c r="E289" s="404" t="s">
        <v>495</v>
      </c>
      <c r="F289" s="914" t="s">
        <v>1668</v>
      </c>
      <c r="G289" s="405" t="s">
        <v>1460</v>
      </c>
    </row>
    <row r="290" spans="1:7" ht="25.9" customHeight="1">
      <c r="A290" s="403">
        <v>287</v>
      </c>
      <c r="B290" s="944" t="s">
        <v>706</v>
      </c>
      <c r="C290" s="944" t="s">
        <v>1065</v>
      </c>
      <c r="D290" s="911" t="str">
        <f t="shared" si="4"/>
        <v>Electricité climatisation + auxiliaires</v>
      </c>
      <c r="E290" s="404" t="s">
        <v>512</v>
      </c>
      <c r="F290" s="914" t="s">
        <v>1669</v>
      </c>
      <c r="G290" s="405" t="s">
        <v>1461</v>
      </c>
    </row>
    <row r="291" spans="1:7" ht="25.9" customHeight="1">
      <c r="A291" s="403">
        <v>288</v>
      </c>
      <c r="B291" s="944" t="s">
        <v>706</v>
      </c>
      <c r="C291" s="944" t="s">
        <v>1065</v>
      </c>
      <c r="D291" s="911" t="str">
        <f t="shared" si="4"/>
        <v>Electricité climatisation + auxiliaires</v>
      </c>
      <c r="E291" s="404" t="s">
        <v>1189</v>
      </c>
      <c r="F291" s="914" t="s">
        <v>1669</v>
      </c>
      <c r="G291" s="405" t="s">
        <v>1461</v>
      </c>
    </row>
    <row r="292" spans="1:7" ht="25.9" customHeight="1">
      <c r="A292" s="403">
        <v>289</v>
      </c>
      <c r="B292" s="944" t="s">
        <v>706</v>
      </c>
      <c r="C292" s="944" t="s">
        <v>1066</v>
      </c>
      <c r="D292" s="911" t="str">
        <f t="shared" si="4"/>
        <v>Total:</v>
      </c>
      <c r="E292" s="404" t="s">
        <v>691</v>
      </c>
      <c r="F292" s="914" t="s">
        <v>691</v>
      </c>
      <c r="G292" s="405" t="s">
        <v>1462</v>
      </c>
    </row>
    <row r="293" spans="1:7" ht="25.9" customHeight="1">
      <c r="A293" s="403">
        <v>290</v>
      </c>
      <c r="B293" s="944" t="s">
        <v>706</v>
      </c>
      <c r="C293" s="944" t="s">
        <v>942</v>
      </c>
      <c r="D293" s="911" t="str">
        <f t="shared" si="4"/>
        <v>Respect des exigences:</v>
      </c>
      <c r="E293" s="404" t="s">
        <v>14</v>
      </c>
      <c r="F293" s="914" t="s">
        <v>1670</v>
      </c>
      <c r="G293" s="405" t="s">
        <v>1463</v>
      </c>
    </row>
    <row r="294" spans="1:7" ht="25.9" customHeight="1">
      <c r="A294" s="403">
        <v>291</v>
      </c>
      <c r="B294" s="944" t="s">
        <v>706</v>
      </c>
      <c r="C294" s="944" t="s">
        <v>590</v>
      </c>
      <c r="D294" s="911" t="str">
        <f t="shared" si="4"/>
        <v>Exigences</v>
      </c>
      <c r="E294" s="404" t="s">
        <v>494</v>
      </c>
      <c r="F294" s="914" t="s">
        <v>1671</v>
      </c>
      <c r="G294" s="405" t="s">
        <v>1464</v>
      </c>
    </row>
    <row r="295" spans="1:7" ht="25.9" customHeight="1">
      <c r="A295" s="403">
        <v>292</v>
      </c>
      <c r="B295" s="944" t="s">
        <v>706</v>
      </c>
      <c r="C295" s="944" t="s">
        <v>1067</v>
      </c>
      <c r="D295" s="911" t="str">
        <f t="shared" si="4"/>
        <v>Valeur calculée</v>
      </c>
      <c r="E295" s="404" t="s">
        <v>34</v>
      </c>
      <c r="F295" s="914" t="s">
        <v>1646</v>
      </c>
      <c r="G295" s="405" t="s">
        <v>1465</v>
      </c>
    </row>
    <row r="296" spans="1:7" ht="25.9" customHeight="1">
      <c r="A296" s="403">
        <v>293</v>
      </c>
      <c r="B296" s="944" t="s">
        <v>706</v>
      </c>
      <c r="C296" s="944" t="s">
        <v>943</v>
      </c>
      <c r="D296" s="911" t="str">
        <f t="shared" si="4"/>
        <v>Minergie - Indice chaleur</v>
      </c>
      <c r="E296" s="404" t="s">
        <v>1068</v>
      </c>
      <c r="F296" s="914" t="s">
        <v>1672</v>
      </c>
      <c r="G296" s="405" t="s">
        <v>1466</v>
      </c>
    </row>
    <row r="297" spans="1:7" ht="25.9" customHeight="1">
      <c r="A297" s="403">
        <v>294</v>
      </c>
      <c r="B297" s="944" t="s">
        <v>706</v>
      </c>
      <c r="C297" s="944" t="s">
        <v>943</v>
      </c>
      <c r="D297" s="911" t="str">
        <f t="shared" si="4"/>
        <v>Valeur limite MINERGIE-P</v>
      </c>
      <c r="E297" s="404" t="s">
        <v>1069</v>
      </c>
      <c r="F297" s="914" t="s">
        <v>1673</v>
      </c>
      <c r="G297" s="405" t="s">
        <v>1467</v>
      </c>
    </row>
    <row r="298" spans="1:7" ht="25.9" customHeight="1">
      <c r="A298" s="403">
        <v>295</v>
      </c>
      <c r="B298" s="944" t="s">
        <v>706</v>
      </c>
      <c r="C298" s="944" t="s">
        <v>943</v>
      </c>
      <c r="D298" s="911" t="str">
        <f t="shared" si="4"/>
        <v>Valeur limite</v>
      </c>
      <c r="E298" s="404" t="s">
        <v>657</v>
      </c>
      <c r="F298" s="914" t="s">
        <v>1674</v>
      </c>
      <c r="G298" s="405" t="s">
        <v>1468</v>
      </c>
    </row>
    <row r="299" spans="1:7" ht="25.9" customHeight="1">
      <c r="A299" s="403">
        <v>296</v>
      </c>
      <c r="B299" s="944" t="s">
        <v>706</v>
      </c>
      <c r="C299" s="944" t="s">
        <v>1070</v>
      </c>
      <c r="D299" s="911" t="str">
        <f t="shared" si="4"/>
        <v>Respectée?</v>
      </c>
      <c r="E299" s="404" t="s">
        <v>35</v>
      </c>
      <c r="F299" s="914" t="s">
        <v>1675</v>
      </c>
      <c r="G299" s="405" t="s">
        <v>1469</v>
      </c>
    </row>
    <row r="300" spans="1:7" ht="25.9" customHeight="1">
      <c r="A300" s="403">
        <v>297</v>
      </c>
      <c r="B300" s="944" t="s">
        <v>706</v>
      </c>
      <c r="C300" s="944" t="s">
        <v>939</v>
      </c>
      <c r="D300" s="911" t="str">
        <f t="shared" si="4"/>
        <v>autre production de chaleur</v>
      </c>
      <c r="E300" s="404" t="s">
        <v>1071</v>
      </c>
      <c r="F300" s="914" t="s">
        <v>1676</v>
      </c>
      <c r="G300" s="405" t="s">
        <v>1470</v>
      </c>
    </row>
    <row r="301" spans="1:7" ht="25.9" customHeight="1">
      <c r="A301" s="403">
        <v>298</v>
      </c>
      <c r="B301" s="944" t="s">
        <v>706</v>
      </c>
      <c r="C301" s="944" t="s">
        <v>946</v>
      </c>
      <c r="D301" s="911" t="str">
        <f t="shared" si="4"/>
        <v>Annexes (déposer toute celles de la colonne de gauche)</v>
      </c>
      <c r="E301" s="404" t="s">
        <v>758</v>
      </c>
      <c r="F301" s="914" t="s">
        <v>1677</v>
      </c>
      <c r="G301" s="405" t="s">
        <v>1471</v>
      </c>
    </row>
    <row r="302" spans="1:7" ht="25.9" customHeight="1">
      <c r="A302" s="403">
        <v>299</v>
      </c>
      <c r="B302" s="944" t="s">
        <v>706</v>
      </c>
      <c r="C302" s="944" t="s">
        <v>1072</v>
      </c>
      <c r="D302" s="911" t="str">
        <f t="shared" si="4"/>
        <v>Marquer d'une croix ce qui convient</v>
      </c>
      <c r="E302" s="404" t="s">
        <v>759</v>
      </c>
      <c r="F302" s="914" t="s">
        <v>1678</v>
      </c>
      <c r="G302" s="405" t="s">
        <v>1472</v>
      </c>
    </row>
    <row r="303" spans="1:7" ht="25.9" customHeight="1">
      <c r="A303" s="403">
        <v>300</v>
      </c>
      <c r="B303" s="944" t="s">
        <v>706</v>
      </c>
      <c r="C303" s="944" t="s">
        <v>1073</v>
      </c>
      <c r="D303" s="911" t="str">
        <f t="shared" si="4"/>
        <v>Schéma chauffage et ventilation</v>
      </c>
      <c r="E303" s="404" t="s">
        <v>774</v>
      </c>
      <c r="F303" s="914" t="s">
        <v>1679</v>
      </c>
      <c r="G303" s="405" t="s">
        <v>1473</v>
      </c>
    </row>
    <row r="304" spans="1:7" ht="25.9" customHeight="1">
      <c r="A304" s="403">
        <v>301</v>
      </c>
      <c r="B304" s="944" t="s">
        <v>706</v>
      </c>
      <c r="C304" s="944" t="s">
        <v>1074</v>
      </c>
      <c r="D304" s="911" t="str">
        <f t="shared" si="4"/>
        <v>Calculs externes et fiches techniques</v>
      </c>
      <c r="E304" s="404" t="s">
        <v>775</v>
      </c>
      <c r="F304" s="914" t="s">
        <v>1680</v>
      </c>
      <c r="G304" s="405" t="s">
        <v>1474</v>
      </c>
    </row>
    <row r="305" spans="1:7" ht="25.9" customHeight="1">
      <c r="A305" s="403">
        <v>302</v>
      </c>
      <c r="B305" s="944" t="s">
        <v>706</v>
      </c>
      <c r="C305" s="944" t="s">
        <v>1076</v>
      </c>
      <c r="D305" s="911" t="str">
        <f t="shared" si="4"/>
        <v>Besoin pas couvert</v>
      </c>
      <c r="E305" s="404" t="s">
        <v>1075</v>
      </c>
      <c r="F305" s="914" t="s">
        <v>1681</v>
      </c>
      <c r="G305" s="405" t="s">
        <v>1475</v>
      </c>
    </row>
    <row r="306" spans="1:7" ht="25.9" customHeight="1">
      <c r="A306" s="403">
        <v>303</v>
      </c>
      <c r="B306" s="944" t="s">
        <v>706</v>
      </c>
      <c r="C306" s="944" t="s">
        <v>1076</v>
      </c>
      <c r="D306" s="911" t="str">
        <f t="shared" si="4"/>
        <v>sans piscine couverte</v>
      </c>
      <c r="E306" s="404" t="s">
        <v>1077</v>
      </c>
      <c r="F306" s="914" t="s">
        <v>1682</v>
      </c>
      <c r="G306" s="405" t="s">
        <v>1476</v>
      </c>
    </row>
    <row r="307" spans="1:7" ht="29.25" customHeight="1">
      <c r="A307" s="403">
        <v>304</v>
      </c>
      <c r="B307" s="944" t="s">
        <v>706</v>
      </c>
      <c r="C307" s="944" t="s">
        <v>1078</v>
      </c>
      <c r="D307" s="911" t="str">
        <f t="shared" si="4"/>
        <v>Eau chaude avec min. 20% d'énergie renouvelable (pour restaurants, installations sportives, piscines couvertes)</v>
      </c>
      <c r="E307" s="404" t="s">
        <v>803</v>
      </c>
      <c r="F307" s="914" t="s">
        <v>1683</v>
      </c>
      <c r="G307" s="405" t="s">
        <v>1477</v>
      </c>
    </row>
    <row r="308" spans="1:7" ht="25.9" customHeight="1">
      <c r="A308" s="403">
        <v>305</v>
      </c>
      <c r="B308" s="944" t="s">
        <v>706</v>
      </c>
      <c r="C308" s="944" t="s">
        <v>1149</v>
      </c>
      <c r="D308" s="911" t="str">
        <f t="shared" si="4"/>
        <v>Taux de couverture &lt;&gt; 100%</v>
      </c>
      <c r="E308" s="404" t="s">
        <v>1148</v>
      </c>
      <c r="F308" s="914" t="s">
        <v>1684</v>
      </c>
      <c r="G308" s="405" t="s">
        <v>1478</v>
      </c>
    </row>
    <row r="309" spans="1:7" ht="25.9" customHeight="1">
      <c r="A309" s="403">
        <v>306</v>
      </c>
      <c r="D309" s="911" t="str">
        <f t="shared" si="4"/>
        <v>Apport annuel net par kWp (valeur standard)</v>
      </c>
      <c r="E309" s="404" t="s">
        <v>85</v>
      </c>
      <c r="F309" s="914" t="s">
        <v>624</v>
      </c>
      <c r="G309" s="405" t="s">
        <v>1479</v>
      </c>
    </row>
    <row r="310" spans="1:7" ht="92.25" customHeight="1">
      <c r="A310" s="403">
        <v>307</v>
      </c>
      <c r="B310" s="944" t="s">
        <v>53</v>
      </c>
      <c r="C310" s="944" t="s">
        <v>885</v>
      </c>
      <c r="D310" s="911" t="str">
        <f t="shared" si="4"/>
        <v>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v>
      </c>
      <c r="E310" s="404" t="s">
        <v>3593</v>
      </c>
      <c r="F310" s="914" t="s">
        <v>3592</v>
      </c>
      <c r="G310" s="405" t="s">
        <v>3591</v>
      </c>
    </row>
    <row r="311" spans="1:7" ht="25.9" customHeight="1">
      <c r="A311" s="403">
        <v>308</v>
      </c>
      <c r="D311" s="911" t="str">
        <f t="shared" si="4"/>
        <v>Choisir "Aération avec PAC air repris"</v>
      </c>
      <c r="E311" s="404" t="s">
        <v>42</v>
      </c>
      <c r="F311" s="914" t="s">
        <v>106</v>
      </c>
      <c r="G311" s="405" t="s">
        <v>1480</v>
      </c>
    </row>
    <row r="312" spans="1:7" ht="25.9" customHeight="1">
      <c r="A312" s="403">
        <v>309</v>
      </c>
      <c r="D312" s="911" t="str">
        <f t="shared" si="4"/>
        <v>Choisir "Aération avec PAC air repris/fourni sans récup. de chaleur" ou PAC compacte avec air fourni/repris et ECS sans récup. de chaleur"</v>
      </c>
      <c r="E312" s="404" t="s">
        <v>43</v>
      </c>
      <c r="F312" s="914" t="s">
        <v>107</v>
      </c>
      <c r="G312" s="405" t="s">
        <v>1481</v>
      </c>
    </row>
    <row r="313" spans="1:7" ht="25.9" customHeight="1">
      <c r="A313" s="403">
        <v>310</v>
      </c>
      <c r="D313" s="911" t="str">
        <f t="shared" si="4"/>
        <v>Choisir "Aération avec PAC air repris/fourni avec récup. de chaleur" ou PAC compacte avec air fourni/repris et ECS avec récup. de chaleur"</v>
      </c>
      <c r="E313" s="404" t="s">
        <v>44</v>
      </c>
      <c r="F313" s="914" t="s">
        <v>623</v>
      </c>
      <c r="G313" s="405" t="s">
        <v>1482</v>
      </c>
    </row>
    <row r="314" spans="1:7" ht="45" customHeight="1">
      <c r="A314" s="403">
        <v>311</v>
      </c>
      <c r="B314" s="944" t="s">
        <v>1757</v>
      </c>
      <c r="C314" s="944" t="s">
        <v>1774</v>
      </c>
      <c r="D314" s="911" t="str">
        <f t="shared" si="4"/>
        <v>Si la description est exacte, la condition "taux de surface vitrée" n'est pas significative. Si l'une des caractéristiques ne correspond pas, "n.a." doit être sélectionné.</v>
      </c>
      <c r="E314" s="404" t="s">
        <v>1773</v>
      </c>
      <c r="F314" s="914" t="s">
        <v>2260</v>
      </c>
      <c r="G314" s="405" t="s">
        <v>1930</v>
      </c>
    </row>
    <row r="315" spans="1:7" ht="25.9" customHeight="1">
      <c r="A315" s="403">
        <v>312</v>
      </c>
      <c r="B315" s="944" t="s">
        <v>53</v>
      </c>
      <c r="C315" s="944" t="s">
        <v>1758</v>
      </c>
      <c r="D315" s="911" t="str">
        <f t="shared" si="4"/>
        <v>Entrées</v>
      </c>
      <c r="E315" s="404" t="s">
        <v>53</v>
      </c>
      <c r="F315" s="914" t="s">
        <v>1690</v>
      </c>
      <c r="G315" s="405" t="s">
        <v>1689</v>
      </c>
    </row>
    <row r="316" spans="1:7" ht="25.9" customHeight="1">
      <c r="A316" s="403">
        <v>313</v>
      </c>
      <c r="B316" s="944" t="s">
        <v>706</v>
      </c>
      <c r="C316" s="944" t="s">
        <v>1758</v>
      </c>
      <c r="D316" s="911" t="str">
        <f t="shared" si="4"/>
        <v>Justificatif</v>
      </c>
      <c r="E316" s="404" t="s">
        <v>706</v>
      </c>
      <c r="F316" s="914" t="s">
        <v>1691</v>
      </c>
      <c r="G316" s="405" t="s">
        <v>1688</v>
      </c>
    </row>
    <row r="317" spans="1:7" ht="25.9" customHeight="1">
      <c r="A317" s="403">
        <v>314</v>
      </c>
      <c r="B317" s="944" t="s">
        <v>1807</v>
      </c>
      <c r="C317" s="944" t="s">
        <v>1758</v>
      </c>
      <c r="D317" s="911" t="str">
        <f t="shared" si="4"/>
        <v>Aperçu</v>
      </c>
      <c r="E317" s="404" t="s">
        <v>1806</v>
      </c>
      <c r="F317" s="914" t="s">
        <v>2261</v>
      </c>
      <c r="G317" s="405" t="s">
        <v>2356</v>
      </c>
    </row>
    <row r="318" spans="1:7" ht="25.9" customHeight="1">
      <c r="A318" s="403">
        <v>315</v>
      </c>
      <c r="B318" s="944" t="s">
        <v>1807</v>
      </c>
      <c r="C318" s="944" t="s">
        <v>844</v>
      </c>
      <c r="D318" s="911" t="str">
        <f t="shared" si="4"/>
        <v>Aperçu</v>
      </c>
      <c r="E318" s="404" t="s">
        <v>1887</v>
      </c>
      <c r="F318" s="914" t="s">
        <v>2261</v>
      </c>
      <c r="G318" s="405" t="s">
        <v>2356</v>
      </c>
    </row>
    <row r="319" spans="1:7" ht="25.9" customHeight="1">
      <c r="A319" s="403">
        <v>316</v>
      </c>
      <c r="B319" s="944" t="s">
        <v>1757</v>
      </c>
      <c r="C319" s="944" t="s">
        <v>1758</v>
      </c>
      <c r="D319" s="911" t="str">
        <f t="shared" si="4"/>
        <v>Eté</v>
      </c>
      <c r="E319" s="404" t="s">
        <v>1757</v>
      </c>
      <c r="F319" s="914" t="s">
        <v>2262</v>
      </c>
      <c r="G319" s="405" t="s">
        <v>2357</v>
      </c>
    </row>
    <row r="320" spans="1:7" ht="25.9" customHeight="1">
      <c r="A320" s="403">
        <v>317</v>
      </c>
      <c r="B320" s="944" t="s">
        <v>1757</v>
      </c>
      <c r="C320" s="944" t="s">
        <v>1759</v>
      </c>
      <c r="D320" s="911" t="str">
        <f t="shared" si="4"/>
        <v>Protection thermique estivale dans le label Minergie</v>
      </c>
      <c r="E320" s="404" t="s">
        <v>2813</v>
      </c>
      <c r="F320" s="914" t="s">
        <v>2814</v>
      </c>
      <c r="G320" s="405" t="s">
        <v>2815</v>
      </c>
    </row>
    <row r="321" spans="1:7" ht="96" customHeight="1">
      <c r="A321" s="403">
        <v>318</v>
      </c>
      <c r="B321" s="944" t="s">
        <v>1757</v>
      </c>
      <c r="C321" s="944" t="s">
        <v>850</v>
      </c>
      <c r="D321" s="911" t="str">
        <f t="shared" si="4"/>
        <v>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v>
      </c>
      <c r="E321" s="404" t="s">
        <v>1725</v>
      </c>
      <c r="F321" s="914" t="s">
        <v>2263</v>
      </c>
      <c r="G321" s="405" t="s">
        <v>2358</v>
      </c>
    </row>
    <row r="322" spans="1:7" ht="39" customHeight="1">
      <c r="A322" s="403">
        <v>319</v>
      </c>
      <c r="B322" s="944" t="s">
        <v>1757</v>
      </c>
      <c r="C322" s="944" t="s">
        <v>1761</v>
      </c>
      <c r="D322" s="911" t="str">
        <f t="shared" si="4"/>
        <v>Variante 1: Evaluation globale de cas standards pour les affectations suivantes: habitation, bureau individuel ou paysager, salle de réunion et dépôt (sans refroidissement)</v>
      </c>
      <c r="E322" s="404" t="s">
        <v>1760</v>
      </c>
      <c r="F322" s="914" t="s">
        <v>2264</v>
      </c>
      <c r="G322" s="405" t="s">
        <v>2359</v>
      </c>
    </row>
    <row r="323" spans="1:7" ht="25.9" customHeight="1">
      <c r="A323" s="403">
        <v>320</v>
      </c>
      <c r="B323" s="944" t="s">
        <v>1757</v>
      </c>
      <c r="C323" s="944" t="s">
        <v>1049</v>
      </c>
      <c r="D323" s="911" t="str">
        <f t="shared" si="4"/>
        <v>L'évaluation globale est valable pour les zones dans lesquelles les conditions suivantes sont respectées pour tous les locaux:</v>
      </c>
      <c r="E323" s="404" t="s">
        <v>1726</v>
      </c>
      <c r="F323" s="914" t="s">
        <v>2265</v>
      </c>
      <c r="G323" s="405" t="s">
        <v>2360</v>
      </c>
    </row>
    <row r="324" spans="1:7" ht="54.95" customHeight="1">
      <c r="A324" s="403">
        <v>321</v>
      </c>
      <c r="B324" s="944" t="s">
        <v>1757</v>
      </c>
      <c r="C324" s="944" t="s">
        <v>1762</v>
      </c>
      <c r="D324" s="911" t="str">
        <f t="shared" si="4"/>
        <v>- pas de puits de lumière ou de fenêtre de toiture avec plus de 0.5 m² de surface vitrée; les surfaces plus grandes peuvent
  être converties en surfaces verticales (voir Aide à l'utilisation)</v>
      </c>
      <c r="E324" s="431" t="s">
        <v>1728</v>
      </c>
      <c r="F324" s="1433" t="s">
        <v>2816</v>
      </c>
      <c r="G324" s="1432" t="s">
        <v>2869</v>
      </c>
    </row>
    <row r="325" spans="1:7" ht="25.9" customHeight="1">
      <c r="A325" s="403">
        <v>322</v>
      </c>
      <c r="B325" s="944" t="s">
        <v>1757</v>
      </c>
      <c r="C325" s="944" t="s">
        <v>851</v>
      </c>
      <c r="D325" s="911" t="str">
        <f t="shared" ref="D325:D388" si="5">INDEX($E$4:$G$503,$A325,$A$1)</f>
        <v>- protection solaire extérieure mobile avec volet roulant ou store à lamelles (p.ex. Modules Minergie);</v>
      </c>
      <c r="E325" s="431" t="s">
        <v>2817</v>
      </c>
      <c r="F325" s="914" t="s">
        <v>2818</v>
      </c>
      <c r="G325" s="1432" t="s">
        <v>2819</v>
      </c>
    </row>
    <row r="326" spans="1:7" ht="25.9" customHeight="1">
      <c r="A326" s="403">
        <v>323</v>
      </c>
      <c r="B326" s="944" t="s">
        <v>1757</v>
      </c>
      <c r="C326" s="944" t="s">
        <v>466</v>
      </c>
      <c r="D326" s="911" t="str">
        <f t="shared" si="5"/>
        <v>- rafraîchissement nocturne possible grâce aux fenêtres;</v>
      </c>
      <c r="E326" s="431" t="s">
        <v>1729</v>
      </c>
      <c r="F326" s="914" t="s">
        <v>2266</v>
      </c>
      <c r="G326" s="405" t="s">
        <v>2361</v>
      </c>
    </row>
    <row r="327" spans="1:7" ht="25.9" customHeight="1">
      <c r="A327" s="403">
        <v>324</v>
      </c>
      <c r="B327" s="944" t="s">
        <v>1757</v>
      </c>
      <c r="C327" s="944" t="s">
        <v>854</v>
      </c>
      <c r="D327" s="911" t="str">
        <f t="shared" si="5"/>
        <v>- charges thermiques internes pas plus élevées que la valeur standard figurant dans le cahier technique SIA 2024.</v>
      </c>
      <c r="E327" s="431" t="s">
        <v>1730</v>
      </c>
      <c r="F327" s="914" t="s">
        <v>2267</v>
      </c>
      <c r="G327" s="405" t="s">
        <v>2362</v>
      </c>
    </row>
    <row r="328" spans="1:7" ht="25.9" customHeight="1">
      <c r="A328" s="403">
        <v>325</v>
      </c>
      <c r="B328" s="944" t="s">
        <v>1757</v>
      </c>
      <c r="C328" s="944" t="s">
        <v>856</v>
      </c>
      <c r="D328" s="911" t="str">
        <f t="shared" si="5"/>
        <v>Les locaux de cette zone satisfont-ils les critères?</v>
      </c>
      <c r="E328" s="404" t="s">
        <v>1733</v>
      </c>
      <c r="F328" s="914" t="s">
        <v>2268</v>
      </c>
      <c r="G328" s="405" t="s">
        <v>2363</v>
      </c>
    </row>
    <row r="329" spans="1:7" ht="25.9" customHeight="1">
      <c r="A329" s="403">
        <v>326</v>
      </c>
      <c r="B329" s="944" t="s">
        <v>1757</v>
      </c>
      <c r="C329" s="944" t="s">
        <v>1763</v>
      </c>
      <c r="D329" s="911" t="str">
        <f t="shared" si="5"/>
        <v>Protection solaire extérieure mobile. A déclarer ici sous "autres":</v>
      </c>
      <c r="E329" s="404" t="s">
        <v>1734</v>
      </c>
      <c r="F329" s="914" t="s">
        <v>2269</v>
      </c>
      <c r="G329" s="405" t="s">
        <v>2364</v>
      </c>
    </row>
    <row r="330" spans="1:7" ht="25.9" customHeight="1">
      <c r="A330" s="403">
        <v>327</v>
      </c>
      <c r="B330" s="944" t="s">
        <v>1757</v>
      </c>
      <c r="C330" s="944" t="s">
        <v>888</v>
      </c>
      <c r="D330" s="911" t="str">
        <f t="shared" si="5"/>
        <v>Valeur g et désignation du produit</v>
      </c>
      <c r="E330" s="404" t="s">
        <v>1764</v>
      </c>
      <c r="F330" s="914" t="s">
        <v>2270</v>
      </c>
      <c r="G330" s="405" t="s">
        <v>2365</v>
      </c>
    </row>
    <row r="331" spans="1:7" ht="46.5" customHeight="1">
      <c r="A331" s="403">
        <v>328</v>
      </c>
      <c r="B331" s="944" t="s">
        <v>1757</v>
      </c>
      <c r="C331" s="944" t="s">
        <v>1765</v>
      </c>
      <c r="D331" s="911" t="str">
        <f t="shared" si="5"/>
        <v>Habitation (individuelle ou collective), pièce avec 1 façade et plafond en béton apparent à &gt;80%: - taux de surface vitrée &lt;70%</v>
      </c>
      <c r="E331" s="404" t="s">
        <v>1735</v>
      </c>
      <c r="F331" s="914" t="s">
        <v>2459</v>
      </c>
      <c r="G331" s="405" t="s">
        <v>2465</v>
      </c>
    </row>
    <row r="332" spans="1:7" ht="34.9" customHeight="1">
      <c r="A332" s="403">
        <v>329</v>
      </c>
      <c r="B332" s="944" t="s">
        <v>1757</v>
      </c>
      <c r="C332" s="944" t="s">
        <v>549</v>
      </c>
      <c r="D332" s="911" t="str">
        <f t="shared" si="5"/>
        <v>Habitation (individuelle ou collective), pièce d'angle avec plafond en béton apparent à &gt;80%: - taux de surface vitrée de chaque façade &lt;50%</v>
      </c>
      <c r="E332" s="404" t="s">
        <v>1736</v>
      </c>
      <c r="F332" s="914" t="s">
        <v>2460</v>
      </c>
      <c r="G332" s="1432" t="s">
        <v>2466</v>
      </c>
    </row>
    <row r="333" spans="1:7" ht="49.5" customHeight="1">
      <c r="A333" s="403">
        <v>330</v>
      </c>
      <c r="B333" s="944" t="s">
        <v>1757</v>
      </c>
      <c r="C333" s="944" t="s">
        <v>1766</v>
      </c>
      <c r="D333" s="911" t="str">
        <f t="shared" si="5"/>
        <v>Habitation (individuelle ou collective), pièce d'angle ou pièce avec 1 façade. Dalle en bois avec chape ciment (min. 6 cm d'épaisseur) ou anhydrite (min. 5 cm d'épaisseur):  - taux de surface vitrée &lt;40%</v>
      </c>
      <c r="E333" s="404" t="s">
        <v>1737</v>
      </c>
      <c r="F333" s="914" t="s">
        <v>2865</v>
      </c>
      <c r="G333" s="405" t="s">
        <v>2864</v>
      </c>
    </row>
    <row r="334" spans="1:7" ht="66" customHeight="1">
      <c r="A334" s="403">
        <v>331</v>
      </c>
      <c r="B334" s="944" t="s">
        <v>1757</v>
      </c>
      <c r="C334" s="944" t="s">
        <v>550</v>
      </c>
      <c r="D334" s="911" t="str">
        <f t="shared" si="5"/>
        <v>Habitation (individuelle ou collective), pièce avec 1 façade, plafond en béton apparent à &gt;80% ou chape ciment (min. 6 cm d'épaisseur) ou anhydrite (min. 5 cm d'épaisseur); orientation sud et ombrage par un balcon (min. 1 m de profondeur):  - taux de surface vitrée &lt;100%</v>
      </c>
      <c r="E334" s="404" t="s">
        <v>1738</v>
      </c>
      <c r="F334" s="914" t="s">
        <v>2461</v>
      </c>
      <c r="G334" s="1432" t="s">
        <v>2866</v>
      </c>
    </row>
    <row r="335" spans="1:7" ht="42.75" customHeight="1">
      <c r="A335" s="403">
        <v>332</v>
      </c>
      <c r="B335" s="944" t="s">
        <v>1757</v>
      </c>
      <c r="C335" s="944" t="s">
        <v>551</v>
      </c>
      <c r="D335" s="911" t="str">
        <f t="shared" si="5"/>
        <v>Bureau individuel ou paysager, salle de réunion avec 1 façade et plafond en béton apparent à &gt;80%: - taux de surface vitrée &lt;50% et commande automatique des protections solaires</v>
      </c>
      <c r="E335" s="404" t="s">
        <v>1767</v>
      </c>
      <c r="F335" s="914" t="s">
        <v>2462</v>
      </c>
      <c r="G335" s="405" t="s">
        <v>2868</v>
      </c>
    </row>
    <row r="336" spans="1:7" ht="40.5" customHeight="1">
      <c r="A336" s="403">
        <v>333</v>
      </c>
      <c r="B336" s="944" t="s">
        <v>1757</v>
      </c>
      <c r="C336" s="944" t="s">
        <v>496</v>
      </c>
      <c r="D336" s="911" t="str">
        <f t="shared" si="5"/>
        <v>Bureau individuel ou paysager, salle de réunion avec 2 façades (pièce d'angle) et plafond en béton apparent à &gt;80%: - taux de surface vitrée &lt;35% et commande automatique des protections solaires</v>
      </c>
      <c r="E336" s="404" t="s">
        <v>1768</v>
      </c>
      <c r="F336" s="914" t="s">
        <v>2463</v>
      </c>
      <c r="G336" s="405" t="s">
        <v>2867</v>
      </c>
    </row>
    <row r="337" spans="1:7" ht="25.9" customHeight="1">
      <c r="A337" s="403">
        <v>334</v>
      </c>
      <c r="B337" s="944" t="s">
        <v>1757</v>
      </c>
      <c r="C337" s="944" t="s">
        <v>1770</v>
      </c>
      <c r="D337" s="911" t="str">
        <f t="shared" si="5"/>
        <v>Dépôt avec faibles charges thermiques internes</v>
      </c>
      <c r="E337" s="404" t="s">
        <v>1769</v>
      </c>
      <c r="F337" s="914" t="s">
        <v>2271</v>
      </c>
      <c r="G337" s="405" t="s">
        <v>2366</v>
      </c>
    </row>
    <row r="338" spans="1:7" ht="67.5" customHeight="1">
      <c r="A338" s="403">
        <v>335</v>
      </c>
      <c r="B338" s="944" t="s">
        <v>1757</v>
      </c>
      <c r="C338" s="944" t="s">
        <v>870</v>
      </c>
      <c r="D338" s="911" t="str">
        <f t="shared" si="5"/>
        <v>"n.a.":    non applicable. Un tel type de local n'existe pas.
"oui":     il y a un local de ce type et tous les critères sont remplis.
"non":    il y a un local de ce type mais tous les critères ne sont pas remplis (p.ex. taux de surface vitrée trop élevé).</v>
      </c>
      <c r="E338" s="404" t="s">
        <v>1739</v>
      </c>
      <c r="F338" s="914" t="s">
        <v>2464</v>
      </c>
      <c r="G338" s="405" t="s">
        <v>2467</v>
      </c>
    </row>
    <row r="339" spans="1:7" ht="25.9" customHeight="1">
      <c r="A339" s="403">
        <v>336</v>
      </c>
      <c r="B339" s="944" t="s">
        <v>1757</v>
      </c>
      <c r="C339" s="944" t="s">
        <v>1772</v>
      </c>
      <c r="D339" s="911" t="str">
        <f t="shared" si="5"/>
        <v>Si S14 s'avère exact, "n.a." doit être sélectionné dans S11.</v>
      </c>
      <c r="E339" s="404" t="s">
        <v>1771</v>
      </c>
      <c r="F339" s="914" t="s">
        <v>2272</v>
      </c>
      <c r="G339" s="405" t="s">
        <v>2374</v>
      </c>
    </row>
    <row r="340" spans="1:7" ht="43.5" customHeight="1">
      <c r="A340" s="403">
        <v>337</v>
      </c>
      <c r="B340" s="944" t="s">
        <v>1757</v>
      </c>
      <c r="C340" s="944" t="s">
        <v>1774</v>
      </c>
      <c r="D340" s="911" t="str">
        <f t="shared" si="5"/>
        <v>Si la description est exacte, la condition "taux de surface vitrée" n'est pas significative. Si l'une des caractéristiques ne correspond pas, "n.a." doit être sélectionné.</v>
      </c>
      <c r="E340" s="404" t="s">
        <v>1773</v>
      </c>
      <c r="F340" s="914" t="s">
        <v>2260</v>
      </c>
      <c r="G340" s="405" t="s">
        <v>1930</v>
      </c>
    </row>
    <row r="341" spans="1:7" ht="25.9" customHeight="1">
      <c r="A341" s="403">
        <v>338</v>
      </c>
      <c r="B341" s="944" t="s">
        <v>1757</v>
      </c>
      <c r="C341" s="944" t="s">
        <v>872</v>
      </c>
      <c r="D341" s="911" t="str">
        <f t="shared" si="5"/>
        <v>Variante 2: justification externe des critères selon SIA 382/1 (sans refroidissement)</v>
      </c>
      <c r="E341" s="404" t="s">
        <v>1740</v>
      </c>
      <c r="F341" s="914" t="s">
        <v>2273</v>
      </c>
      <c r="G341" s="405" t="s">
        <v>2368</v>
      </c>
    </row>
    <row r="342" spans="1:7" ht="25.9" customHeight="1">
      <c r="A342" s="403">
        <v>339</v>
      </c>
      <c r="B342" s="944" t="s">
        <v>1757</v>
      </c>
      <c r="C342" s="944" t="s">
        <v>1775</v>
      </c>
      <c r="D342" s="911" t="str">
        <f t="shared" si="5"/>
        <v>Les conditions propres au respect de ces critères sont décrites et documentées en annexe.</v>
      </c>
      <c r="E342" s="404" t="s">
        <v>1741</v>
      </c>
      <c r="F342" s="914" t="s">
        <v>2274</v>
      </c>
      <c r="G342" s="405" t="s">
        <v>2369</v>
      </c>
    </row>
    <row r="343" spans="1:7" ht="25.9" customHeight="1">
      <c r="A343" s="403">
        <v>340</v>
      </c>
      <c r="B343" s="944" t="s">
        <v>1757</v>
      </c>
      <c r="C343" s="944" t="s">
        <v>97</v>
      </c>
      <c r="D343" s="911" t="str">
        <f t="shared" si="5"/>
        <v>SIA 382/1 chiffre</v>
      </c>
      <c r="E343" s="404" t="s">
        <v>1742</v>
      </c>
      <c r="F343" s="914" t="s">
        <v>2275</v>
      </c>
      <c r="G343" s="405" t="s">
        <v>2370</v>
      </c>
    </row>
    <row r="344" spans="1:7" ht="25.9" customHeight="1">
      <c r="A344" s="403">
        <v>341</v>
      </c>
      <c r="B344" s="944" t="s">
        <v>1757</v>
      </c>
      <c r="C344" s="944" t="s">
        <v>1776</v>
      </c>
      <c r="D344" s="911" t="str">
        <f t="shared" si="5"/>
        <v>Les exigences concernant la protection thermique estivale sont remplies conformément au formulaire supplémentaire correspondant.</v>
      </c>
      <c r="E344" s="404" t="s">
        <v>1744</v>
      </c>
      <c r="F344" s="914" t="s">
        <v>2276</v>
      </c>
      <c r="G344" s="405" t="s">
        <v>2371</v>
      </c>
    </row>
    <row r="345" spans="1:7" ht="25.9" customHeight="1">
      <c r="A345" s="403">
        <v>342</v>
      </c>
      <c r="B345" s="944" t="s">
        <v>1757</v>
      </c>
      <c r="C345" s="944" t="s">
        <v>873</v>
      </c>
      <c r="D345" s="911" t="str">
        <f t="shared" si="5"/>
        <v>Remarques concernant la justification externe (manière, annexes, par ex. critères de choix selon Aide à l'utilisation):</v>
      </c>
      <c r="E345" s="404" t="s">
        <v>1749</v>
      </c>
      <c r="F345" s="914" t="s">
        <v>2277</v>
      </c>
      <c r="G345" s="405" t="s">
        <v>2372</v>
      </c>
    </row>
    <row r="346" spans="1:7" ht="25.9" customHeight="1">
      <c r="A346" s="403">
        <v>343</v>
      </c>
      <c r="B346" s="944" t="s">
        <v>1757</v>
      </c>
      <c r="C346" s="944" t="s">
        <v>881</v>
      </c>
      <c r="D346" s="911" t="str">
        <f t="shared" si="5"/>
        <v>Variante 3: justification externe des critères selon SIA 382/1 (avec refroidissement)</v>
      </c>
      <c r="E346" s="404" t="s">
        <v>1777</v>
      </c>
      <c r="F346" s="914" t="s">
        <v>2278</v>
      </c>
      <c r="G346" s="405" t="s">
        <v>2373</v>
      </c>
    </row>
    <row r="347" spans="1:7" ht="41.25" customHeight="1">
      <c r="A347" s="403">
        <v>344</v>
      </c>
      <c r="B347" s="944" t="s">
        <v>1757</v>
      </c>
      <c r="C347" s="944" t="s">
        <v>1778</v>
      </c>
      <c r="D347" s="911" t="str">
        <f t="shared" si="5"/>
        <v>Les températures de l'air intérieur en été sont calculées selon SIA 382/1 chiffre 4.4.4. Sans refroidissement, la courbe limite est dépassée en moins de 100 h.</v>
      </c>
      <c r="E347" s="404" t="s">
        <v>1750</v>
      </c>
      <c r="F347" s="914" t="s">
        <v>2279</v>
      </c>
      <c r="G347" s="405" t="s">
        <v>2375</v>
      </c>
    </row>
    <row r="348" spans="1:7" ht="44.25" customHeight="1">
      <c r="A348" s="403">
        <v>345</v>
      </c>
      <c r="B348" s="944" t="s">
        <v>1757</v>
      </c>
      <c r="C348" s="944" t="s">
        <v>935</v>
      </c>
      <c r="D348" s="911" t="str">
        <f t="shared" si="5"/>
        <v>La zone est refroidie et les besoins en énergie sont calculés. 
Il n'y a aucune température trop élevée en été.</v>
      </c>
      <c r="E348" s="404" t="s">
        <v>1752</v>
      </c>
      <c r="F348" s="914" t="s">
        <v>2284</v>
      </c>
      <c r="G348" s="405" t="s">
        <v>2376</v>
      </c>
    </row>
    <row r="349" spans="1:7" ht="25.9" customHeight="1">
      <c r="A349" s="403">
        <v>346</v>
      </c>
      <c r="B349" s="944" t="s">
        <v>1757</v>
      </c>
      <c r="C349" s="944" t="s">
        <v>940</v>
      </c>
      <c r="D349" s="911" t="str">
        <f t="shared" si="5"/>
        <v>Selon cette déclaration, les exigences pour la protection thermique estivale sont remplies.</v>
      </c>
      <c r="E349" s="404" t="s">
        <v>1756</v>
      </c>
      <c r="F349" s="914" t="s">
        <v>2280</v>
      </c>
      <c r="G349" s="405" t="s">
        <v>2377</v>
      </c>
    </row>
    <row r="350" spans="1:7" ht="25.9" customHeight="1">
      <c r="A350" s="403">
        <v>347</v>
      </c>
      <c r="B350" s="944" t="s">
        <v>1757</v>
      </c>
      <c r="C350" s="944" t="s">
        <v>1779</v>
      </c>
      <c r="D350" s="911" t="str">
        <f t="shared" si="5"/>
        <v>Volets roulants</v>
      </c>
      <c r="E350" s="404" t="s">
        <v>1727</v>
      </c>
      <c r="F350" s="914" t="s">
        <v>2281</v>
      </c>
      <c r="G350" s="405" t="s">
        <v>2820</v>
      </c>
    </row>
    <row r="351" spans="1:7" ht="25.9" customHeight="1">
      <c r="A351" s="403">
        <v>348</v>
      </c>
      <c r="B351" s="944" t="s">
        <v>1757</v>
      </c>
      <c r="C351" s="944" t="s">
        <v>1780</v>
      </c>
      <c r="D351" s="911" t="str">
        <f t="shared" si="5"/>
        <v>Stores à lamelles</v>
      </c>
      <c r="E351" s="404" t="s">
        <v>1781</v>
      </c>
      <c r="F351" s="914" t="s">
        <v>2282</v>
      </c>
      <c r="G351" s="405" t="s">
        <v>2378</v>
      </c>
    </row>
    <row r="352" spans="1:7" ht="25.9" customHeight="1">
      <c r="A352" s="403">
        <v>349</v>
      </c>
      <c r="B352" s="944" t="s">
        <v>1757</v>
      </c>
      <c r="C352" s="944" t="s">
        <v>1782</v>
      </c>
      <c r="D352" s="911" t="str">
        <f t="shared" si="5"/>
        <v>Module Minergie</v>
      </c>
      <c r="E352" s="404" t="s">
        <v>2821</v>
      </c>
      <c r="F352" s="914" t="s">
        <v>2822</v>
      </c>
      <c r="G352" s="405" t="s">
        <v>2379</v>
      </c>
    </row>
    <row r="353" spans="1:7" ht="25.9" customHeight="1">
      <c r="A353" s="403">
        <v>350</v>
      </c>
      <c r="B353" s="944" t="s">
        <v>1757</v>
      </c>
      <c r="C353" s="944" t="s">
        <v>1783</v>
      </c>
      <c r="D353" s="911" t="str">
        <f t="shared" si="5"/>
        <v>Autres</v>
      </c>
      <c r="E353" s="404" t="s">
        <v>179</v>
      </c>
      <c r="F353" s="914" t="s">
        <v>2283</v>
      </c>
      <c r="G353" s="405" t="s">
        <v>1458</v>
      </c>
    </row>
    <row r="354" spans="1:7" ht="25.9" customHeight="1">
      <c r="A354" s="403">
        <v>351</v>
      </c>
      <c r="B354" s="944" t="s">
        <v>1757</v>
      </c>
      <c r="C354" s="944" t="s">
        <v>888</v>
      </c>
      <c r="D354" s="911" t="str">
        <f t="shared" si="5"/>
        <v>Valeur g et désignation du produit</v>
      </c>
      <c r="E354" s="404" t="s">
        <v>1764</v>
      </c>
      <c r="F354" s="914" t="s">
        <v>2270</v>
      </c>
      <c r="G354" s="405" t="s">
        <v>2365</v>
      </c>
    </row>
    <row r="355" spans="1:7" ht="25.9" customHeight="1">
      <c r="A355" s="403">
        <v>352</v>
      </c>
      <c r="B355" s="944" t="s">
        <v>1757</v>
      </c>
      <c r="C355" s="944" t="s">
        <v>1772</v>
      </c>
      <c r="D355" s="911" t="str">
        <f t="shared" si="5"/>
        <v>Si S14 s'avère exact, "n.a." doit être sélectionné dans S11.</v>
      </c>
      <c r="E355" s="404" t="s">
        <v>1771</v>
      </c>
      <c r="F355" s="914" t="s">
        <v>2272</v>
      </c>
      <c r="G355" s="405" t="s">
        <v>2367</v>
      </c>
    </row>
    <row r="356" spans="1:7" ht="25.9" customHeight="1">
      <c r="A356" s="403">
        <v>353</v>
      </c>
      <c r="B356" s="944" t="s">
        <v>53</v>
      </c>
      <c r="C356" s="944" t="s">
        <v>847</v>
      </c>
      <c r="D356" s="911" t="str">
        <f t="shared" si="5"/>
        <v>Nom du projet:</v>
      </c>
      <c r="E356" s="404" t="s">
        <v>1785</v>
      </c>
      <c r="F356" s="914" t="s">
        <v>2285</v>
      </c>
      <c r="G356" s="405" t="s">
        <v>2380</v>
      </c>
    </row>
    <row r="357" spans="1:7" ht="25.9" customHeight="1">
      <c r="A357" s="403">
        <v>354</v>
      </c>
      <c r="B357" s="944" t="s">
        <v>53</v>
      </c>
      <c r="C357" s="944" t="s">
        <v>550</v>
      </c>
      <c r="D357" s="911" t="str">
        <f t="shared" si="5"/>
        <v>Facteur d'enveloppe</v>
      </c>
      <c r="E357" s="404" t="s">
        <v>176</v>
      </c>
      <c r="F357" s="914" t="s">
        <v>2286</v>
      </c>
      <c r="G357" s="405" t="s">
        <v>2381</v>
      </c>
    </row>
    <row r="358" spans="1:7" ht="25.9" customHeight="1">
      <c r="A358" s="403">
        <v>355</v>
      </c>
      <c r="B358" s="944" t="s">
        <v>53</v>
      </c>
      <c r="C358" s="944" t="s">
        <v>1786</v>
      </c>
      <c r="D358" s="911" t="str">
        <f t="shared" si="5"/>
        <v xml:space="preserve">N° MOP: </v>
      </c>
      <c r="E358" s="404" t="s">
        <v>1787</v>
      </c>
      <c r="F358" s="914" t="s">
        <v>2287</v>
      </c>
      <c r="G358" s="405" t="s">
        <v>2870</v>
      </c>
    </row>
    <row r="359" spans="1:7" ht="25.9" customHeight="1">
      <c r="A359" s="403">
        <v>356</v>
      </c>
      <c r="B359" s="944" t="s">
        <v>53</v>
      </c>
      <c r="C359" s="944" t="s">
        <v>850</v>
      </c>
      <c r="D359" s="911" t="str">
        <f t="shared" si="5"/>
        <v>Adresse du bâtiment:</v>
      </c>
      <c r="E359" s="404" t="s">
        <v>1788</v>
      </c>
      <c r="F359" s="914" t="s">
        <v>2288</v>
      </c>
      <c r="G359" s="405" t="s">
        <v>2382</v>
      </c>
    </row>
    <row r="360" spans="1:7" ht="25.9" customHeight="1">
      <c r="A360" s="403">
        <v>357</v>
      </c>
      <c r="B360" s="944" t="s">
        <v>706</v>
      </c>
      <c r="C360" s="944" t="s">
        <v>880</v>
      </c>
      <c r="D360" s="911" t="str">
        <f t="shared" si="5"/>
        <v>Valeur limite pour les besoins en énergie finale sans photovoltaïque</v>
      </c>
      <c r="E360" s="404" t="s">
        <v>1789</v>
      </c>
      <c r="F360" s="914" t="s">
        <v>2289</v>
      </c>
      <c r="G360" s="405" t="s">
        <v>2383</v>
      </c>
    </row>
    <row r="361" spans="1:7" ht="25.9" customHeight="1">
      <c r="A361" s="403">
        <v>358</v>
      </c>
      <c r="B361" s="944" t="s">
        <v>706</v>
      </c>
      <c r="C361" s="944" t="s">
        <v>705</v>
      </c>
      <c r="D361" s="911" t="str">
        <f t="shared" si="5"/>
        <v>Valeur limite pour l'indice Minergie MKZ</v>
      </c>
      <c r="E361" s="404" t="s">
        <v>1790</v>
      </c>
      <c r="F361" s="914" t="s">
        <v>2290</v>
      </c>
      <c r="G361" s="405" t="s">
        <v>2384</v>
      </c>
    </row>
    <row r="362" spans="1:7" ht="25.9" customHeight="1">
      <c r="A362" s="403">
        <v>359</v>
      </c>
      <c r="B362" s="944" t="s">
        <v>313</v>
      </c>
      <c r="C362" s="944" t="s">
        <v>1763</v>
      </c>
      <c r="D362" s="911" t="str">
        <f t="shared" si="5"/>
        <v xml:space="preserve"> - Réduction pour la robinetterie</v>
      </c>
      <c r="E362" s="404" t="s">
        <v>1830</v>
      </c>
      <c r="F362" s="914" t="s">
        <v>2291</v>
      </c>
      <c r="G362" s="1432" t="s">
        <v>2387</v>
      </c>
    </row>
    <row r="363" spans="1:7" ht="25.9" customHeight="1">
      <c r="A363" s="403">
        <v>360</v>
      </c>
      <c r="B363" s="944" t="s">
        <v>313</v>
      </c>
      <c r="C363" s="944" t="s">
        <v>488</v>
      </c>
      <c r="D363" s="911" t="str">
        <f t="shared" si="5"/>
        <v xml:space="preserve"> - Réduction pour le maintien de la chaleur</v>
      </c>
      <c r="E363" s="404" t="s">
        <v>1831</v>
      </c>
      <c r="F363" s="914" t="s">
        <v>2292</v>
      </c>
      <c r="G363" s="1432" t="s">
        <v>2388</v>
      </c>
    </row>
    <row r="364" spans="1:7" ht="25.9" customHeight="1">
      <c r="A364" s="403">
        <v>361</v>
      </c>
      <c r="B364" s="944" t="s">
        <v>313</v>
      </c>
      <c r="C364" s="944" t="s">
        <v>870</v>
      </c>
      <c r="D364" s="911" t="str">
        <f t="shared" si="5"/>
        <v>Electricité</v>
      </c>
      <c r="E364" s="404" t="s">
        <v>1708</v>
      </c>
      <c r="F364" s="914" t="s">
        <v>2293</v>
      </c>
      <c r="G364" s="405" t="s">
        <v>1457</v>
      </c>
    </row>
    <row r="365" spans="1:7" ht="25.9" customHeight="1">
      <c r="A365" s="403">
        <v>362</v>
      </c>
      <c r="B365" s="944" t="s">
        <v>313</v>
      </c>
      <c r="C365" s="944" t="s">
        <v>872</v>
      </c>
      <c r="D365" s="911" t="str">
        <f t="shared" si="5"/>
        <v xml:space="preserve">Données concernant l'utilisation du logement: </v>
      </c>
      <c r="E365" s="404" t="s">
        <v>1715</v>
      </c>
      <c r="F365" s="914" t="s">
        <v>2294</v>
      </c>
      <c r="G365" s="405" t="s">
        <v>2385</v>
      </c>
    </row>
    <row r="366" spans="1:7" ht="25.9" customHeight="1">
      <c r="A366" s="403">
        <v>363</v>
      </c>
      <c r="B366" s="944" t="s">
        <v>313</v>
      </c>
      <c r="C366" s="944" t="s">
        <v>1775</v>
      </c>
      <c r="D366" s="911" t="str">
        <f t="shared" si="5"/>
        <v>Ascenseur / élévateur disponible sur place?</v>
      </c>
      <c r="E366" s="404" t="s">
        <v>2011</v>
      </c>
      <c r="F366" s="914" t="s">
        <v>2295</v>
      </c>
      <c r="G366" s="405" t="s">
        <v>2386</v>
      </c>
    </row>
    <row r="367" spans="1:7" ht="25.9" customHeight="1">
      <c r="A367" s="403">
        <v>364</v>
      </c>
      <c r="B367" s="944" t="s">
        <v>313</v>
      </c>
      <c r="C367" s="944" t="s">
        <v>97</v>
      </c>
      <c r="D367" s="911" t="str">
        <f t="shared" si="5"/>
        <v>Tous les lave-vaisselle sont de classe A+++</v>
      </c>
      <c r="E367" s="404" t="s">
        <v>1710</v>
      </c>
      <c r="F367" s="914" t="s">
        <v>2296</v>
      </c>
      <c r="G367" s="405" t="s">
        <v>2389</v>
      </c>
    </row>
    <row r="368" spans="1:7" ht="25.9" customHeight="1">
      <c r="A368" s="403">
        <v>365</v>
      </c>
      <c r="B368" s="944" t="s">
        <v>313</v>
      </c>
      <c r="C368" s="944" t="s">
        <v>98</v>
      </c>
      <c r="D368" s="911" t="str">
        <f t="shared" si="5"/>
        <v>Tous les réfrigérateurs et congélateurs sont de classe A+++</v>
      </c>
      <c r="E368" s="404" t="s">
        <v>1709</v>
      </c>
      <c r="F368" s="914" t="s">
        <v>2297</v>
      </c>
      <c r="G368" s="405" t="s">
        <v>2390</v>
      </c>
    </row>
    <row r="369" spans="1:7" ht="25.9" customHeight="1">
      <c r="A369" s="403">
        <v>366</v>
      </c>
      <c r="B369" s="944" t="s">
        <v>313</v>
      </c>
      <c r="C369" s="944" t="s">
        <v>1803</v>
      </c>
      <c r="D369" s="911" t="str">
        <f t="shared" si="5"/>
        <v>Tous les lave-linge sont de classe A+++</v>
      </c>
      <c r="E369" s="404" t="s">
        <v>1711</v>
      </c>
      <c r="F369" s="914" t="s">
        <v>2298</v>
      </c>
      <c r="G369" s="405" t="s">
        <v>2391</v>
      </c>
    </row>
    <row r="370" spans="1:7" ht="25.9" customHeight="1">
      <c r="A370" s="403">
        <v>367</v>
      </c>
      <c r="B370" s="944" t="s">
        <v>313</v>
      </c>
      <c r="C370" s="944" t="s">
        <v>438</v>
      </c>
      <c r="D370" s="911" t="str">
        <f t="shared" si="5"/>
        <v>Tous les sèche-linge sont de classe A+++</v>
      </c>
      <c r="E370" s="404" t="s">
        <v>1712</v>
      </c>
      <c r="F370" s="914" t="s">
        <v>2299</v>
      </c>
      <c r="G370" s="405" t="s">
        <v>2392</v>
      </c>
    </row>
    <row r="371" spans="1:7" ht="25.9" customHeight="1">
      <c r="A371" s="403">
        <v>368</v>
      </c>
      <c r="B371" s="944" t="s">
        <v>313</v>
      </c>
      <c r="C371" s="944" t="s">
        <v>380</v>
      </c>
      <c r="D371" s="911" t="str">
        <f t="shared" si="5"/>
        <v>Toutes les cuisinières sont à induction</v>
      </c>
      <c r="E371" s="404" t="s">
        <v>1713</v>
      </c>
      <c r="F371" s="914" t="s">
        <v>2300</v>
      </c>
      <c r="G371" s="405" t="s">
        <v>2393</v>
      </c>
    </row>
    <row r="372" spans="1:7" ht="25.9" customHeight="1">
      <c r="A372" s="403">
        <v>369</v>
      </c>
      <c r="B372" s="944" t="s">
        <v>313</v>
      </c>
      <c r="C372" s="944" t="s">
        <v>487</v>
      </c>
      <c r="D372" s="911" t="str">
        <f t="shared" si="5"/>
        <v>Eclairage résidentiel fixe LED A++</v>
      </c>
      <c r="E372" s="404" t="s">
        <v>1714</v>
      </c>
      <c r="F372" s="914" t="s">
        <v>2301</v>
      </c>
      <c r="G372" s="405" t="s">
        <v>2394</v>
      </c>
    </row>
    <row r="373" spans="1:7" ht="25.9" customHeight="1">
      <c r="A373" s="403">
        <v>370</v>
      </c>
      <c r="B373" s="944" t="s">
        <v>313</v>
      </c>
      <c r="C373" s="944" t="s">
        <v>875</v>
      </c>
      <c r="D373" s="911" t="str">
        <f t="shared" si="5"/>
        <v>Eclairage LED A++ &amp; régulation</v>
      </c>
      <c r="E373" s="404" t="s">
        <v>3354</v>
      </c>
      <c r="F373" s="914" t="s">
        <v>3355</v>
      </c>
      <c r="G373" s="405" t="s">
        <v>3356</v>
      </c>
    </row>
    <row r="374" spans="1:7" ht="25.9" customHeight="1">
      <c r="A374" s="403">
        <v>371</v>
      </c>
      <c r="B374" s="944" t="s">
        <v>313</v>
      </c>
      <c r="C374" s="944" t="s">
        <v>880</v>
      </c>
      <c r="D374" s="911" t="str">
        <f t="shared" si="5"/>
        <v>Autres utilisations: données concernant l'éclairage</v>
      </c>
      <c r="E374" s="404" t="s">
        <v>1804</v>
      </c>
      <c r="F374" s="914" t="s">
        <v>2302</v>
      </c>
      <c r="G374" s="405" t="s">
        <v>2395</v>
      </c>
    </row>
    <row r="375" spans="1:7" ht="25.9" customHeight="1">
      <c r="A375" s="403">
        <v>372</v>
      </c>
      <c r="B375" s="944" t="s">
        <v>313</v>
      </c>
      <c r="C375" s="944" t="s">
        <v>844</v>
      </c>
      <c r="D375" s="911" t="str">
        <f t="shared" si="5"/>
        <v>Données supplémentaires pour le</v>
      </c>
      <c r="E375" s="404" t="s">
        <v>1718</v>
      </c>
      <c r="F375" s="914" t="s">
        <v>2303</v>
      </c>
      <c r="G375" s="405" t="s">
        <v>2396</v>
      </c>
    </row>
    <row r="376" spans="1:7" ht="25.9" customHeight="1">
      <c r="A376" s="403">
        <v>373</v>
      </c>
      <c r="B376" s="944" t="s">
        <v>313</v>
      </c>
      <c r="C376" s="944" t="s">
        <v>845</v>
      </c>
      <c r="D376" s="911" t="str">
        <f t="shared" si="5"/>
        <v>justificatif Minergie</v>
      </c>
      <c r="E376" s="404" t="s">
        <v>2823</v>
      </c>
      <c r="F376" s="914" t="s">
        <v>2824</v>
      </c>
      <c r="G376" s="405" t="s">
        <v>2397</v>
      </c>
    </row>
    <row r="377" spans="1:7" ht="25.9" customHeight="1">
      <c r="A377" s="403">
        <v>374</v>
      </c>
      <c r="B377" s="944" t="s">
        <v>313</v>
      </c>
      <c r="C377" s="944" t="s">
        <v>882</v>
      </c>
      <c r="D377" s="911" t="str">
        <f t="shared" si="5"/>
        <v>Luminaires: module Minergie ou classe A+</v>
      </c>
      <c r="E377" s="404" t="s">
        <v>2825</v>
      </c>
      <c r="F377" s="914" t="s">
        <v>2304</v>
      </c>
      <c r="G377" s="405" t="s">
        <v>2863</v>
      </c>
    </row>
    <row r="378" spans="1:7" ht="25.9" customHeight="1">
      <c r="A378" s="403">
        <v>375</v>
      </c>
      <c r="B378" s="944" t="s">
        <v>313</v>
      </c>
      <c r="C378" s="944" t="s">
        <v>1778</v>
      </c>
      <c r="D378" s="911" t="str">
        <f t="shared" si="5"/>
        <v>Commande d'éclairage de classe A++</v>
      </c>
      <c r="E378" s="404" t="s">
        <v>2826</v>
      </c>
      <c r="F378" s="914" t="s">
        <v>2305</v>
      </c>
      <c r="G378" s="405" t="s">
        <v>2827</v>
      </c>
    </row>
    <row r="379" spans="1:7" ht="25.9" customHeight="1">
      <c r="A379" s="403">
        <v>376</v>
      </c>
      <c r="B379" s="944" t="s">
        <v>313</v>
      </c>
      <c r="C379" s="944" t="s">
        <v>1065</v>
      </c>
      <c r="D379" s="911" t="str">
        <f t="shared" si="5"/>
        <v>Installation photovoltaïque</v>
      </c>
      <c r="E379" s="404" t="s">
        <v>1716</v>
      </c>
      <c r="F379" s="914" t="s">
        <v>1599</v>
      </c>
      <c r="G379" s="405" t="s">
        <v>2398</v>
      </c>
    </row>
    <row r="380" spans="1:7" ht="25.9" customHeight="1">
      <c r="A380" s="403">
        <v>377</v>
      </c>
      <c r="B380" s="944" t="s">
        <v>313</v>
      </c>
      <c r="C380" s="944" t="s">
        <v>1858</v>
      </c>
      <c r="D380" s="911" t="str">
        <f t="shared" si="5"/>
        <v>Rendement annuel [kWh/m2]</v>
      </c>
      <c r="E380" s="404" t="s">
        <v>1717</v>
      </c>
      <c r="F380" s="914" t="s">
        <v>2306</v>
      </c>
      <c r="G380" s="405" t="s">
        <v>2399</v>
      </c>
    </row>
    <row r="381" spans="1:7" ht="25.9" customHeight="1">
      <c r="A381" s="403">
        <v>378</v>
      </c>
      <c r="B381" s="944" t="s">
        <v>313</v>
      </c>
      <c r="C381" s="944" t="s">
        <v>2109</v>
      </c>
      <c r="D381" s="911" t="str">
        <f t="shared" si="5"/>
        <v>Besoins personnels [%]</v>
      </c>
      <c r="E381" s="404" t="s">
        <v>2671</v>
      </c>
      <c r="F381" s="914" t="s">
        <v>2307</v>
      </c>
      <c r="G381" s="405" t="s">
        <v>2400</v>
      </c>
    </row>
    <row r="382" spans="1:7" ht="25.9" customHeight="1">
      <c r="A382" s="403">
        <v>379</v>
      </c>
      <c r="B382" s="944" t="s">
        <v>313</v>
      </c>
      <c r="C382" s="944" t="s">
        <v>941</v>
      </c>
      <c r="D382" s="911" t="str">
        <f t="shared" si="5"/>
        <v>Puissance installée (sans CCF) [kWp]</v>
      </c>
      <c r="E382" s="404" t="s">
        <v>2667</v>
      </c>
      <c r="F382" s="914" t="s">
        <v>2668</v>
      </c>
      <c r="G382" s="405" t="s">
        <v>2531</v>
      </c>
    </row>
    <row r="383" spans="1:7" ht="25.9" customHeight="1">
      <c r="A383" s="403">
        <v>380</v>
      </c>
      <c r="B383" s="944" t="s">
        <v>313</v>
      </c>
      <c r="C383" s="944" t="s">
        <v>943</v>
      </c>
      <c r="D383" s="911" t="str">
        <f t="shared" si="5"/>
        <v>Rendement annuel net [kWh/kWp] (joindre le calcul)</v>
      </c>
      <c r="E383" s="404" t="s">
        <v>1150</v>
      </c>
      <c r="F383" s="914" t="s">
        <v>2308</v>
      </c>
      <c r="G383" s="405" t="s">
        <v>2401</v>
      </c>
    </row>
    <row r="384" spans="1:7" ht="25.9" customHeight="1">
      <c r="A384" s="403">
        <v>381</v>
      </c>
      <c r="B384" s="944" t="s">
        <v>313</v>
      </c>
      <c r="C384" s="944" t="s">
        <v>1857</v>
      </c>
      <c r="D384" s="911" t="str">
        <f t="shared" si="5"/>
        <v>Autres exigences</v>
      </c>
      <c r="E384" s="404" t="s">
        <v>1823</v>
      </c>
      <c r="F384" s="914" t="s">
        <v>2309</v>
      </c>
      <c r="G384" s="405" t="s">
        <v>2402</v>
      </c>
    </row>
    <row r="385" spans="1:7" ht="25.9" customHeight="1">
      <c r="A385" s="403">
        <v>382</v>
      </c>
      <c r="B385" s="944" t="s">
        <v>313</v>
      </c>
      <c r="C385" s="944" t="s">
        <v>1856</v>
      </c>
      <c r="D385" s="911" t="str">
        <f t="shared" si="5"/>
        <v>Autodéclaration/attestation</v>
      </c>
      <c r="E385" s="404" t="s">
        <v>84</v>
      </c>
      <c r="F385" s="914" t="s">
        <v>2310</v>
      </c>
      <c r="G385" s="405" t="s">
        <v>2403</v>
      </c>
    </row>
    <row r="386" spans="1:7" ht="25.9" customHeight="1">
      <c r="A386" s="403">
        <v>383</v>
      </c>
      <c r="B386" s="944" t="s">
        <v>313</v>
      </c>
      <c r="C386" s="944" t="s">
        <v>2110</v>
      </c>
      <c r="D386" s="911" t="str">
        <f t="shared" si="5"/>
        <v xml:space="preserve">Exigence remplie?    </v>
      </c>
      <c r="E386" s="404" t="s">
        <v>2972</v>
      </c>
      <c r="F386" s="914" t="s">
        <v>2970</v>
      </c>
      <c r="G386" s="405" t="s">
        <v>2971</v>
      </c>
    </row>
    <row r="387" spans="1:7" ht="25.9" customHeight="1">
      <c r="A387" s="403">
        <v>384</v>
      </c>
      <c r="B387" s="944" t="s">
        <v>313</v>
      </c>
      <c r="C387" s="944" t="s">
        <v>1855</v>
      </c>
      <c r="D387" s="911" t="str">
        <f t="shared" si="5"/>
        <v>Exigence</v>
      </c>
      <c r="E387" s="404" t="s">
        <v>494</v>
      </c>
      <c r="F387" s="914" t="s">
        <v>2311</v>
      </c>
      <c r="G387" s="405" t="s">
        <v>2404</v>
      </c>
    </row>
    <row r="388" spans="1:7" ht="25.9" customHeight="1">
      <c r="A388" s="403">
        <v>385</v>
      </c>
      <c r="B388" s="944" t="s">
        <v>313</v>
      </c>
      <c r="C388" s="944" t="s">
        <v>1854</v>
      </c>
      <c r="D388" s="911" t="str">
        <f t="shared" si="5"/>
        <v>Valeur objet</v>
      </c>
      <c r="E388" s="404" t="s">
        <v>166</v>
      </c>
      <c r="F388" s="914" t="s">
        <v>2312</v>
      </c>
      <c r="G388" s="405" t="s">
        <v>2405</v>
      </c>
    </row>
    <row r="389" spans="1:7" ht="25.9" customHeight="1">
      <c r="A389" s="403">
        <v>386</v>
      </c>
      <c r="B389" s="944" t="s">
        <v>622</v>
      </c>
      <c r="C389" s="944" t="s">
        <v>1808</v>
      </c>
      <c r="D389" s="911" t="str">
        <f t="shared" ref="D389:D452" si="6">INDEX($E$4:$G$503,$A389,$A$1)</f>
        <v>Etanchéité de la surface de l'enveloppe</v>
      </c>
      <c r="E389" s="404" t="s">
        <v>2664</v>
      </c>
      <c r="F389" s="914" t="s">
        <v>2665</v>
      </c>
      <c r="G389" s="405" t="s">
        <v>2666</v>
      </c>
    </row>
    <row r="390" spans="1:7" ht="25.9" customHeight="1">
      <c r="A390" s="403">
        <v>387</v>
      </c>
      <c r="B390" s="944" t="s">
        <v>622</v>
      </c>
      <c r="C390" s="944" t="s">
        <v>1809</v>
      </c>
      <c r="D390" s="911" t="str">
        <f t="shared" si="6"/>
        <v>Etanchéité de la surface de l'enveloppe, rénovation</v>
      </c>
      <c r="E390" s="404" t="s">
        <v>2521</v>
      </c>
      <c r="F390" s="914" t="s">
        <v>2313</v>
      </c>
      <c r="G390" s="405" t="s">
        <v>2406</v>
      </c>
    </row>
    <row r="391" spans="1:7" ht="25.9" customHeight="1">
      <c r="A391" s="403">
        <v>388</v>
      </c>
      <c r="B391" s="944" t="s">
        <v>313</v>
      </c>
      <c r="C391" s="944" t="s">
        <v>874</v>
      </c>
      <c r="D391" s="911" t="str">
        <f t="shared" si="6"/>
        <v>Appareils efficaces Electricité générale</v>
      </c>
      <c r="E391" s="404" t="s">
        <v>2828</v>
      </c>
      <c r="F391" s="914" t="s">
        <v>2532</v>
      </c>
      <c r="G391" s="405" t="s">
        <v>2530</v>
      </c>
    </row>
    <row r="392" spans="1:7" ht="25.9" customHeight="1">
      <c r="A392" s="403">
        <v>389</v>
      </c>
      <c r="B392" s="944" t="s">
        <v>622</v>
      </c>
      <c r="C392" s="944" t="s">
        <v>1810</v>
      </c>
      <c r="D392" s="911" t="str">
        <f t="shared" si="6"/>
        <v>Eau chaude</v>
      </c>
      <c r="E392" s="404" t="s">
        <v>244</v>
      </c>
      <c r="F392" s="914" t="s">
        <v>1648</v>
      </c>
      <c r="G392" s="405" t="s">
        <v>2407</v>
      </c>
    </row>
    <row r="393" spans="1:7" ht="25.9" customHeight="1">
      <c r="A393" s="403">
        <v>390</v>
      </c>
      <c r="B393" s="944" t="s">
        <v>622</v>
      </c>
      <c r="C393" s="944" t="s">
        <v>1811</v>
      </c>
      <c r="D393" s="911" t="str">
        <f t="shared" si="6"/>
        <v>Rejets thermiques issus de froid industriel</v>
      </c>
      <c r="E393" s="404" t="s">
        <v>195</v>
      </c>
      <c r="F393" s="914" t="s">
        <v>2314</v>
      </c>
      <c r="G393" s="405" t="s">
        <v>2408</v>
      </c>
    </row>
    <row r="394" spans="1:7" ht="25.9" customHeight="1">
      <c r="A394" s="403">
        <v>391</v>
      </c>
      <c r="B394" s="944" t="s">
        <v>622</v>
      </c>
      <c r="C394" s="944" t="s">
        <v>1812</v>
      </c>
      <c r="D394" s="911" t="str">
        <f t="shared" si="6"/>
        <v>Rejets thermiques</v>
      </c>
      <c r="E394" s="404" t="s">
        <v>38</v>
      </c>
      <c r="F394" s="914" t="s">
        <v>2315</v>
      </c>
      <c r="G394" s="405" t="s">
        <v>2409</v>
      </c>
    </row>
    <row r="395" spans="1:7" ht="25.9" customHeight="1">
      <c r="A395" s="403">
        <v>392</v>
      </c>
      <c r="B395" s="944" t="s">
        <v>622</v>
      </c>
      <c r="C395" s="944" t="s">
        <v>1814</v>
      </c>
      <c r="D395" s="911" t="str">
        <f t="shared" si="6"/>
        <v>Utilisation des rejets thermiques</v>
      </c>
      <c r="E395" s="404" t="s">
        <v>1813</v>
      </c>
      <c r="F395" s="914" t="s">
        <v>2316</v>
      </c>
      <c r="G395" s="405" t="s">
        <v>2410</v>
      </c>
    </row>
    <row r="396" spans="1:7" ht="25.9" customHeight="1">
      <c r="A396" s="403">
        <v>393</v>
      </c>
      <c r="B396" s="944" t="s">
        <v>622</v>
      </c>
      <c r="C396" s="944" t="s">
        <v>1815</v>
      </c>
      <c r="D396" s="911" t="str">
        <f t="shared" si="6"/>
        <v>Exploitation optimisée piscine couverte</v>
      </c>
      <c r="E396" s="404" t="s">
        <v>167</v>
      </c>
      <c r="F396" s="914" t="s">
        <v>2317</v>
      </c>
      <c r="G396" s="405" t="s">
        <v>2411</v>
      </c>
    </row>
    <row r="397" spans="1:7" ht="25.9" customHeight="1">
      <c r="A397" s="403">
        <v>394</v>
      </c>
      <c r="B397" s="944" t="s">
        <v>622</v>
      </c>
      <c r="C397" s="944" t="s">
        <v>1811</v>
      </c>
      <c r="D397" s="911" t="str">
        <f t="shared" si="6"/>
        <v>Recours aux énergies renouvelables</v>
      </c>
      <c r="E397" s="404" t="s">
        <v>1945</v>
      </c>
      <c r="F397" s="914" t="s">
        <v>2318</v>
      </c>
      <c r="G397" s="405" t="s">
        <v>2412</v>
      </c>
    </row>
    <row r="398" spans="1:7" ht="25.9" customHeight="1">
      <c r="A398" s="403">
        <v>395</v>
      </c>
      <c r="B398" s="944" t="s">
        <v>622</v>
      </c>
      <c r="C398" s="944" t="s">
        <v>1944</v>
      </c>
      <c r="D398" s="911" t="str">
        <f t="shared" si="6"/>
        <v>Production de rejets thermiques?</v>
      </c>
      <c r="E398" s="404" t="s">
        <v>37</v>
      </c>
      <c r="F398" s="914" t="s">
        <v>2319</v>
      </c>
      <c r="G398" s="405" t="s">
        <v>2413</v>
      </c>
    </row>
    <row r="399" spans="1:7" ht="25.9" customHeight="1">
      <c r="A399" s="403">
        <v>396</v>
      </c>
      <c r="B399" s="944" t="s">
        <v>622</v>
      </c>
      <c r="C399" s="944" t="s">
        <v>1816</v>
      </c>
      <c r="D399" s="911" t="str">
        <f t="shared" si="6"/>
        <v>Recours à 20% d'énergies renouvelables?</v>
      </c>
      <c r="E399" s="404" t="s">
        <v>1933</v>
      </c>
      <c r="F399" s="914" t="s">
        <v>2320</v>
      </c>
      <c r="G399" s="405" t="s">
        <v>2414</v>
      </c>
    </row>
    <row r="400" spans="1:7" ht="25.9" customHeight="1">
      <c r="A400" s="403">
        <v>397</v>
      </c>
      <c r="B400" s="944" t="s">
        <v>622</v>
      </c>
      <c r="C400" s="944" t="s">
        <v>1817</v>
      </c>
      <c r="D400" s="911" t="str">
        <f t="shared" si="6"/>
        <v>Etanchéité qa,50 &lt; 1,2 m3/(h*m2)</v>
      </c>
      <c r="E400" s="404" t="s">
        <v>2522</v>
      </c>
      <c r="F400" s="914" t="s">
        <v>2321</v>
      </c>
      <c r="G400" s="405" t="s">
        <v>2415</v>
      </c>
    </row>
    <row r="401" spans="1:7" ht="25.9" customHeight="1">
      <c r="A401" s="403">
        <v>398</v>
      </c>
      <c r="B401" s="944" t="s">
        <v>622</v>
      </c>
      <c r="C401" s="944" t="s">
        <v>1817</v>
      </c>
      <c r="D401" s="911" t="str">
        <f t="shared" si="6"/>
        <v>Etanchéité qa,50 &lt; 0,8 m3/(h*m2)</v>
      </c>
      <c r="E401" s="404" t="s">
        <v>2523</v>
      </c>
      <c r="F401" s="914" t="s">
        <v>2322</v>
      </c>
      <c r="G401" s="405" t="s">
        <v>2416</v>
      </c>
    </row>
    <row r="402" spans="1:7" ht="25.9" customHeight="1">
      <c r="A402" s="403">
        <v>399</v>
      </c>
      <c r="B402" s="944" t="s">
        <v>622</v>
      </c>
      <c r="C402" s="944" t="s">
        <v>1819</v>
      </c>
      <c r="D402" s="911" t="str">
        <f t="shared" si="6"/>
        <v>Les rejets thermiques sont-ils utilisés?</v>
      </c>
      <c r="E402" s="404" t="s">
        <v>1818</v>
      </c>
      <c r="F402" s="914" t="s">
        <v>2323</v>
      </c>
      <c r="G402" s="405" t="s">
        <v>2417</v>
      </c>
    </row>
    <row r="403" spans="1:7" ht="25.9" customHeight="1">
      <c r="A403" s="403">
        <v>400</v>
      </c>
      <c r="B403" s="944" t="s">
        <v>622</v>
      </c>
      <c r="C403" s="944" t="s">
        <v>1820</v>
      </c>
      <c r="D403" s="911" t="str">
        <f t="shared" si="6"/>
        <v>RC avec PAC sur ventilation, RC des eaux de piscine</v>
      </c>
      <c r="E403" s="404" t="s">
        <v>528</v>
      </c>
      <c r="F403" s="914" t="s">
        <v>2324</v>
      </c>
      <c r="G403" s="405" t="s">
        <v>2418</v>
      </c>
    </row>
    <row r="404" spans="1:7" ht="25.9" customHeight="1">
      <c r="A404" s="403">
        <v>401</v>
      </c>
      <c r="B404" s="944" t="s">
        <v>622</v>
      </c>
      <c r="C404" s="944" t="s">
        <v>1049</v>
      </c>
      <c r="D404" s="911" t="str">
        <f t="shared" si="6"/>
        <v>Etanchéité qa,50 &lt; 1,6 m3/(h*m2)</v>
      </c>
      <c r="E404" s="404" t="s">
        <v>2524</v>
      </c>
      <c r="F404" s="914" t="s">
        <v>2325</v>
      </c>
      <c r="G404" s="405" t="s">
        <v>2419</v>
      </c>
    </row>
    <row r="405" spans="1:7" ht="25.9" customHeight="1">
      <c r="A405" s="403">
        <v>402</v>
      </c>
      <c r="B405" s="944" t="s">
        <v>622</v>
      </c>
      <c r="C405" s="944" t="s">
        <v>1943</v>
      </c>
      <c r="D405" s="911" t="str">
        <f t="shared" si="6"/>
        <v>Pics de charge couverts avec max. 30% d'énergies fossiles?</v>
      </c>
      <c r="E405" s="404" t="s">
        <v>1946</v>
      </c>
      <c r="F405" s="914" t="s">
        <v>2326</v>
      </c>
      <c r="G405" s="405" t="s">
        <v>2420</v>
      </c>
    </row>
    <row r="406" spans="1:7" ht="25.9" customHeight="1">
      <c r="A406" s="403">
        <v>403</v>
      </c>
      <c r="B406" s="944" t="s">
        <v>622</v>
      </c>
      <c r="C406" s="944" t="s">
        <v>1817</v>
      </c>
      <c r="D406" s="911" t="str">
        <f t="shared" si="6"/>
        <v>Concept d'étanchéité annexé?</v>
      </c>
      <c r="E406" s="404" t="s">
        <v>2974</v>
      </c>
      <c r="F406" s="914" t="s">
        <v>2973</v>
      </c>
      <c r="G406" s="405" t="s">
        <v>3529</v>
      </c>
    </row>
    <row r="407" spans="1:7" ht="25.9" customHeight="1">
      <c r="A407" s="403">
        <v>404</v>
      </c>
      <c r="B407" s="944" t="s">
        <v>313</v>
      </c>
      <c r="C407" s="944" t="s">
        <v>1805</v>
      </c>
      <c r="D407" s="911" t="str">
        <f t="shared" si="6"/>
        <v>Eclairage: valeur du projet SIA 387/4</v>
      </c>
      <c r="E407" s="404" t="s">
        <v>3375</v>
      </c>
      <c r="F407" s="914" t="s">
        <v>3376</v>
      </c>
      <c r="G407" s="405" t="s">
        <v>3377</v>
      </c>
    </row>
    <row r="408" spans="1:7" ht="25.9" customHeight="1">
      <c r="A408" s="403">
        <v>405</v>
      </c>
      <c r="B408" s="944" t="s">
        <v>313</v>
      </c>
      <c r="C408" s="944" t="s">
        <v>935</v>
      </c>
      <c r="D408" s="911" t="str">
        <f t="shared" si="6"/>
        <v>Eclairage: valeur moyenne SIA 387/4</v>
      </c>
      <c r="E408" s="404" t="s">
        <v>3502</v>
      </c>
      <c r="F408" s="914" t="s">
        <v>3503</v>
      </c>
      <c r="G408" s="405" t="s">
        <v>3504</v>
      </c>
    </row>
    <row r="409" spans="1:7" ht="25.9" customHeight="1">
      <c r="A409" s="403">
        <v>406</v>
      </c>
      <c r="B409" s="944" t="s">
        <v>313</v>
      </c>
      <c r="C409" s="944" t="s">
        <v>1853</v>
      </c>
      <c r="D409" s="911" t="str">
        <f t="shared" si="6"/>
        <v>Exigence éclairage respectée?</v>
      </c>
      <c r="E409" s="404" t="s">
        <v>1822</v>
      </c>
      <c r="F409" s="914" t="s">
        <v>2327</v>
      </c>
      <c r="G409" s="405" t="s">
        <v>2421</v>
      </c>
    </row>
    <row r="410" spans="1:7" ht="25.9" customHeight="1">
      <c r="A410" s="403">
        <v>407</v>
      </c>
      <c r="B410" s="944" t="s">
        <v>313</v>
      </c>
      <c r="C410" s="944" t="s">
        <v>496</v>
      </c>
      <c r="D410" s="911" t="str">
        <f t="shared" si="6"/>
        <v>Nombre d’unités d’habitation</v>
      </c>
      <c r="E410" s="404" t="s">
        <v>2251</v>
      </c>
      <c r="F410" s="914" t="s">
        <v>2533</v>
      </c>
      <c r="G410" s="405" t="s">
        <v>2529</v>
      </c>
    </row>
    <row r="411" spans="1:7" ht="25.9" customHeight="1">
      <c r="A411" s="403">
        <v>408</v>
      </c>
      <c r="B411" s="944" t="s">
        <v>313</v>
      </c>
      <c r="C411" s="944" t="s">
        <v>1765</v>
      </c>
      <c r="D411" s="911" t="str">
        <f t="shared" si="6"/>
        <v xml:space="preserve"> - Longueur des bandes de chauffage</v>
      </c>
      <c r="E411" s="431" t="s">
        <v>1847</v>
      </c>
      <c r="F411" s="914" t="s">
        <v>2328</v>
      </c>
      <c r="G411" s="1432" t="s">
        <v>2439</v>
      </c>
    </row>
    <row r="412" spans="1:7" ht="25.9" customHeight="1">
      <c r="A412" s="403">
        <v>409</v>
      </c>
      <c r="B412" s="944" t="s">
        <v>313</v>
      </c>
      <c r="C412" s="944" t="s">
        <v>881</v>
      </c>
      <c r="D412" s="911" t="str">
        <f t="shared" si="6"/>
        <v>Eclairage: rénovation complète?</v>
      </c>
      <c r="E412" s="404" t="s">
        <v>1852</v>
      </c>
      <c r="F412" s="914" t="s">
        <v>2329</v>
      </c>
      <c r="G412" s="405" t="s">
        <v>2422</v>
      </c>
    </row>
    <row r="413" spans="1:7" ht="25.9" customHeight="1">
      <c r="A413" s="403">
        <v>410</v>
      </c>
      <c r="B413" s="944" t="s">
        <v>313</v>
      </c>
      <c r="C413" s="944" t="s">
        <v>2108</v>
      </c>
      <c r="D413" s="911" t="str">
        <f t="shared" si="6"/>
        <v>Apport annuel spécifique [kWh/kWp]</v>
      </c>
      <c r="E413" s="404" t="s">
        <v>2672</v>
      </c>
      <c r="F413" s="914" t="s">
        <v>3133</v>
      </c>
      <c r="G413" s="405" t="s">
        <v>3134</v>
      </c>
    </row>
    <row r="414" spans="1:7" ht="25.9" customHeight="1">
      <c r="A414" s="403">
        <v>411</v>
      </c>
      <c r="B414" s="944" t="s">
        <v>313</v>
      </c>
      <c r="C414" s="944" t="s">
        <v>944</v>
      </c>
      <c r="D414" s="911" t="str">
        <f t="shared" si="6"/>
        <v>Puissance installée spécifique, par m2 SRE:</v>
      </c>
      <c r="E414" s="404" t="s">
        <v>1875</v>
      </c>
      <c r="F414" s="914" t="s">
        <v>2330</v>
      </c>
      <c r="G414" s="405" t="s">
        <v>2423</v>
      </c>
    </row>
    <row r="415" spans="1:7" ht="25.9" customHeight="1">
      <c r="A415" s="403">
        <v>412</v>
      </c>
      <c r="B415" s="944" t="s">
        <v>622</v>
      </c>
      <c r="C415" s="944" t="s">
        <v>1821</v>
      </c>
      <c r="D415" s="911" t="str">
        <f t="shared" si="6"/>
        <v>Interventions importantes sur installations techniques?</v>
      </c>
      <c r="E415" s="404" t="s">
        <v>1950</v>
      </c>
      <c r="F415" s="914" t="s">
        <v>2331</v>
      </c>
      <c r="G415" s="405" t="s">
        <v>2424</v>
      </c>
    </row>
    <row r="416" spans="1:7" ht="25.9" customHeight="1">
      <c r="A416" s="403">
        <v>413</v>
      </c>
      <c r="B416" s="944" t="s">
        <v>622</v>
      </c>
      <c r="C416" s="944" t="s">
        <v>1949</v>
      </c>
      <c r="D416" s="911" t="str">
        <f t="shared" si="6"/>
        <v>Concept de monitoring</v>
      </c>
      <c r="E416" s="404" t="s">
        <v>1947</v>
      </c>
      <c r="F416" s="914" t="s">
        <v>2332</v>
      </c>
      <c r="G416" s="405" t="s">
        <v>2425</v>
      </c>
    </row>
    <row r="417" spans="1:7" ht="25.9" customHeight="1">
      <c r="A417" s="403">
        <v>414</v>
      </c>
      <c r="B417" s="944" t="s">
        <v>622</v>
      </c>
      <c r="C417" s="944" t="s">
        <v>1952</v>
      </c>
      <c r="D417" s="911" t="str">
        <f t="shared" si="6"/>
        <v>Concept de monitoring annexé?</v>
      </c>
      <c r="E417" s="404" t="s">
        <v>1953</v>
      </c>
      <c r="F417" s="914" t="s">
        <v>2333</v>
      </c>
      <c r="G417" s="405" t="s">
        <v>2426</v>
      </c>
    </row>
    <row r="418" spans="1:7" ht="25.9" customHeight="1">
      <c r="A418" s="403">
        <v>415</v>
      </c>
      <c r="B418" s="944" t="s">
        <v>1807</v>
      </c>
      <c r="C418" s="944" t="s">
        <v>1765</v>
      </c>
      <c r="D418" s="911" t="str">
        <f t="shared" si="6"/>
        <v>Projet</v>
      </c>
      <c r="E418" s="404" t="s">
        <v>1897</v>
      </c>
      <c r="F418" s="914" t="s">
        <v>2334</v>
      </c>
      <c r="G418" s="405" t="s">
        <v>2427</v>
      </c>
    </row>
    <row r="419" spans="1:7" ht="25.9" customHeight="1">
      <c r="A419" s="403">
        <v>416</v>
      </c>
      <c r="B419" s="944" t="s">
        <v>1807</v>
      </c>
      <c r="C419" s="944" t="s">
        <v>850</v>
      </c>
      <c r="D419" s="911" t="str">
        <f t="shared" si="6"/>
        <v>Instructions</v>
      </c>
      <c r="E419" s="404" t="s">
        <v>1888</v>
      </c>
      <c r="F419" s="914" t="s">
        <v>2335</v>
      </c>
      <c r="G419" s="405" t="s">
        <v>2428</v>
      </c>
    </row>
    <row r="420" spans="1:7" ht="45" customHeight="1">
      <c r="A420" s="403">
        <v>417</v>
      </c>
      <c r="B420" s="944" t="s">
        <v>1807</v>
      </c>
      <c r="C420" s="944" t="s">
        <v>1900</v>
      </c>
      <c r="D420" s="911" t="str">
        <f t="shared" si="6"/>
        <v>Le présent formulaire sert à la justification des labels Minergie, Minergie-P et Minergie-A. Le label correspondant peut être</v>
      </c>
      <c r="E420" s="404" t="s">
        <v>1889</v>
      </c>
      <c r="F420" s="914" t="s">
        <v>2856</v>
      </c>
      <c r="G420" s="405" t="s">
        <v>3530</v>
      </c>
    </row>
    <row r="421" spans="1:7" ht="42" customHeight="1">
      <c r="A421" s="403">
        <v>418</v>
      </c>
      <c r="B421" s="944" t="s">
        <v>1807</v>
      </c>
      <c r="C421" s="944" t="s">
        <v>1761</v>
      </c>
      <c r="D421" s="911" t="str">
        <f t="shared" si="6"/>
        <v>sélectionné dans la feuille "Entrées". Une fois le justificatif rempli, il doit être téléchargé sur la plateforme Minergie online (MOP).</v>
      </c>
      <c r="E421" s="404" t="s">
        <v>1890</v>
      </c>
      <c r="F421" s="914" t="s">
        <v>2855</v>
      </c>
      <c r="G421" s="405" t="s">
        <v>2860</v>
      </c>
    </row>
    <row r="422" spans="1:7" ht="42.75" customHeight="1">
      <c r="A422" s="403">
        <v>419</v>
      </c>
      <c r="B422" s="944" t="s">
        <v>1807</v>
      </c>
      <c r="C422" s="944" t="s">
        <v>1049</v>
      </c>
      <c r="D422" s="911" t="str">
        <f t="shared" si="6"/>
        <v>Après transmission sur MOP, le formulaire de demande est généré automatiquement. La demande signée, le présent formulaire</v>
      </c>
      <c r="E422" s="404" t="s">
        <v>1891</v>
      </c>
      <c r="F422" s="914" t="s">
        <v>2857</v>
      </c>
      <c r="G422" s="405" t="s">
        <v>2862</v>
      </c>
    </row>
    <row r="423" spans="1:7" ht="45" customHeight="1">
      <c r="A423" s="403">
        <v>420</v>
      </c>
      <c r="B423" s="944" t="s">
        <v>1807</v>
      </c>
      <c r="C423" s="944" t="s">
        <v>1762</v>
      </c>
      <c r="D423" s="911" t="str">
        <f t="shared" si="6"/>
        <v>justificatif et tous les éventuels documents notifiés sur la demande doivent être envoyés au format papier à l'office de certification</v>
      </c>
      <c r="E423" s="404" t="s">
        <v>1892</v>
      </c>
      <c r="F423" s="914" t="s">
        <v>2858</v>
      </c>
      <c r="G423" s="405" t="s">
        <v>2861</v>
      </c>
    </row>
    <row r="424" spans="1:7" ht="36" customHeight="1">
      <c r="A424" s="403">
        <v>421</v>
      </c>
      <c r="B424" s="944" t="s">
        <v>1807</v>
      </c>
      <c r="C424" s="944" t="s">
        <v>851</v>
      </c>
      <c r="D424" s="911" t="str">
        <f t="shared" si="6"/>
        <v>compétent. Observer le code couleur suivant pour remplir le formulaire justificatif:</v>
      </c>
      <c r="E424" s="404" t="s">
        <v>1893</v>
      </c>
      <c r="F424" s="914" t="s">
        <v>2859</v>
      </c>
      <c r="G424" s="405" t="s">
        <v>2429</v>
      </c>
    </row>
    <row r="425" spans="1:7" ht="25.9" customHeight="1">
      <c r="A425" s="403">
        <v>422</v>
      </c>
      <c r="B425" s="944" t="s">
        <v>1807</v>
      </c>
      <c r="C425" s="944" t="s">
        <v>856</v>
      </c>
      <c r="D425" s="911" t="str">
        <f t="shared" si="6"/>
        <v>Champ de saisie (obligatoire)</v>
      </c>
      <c r="E425" s="404" t="s">
        <v>1894</v>
      </c>
      <c r="F425" s="914" t="s">
        <v>2336</v>
      </c>
      <c r="G425" s="405" t="s">
        <v>2430</v>
      </c>
    </row>
    <row r="426" spans="1:7" ht="25.9" customHeight="1">
      <c r="A426" s="403">
        <v>423</v>
      </c>
      <c r="B426" s="944" t="s">
        <v>1807</v>
      </c>
      <c r="C426" s="944" t="s">
        <v>1901</v>
      </c>
      <c r="D426" s="911" t="str">
        <f t="shared" si="6"/>
        <v>Champ de saisie (facultatif)</v>
      </c>
      <c r="E426" s="404" t="s">
        <v>1895</v>
      </c>
      <c r="F426" s="914" t="s">
        <v>2337</v>
      </c>
      <c r="G426" s="405" t="s">
        <v>2431</v>
      </c>
    </row>
    <row r="427" spans="1:7" ht="25.9" customHeight="1">
      <c r="A427" s="403">
        <v>424</v>
      </c>
      <c r="B427" s="944" t="s">
        <v>1807</v>
      </c>
      <c r="C427" s="944" t="s">
        <v>1902</v>
      </c>
      <c r="D427" s="911" t="str">
        <f t="shared" si="6"/>
        <v>Liste déroulante (obligatoire)</v>
      </c>
      <c r="E427" s="404" t="s">
        <v>1896</v>
      </c>
      <c r="F427" s="914" t="s">
        <v>2338</v>
      </c>
      <c r="G427" s="405" t="s">
        <v>2432</v>
      </c>
    </row>
    <row r="428" spans="1:7" ht="25.9" customHeight="1">
      <c r="A428" s="403">
        <v>425</v>
      </c>
      <c r="B428" s="944" t="s">
        <v>1807</v>
      </c>
      <c r="C428" s="944" t="s">
        <v>868</v>
      </c>
      <c r="D428" s="911" t="str">
        <f t="shared" si="6"/>
        <v>Satisfaction de l'exigence principale</v>
      </c>
      <c r="E428" s="404" t="s">
        <v>1898</v>
      </c>
      <c r="F428" s="914" t="s">
        <v>2339</v>
      </c>
      <c r="G428" s="405" t="s">
        <v>2433</v>
      </c>
    </row>
    <row r="429" spans="1:7" ht="25.9" customHeight="1">
      <c r="A429" s="403">
        <v>426</v>
      </c>
      <c r="B429" s="944" t="s">
        <v>1807</v>
      </c>
      <c r="C429" s="944" t="s">
        <v>98</v>
      </c>
      <c r="D429" s="911" t="str">
        <f t="shared" si="6"/>
        <v>Satisfaction des exigences de base</v>
      </c>
      <c r="E429" s="404" t="s">
        <v>2243</v>
      </c>
      <c r="F429" s="914" t="s">
        <v>2340</v>
      </c>
      <c r="G429" s="405" t="s">
        <v>2434</v>
      </c>
    </row>
    <row r="430" spans="1:7" ht="25.9" customHeight="1">
      <c r="A430" s="403">
        <v>427</v>
      </c>
      <c r="B430" s="944" t="s">
        <v>1807</v>
      </c>
      <c r="C430" s="944" t="s">
        <v>870</v>
      </c>
      <c r="D430" s="911" t="str">
        <f t="shared" si="6"/>
        <v>Indice Minergie en kWh/m2</v>
      </c>
      <c r="E430" s="404" t="s">
        <v>1899</v>
      </c>
      <c r="F430" s="914" t="s">
        <v>2341</v>
      </c>
      <c r="G430" s="405" t="s">
        <v>2435</v>
      </c>
    </row>
    <row r="431" spans="1:7" ht="25.9" customHeight="1">
      <c r="A431" s="403">
        <v>428</v>
      </c>
      <c r="B431" s="944" t="s">
        <v>1807</v>
      </c>
      <c r="C431" s="944" t="s">
        <v>513</v>
      </c>
      <c r="D431" s="911" t="str">
        <f t="shared" si="6"/>
        <v>Indice Minergie en CO2/m2</v>
      </c>
      <c r="E431" s="404" t="s">
        <v>2228</v>
      </c>
      <c r="F431" s="914" t="s">
        <v>2342</v>
      </c>
      <c r="G431" s="405" t="s">
        <v>2436</v>
      </c>
    </row>
    <row r="432" spans="1:7" ht="25.9" customHeight="1">
      <c r="A432" s="403">
        <v>429</v>
      </c>
      <c r="B432" s="944" t="s">
        <v>1807</v>
      </c>
      <c r="C432" s="944" t="s">
        <v>438</v>
      </c>
      <c r="D432" s="911" t="str">
        <f t="shared" si="6"/>
        <v>Besoins de chaleur en kWh/m²</v>
      </c>
      <c r="E432" s="404" t="s">
        <v>2829</v>
      </c>
      <c r="F432" s="914" t="s">
        <v>2830</v>
      </c>
      <c r="G432" s="405" t="s">
        <v>2437</v>
      </c>
    </row>
    <row r="433" spans="1:7" ht="25.9" customHeight="1">
      <c r="A433" s="403">
        <v>430</v>
      </c>
      <c r="B433" s="944" t="s">
        <v>1807</v>
      </c>
      <c r="C433" s="944" t="s">
        <v>380</v>
      </c>
      <c r="D433" s="911" t="str">
        <f t="shared" si="6"/>
        <v>Energie finale sans photovoltaïque en kWh/m²</v>
      </c>
      <c r="E433" s="404" t="s">
        <v>2831</v>
      </c>
      <c r="F433" s="914" t="s">
        <v>2832</v>
      </c>
      <c r="G433" s="405" t="s">
        <v>2438</v>
      </c>
    </row>
    <row r="434" spans="1:7" ht="25.9" customHeight="1">
      <c r="A434" s="403">
        <v>431</v>
      </c>
      <c r="B434" s="944" t="s">
        <v>1807</v>
      </c>
      <c r="C434" s="944" t="s">
        <v>487</v>
      </c>
      <c r="D434" s="911" t="str">
        <f t="shared" si="6"/>
        <v>Valeur limite Minergie pour l'éclairage en kWh/m²</v>
      </c>
      <c r="E434" s="404" t="s">
        <v>2833</v>
      </c>
      <c r="F434" s="914" t="s">
        <v>2834</v>
      </c>
      <c r="G434" s="405" t="s">
        <v>2440</v>
      </c>
    </row>
    <row r="435" spans="1:7" ht="25.9" customHeight="1">
      <c r="A435" s="403">
        <v>432</v>
      </c>
      <c r="B435" s="944" t="s">
        <v>1807</v>
      </c>
      <c r="C435" s="944" t="s">
        <v>874</v>
      </c>
      <c r="D435" s="911" t="str">
        <f t="shared" si="6"/>
        <v>Visualisation de l'indice Minergie</v>
      </c>
      <c r="E435" s="404" t="s">
        <v>2835</v>
      </c>
      <c r="F435" s="914" t="s">
        <v>2343</v>
      </c>
      <c r="G435" s="405" t="s">
        <v>2441</v>
      </c>
    </row>
    <row r="436" spans="1:7" ht="25.9" customHeight="1">
      <c r="A436" s="403">
        <v>433</v>
      </c>
      <c r="B436" s="944" t="s">
        <v>1807</v>
      </c>
      <c r="C436" s="944" t="s">
        <v>1910</v>
      </c>
      <c r="D436" s="911" t="str">
        <f t="shared" si="6"/>
        <v>Chauffage</v>
      </c>
      <c r="E436" s="404" t="s">
        <v>243</v>
      </c>
      <c r="F436" s="914" t="s">
        <v>1647</v>
      </c>
      <c r="G436" s="405" t="s">
        <v>2442</v>
      </c>
    </row>
    <row r="437" spans="1:7" ht="25.9" customHeight="1">
      <c r="A437" s="403">
        <v>434</v>
      </c>
      <c r="B437" s="944" t="s">
        <v>1807</v>
      </c>
      <c r="C437" s="944" t="s">
        <v>1911</v>
      </c>
      <c r="D437" s="911" t="str">
        <f t="shared" si="6"/>
        <v>Eau chaude</v>
      </c>
      <c r="E437" s="404" t="s">
        <v>244</v>
      </c>
      <c r="F437" s="914" t="s">
        <v>1648</v>
      </c>
      <c r="G437" s="405" t="s">
        <v>2407</v>
      </c>
    </row>
    <row r="438" spans="1:7" ht="25.9" customHeight="1">
      <c r="A438" s="403">
        <v>435</v>
      </c>
      <c r="B438" s="944" t="s">
        <v>1807</v>
      </c>
      <c r="C438" s="944" t="s">
        <v>1913</v>
      </c>
      <c r="D438" s="911" t="str">
        <f t="shared" si="6"/>
        <v>Eclairage</v>
      </c>
      <c r="E438" s="404" t="s">
        <v>696</v>
      </c>
      <c r="F438" s="914" t="s">
        <v>2344</v>
      </c>
      <c r="G438" s="405" t="s">
        <v>2443</v>
      </c>
    </row>
    <row r="439" spans="1:7" ht="25.9" customHeight="1">
      <c r="A439" s="403">
        <v>436</v>
      </c>
      <c r="B439" s="944" t="s">
        <v>1807</v>
      </c>
      <c r="C439" s="944" t="s">
        <v>1914</v>
      </c>
      <c r="D439" s="911" t="str">
        <f t="shared" si="6"/>
        <v>Appareils</v>
      </c>
      <c r="E439" s="404" t="s">
        <v>1864</v>
      </c>
      <c r="F439" s="914" t="s">
        <v>2345</v>
      </c>
      <c r="G439" s="405" t="s">
        <v>2444</v>
      </c>
    </row>
    <row r="440" spans="1:7" ht="25.9" customHeight="1">
      <c r="A440" s="403">
        <v>437</v>
      </c>
      <c r="B440" s="944" t="s">
        <v>1807</v>
      </c>
      <c r="C440" s="944" t="s">
        <v>1918</v>
      </c>
      <c r="D440" s="911" t="str">
        <f t="shared" si="6"/>
        <v>Installations techn. du bâtiment</v>
      </c>
      <c r="E440" s="404" t="s">
        <v>1867</v>
      </c>
      <c r="F440" s="914" t="s">
        <v>2673</v>
      </c>
      <c r="G440" s="405" t="s">
        <v>2445</v>
      </c>
    </row>
    <row r="441" spans="1:7" ht="25.9" customHeight="1">
      <c r="A441" s="403">
        <v>438</v>
      </c>
      <c r="B441" s="944" t="s">
        <v>1807</v>
      </c>
      <c r="C441" s="944" t="s">
        <v>1916</v>
      </c>
      <c r="D441" s="911" t="str">
        <f t="shared" si="6"/>
        <v>Besoins d'énergie finale</v>
      </c>
      <c r="E441" s="404" t="s">
        <v>1915</v>
      </c>
      <c r="F441" s="914" t="s">
        <v>2346</v>
      </c>
      <c r="G441" s="405" t="s">
        <v>2446</v>
      </c>
    </row>
    <row r="442" spans="1:7" ht="25.9" customHeight="1">
      <c r="A442" s="403">
        <v>439</v>
      </c>
      <c r="B442" s="944" t="s">
        <v>1807</v>
      </c>
      <c r="C442" s="944" t="s">
        <v>1917</v>
      </c>
      <c r="D442" s="911" t="str">
        <f t="shared" si="6"/>
        <v>Indice Minergie calculé</v>
      </c>
      <c r="E442" s="404" t="s">
        <v>2836</v>
      </c>
      <c r="F442" s="914" t="s">
        <v>3642</v>
      </c>
      <c r="G442" s="405" t="s">
        <v>3643</v>
      </c>
    </row>
    <row r="443" spans="1:7" ht="25.9" customHeight="1">
      <c r="A443" s="403">
        <v>440</v>
      </c>
      <c r="B443" s="944" t="s">
        <v>1807</v>
      </c>
      <c r="C443" s="944" t="s">
        <v>1912</v>
      </c>
      <c r="D443" s="911" t="str">
        <f t="shared" si="6"/>
        <v>Electricité d'habitation</v>
      </c>
      <c r="E443" s="404" t="s">
        <v>3117</v>
      </c>
      <c r="F443" s="914" t="s">
        <v>3118</v>
      </c>
      <c r="G443" s="405" t="s">
        <v>3119</v>
      </c>
    </row>
    <row r="444" spans="1:7" ht="25.9" customHeight="1">
      <c r="A444" s="403">
        <v>441</v>
      </c>
      <c r="B444" s="944" t="s">
        <v>1807</v>
      </c>
      <c r="C444" s="944" t="s">
        <v>1919</v>
      </c>
      <c r="D444" s="911" t="str">
        <f t="shared" si="6"/>
        <v>PV autoconsommation</v>
      </c>
      <c r="E444" s="404" t="s">
        <v>1928</v>
      </c>
      <c r="F444" s="914" t="s">
        <v>2674</v>
      </c>
      <c r="G444" s="405" t="s">
        <v>2447</v>
      </c>
    </row>
    <row r="445" spans="1:7" ht="25.9" customHeight="1">
      <c r="A445" s="403">
        <v>442</v>
      </c>
      <c r="B445" s="944" t="s">
        <v>1807</v>
      </c>
      <c r="C445" s="944" t="s">
        <v>1920</v>
      </c>
      <c r="D445" s="911" t="str">
        <f t="shared" si="6"/>
        <v>PV part injectée</v>
      </c>
      <c r="E445" s="404" t="s">
        <v>1929</v>
      </c>
      <c r="F445" s="914" t="s">
        <v>2675</v>
      </c>
      <c r="G445" s="405" t="s">
        <v>2448</v>
      </c>
    </row>
    <row r="446" spans="1:7" ht="25.9" customHeight="1">
      <c r="A446" s="403">
        <v>443</v>
      </c>
      <c r="B446" s="944" t="s">
        <v>1807</v>
      </c>
      <c r="C446" s="944" t="s">
        <v>1924</v>
      </c>
      <c r="D446" s="911" t="str">
        <f t="shared" si="6"/>
        <v>Besoins</v>
      </c>
      <c r="E446" s="404" t="s">
        <v>1923</v>
      </c>
      <c r="F446" s="914" t="s">
        <v>2347</v>
      </c>
      <c r="G446" s="405" t="s">
        <v>2449</v>
      </c>
    </row>
    <row r="447" spans="1:7" ht="25.9" customHeight="1">
      <c r="A447" s="403">
        <v>444</v>
      </c>
      <c r="B447" s="944" t="s">
        <v>1807</v>
      </c>
      <c r="C447" s="944" t="s">
        <v>1921</v>
      </c>
      <c r="D447" s="911" t="str">
        <f t="shared" si="6"/>
        <v>Potentiel d'optimisation</v>
      </c>
      <c r="E447" s="404" t="s">
        <v>1925</v>
      </c>
      <c r="F447" s="914" t="s">
        <v>2348</v>
      </c>
      <c r="G447" s="405" t="s">
        <v>2450</v>
      </c>
    </row>
    <row r="448" spans="1:7" ht="25.9" customHeight="1">
      <c r="A448" s="403">
        <v>445</v>
      </c>
      <c r="B448" s="944" t="s">
        <v>1807</v>
      </c>
      <c r="C448" s="944" t="s">
        <v>1922</v>
      </c>
      <c r="D448" s="911" t="str">
        <f t="shared" si="6"/>
        <v>Valeur limite Minergie</v>
      </c>
      <c r="E448" s="404" t="s">
        <v>2837</v>
      </c>
      <c r="F448" s="914" t="s">
        <v>2838</v>
      </c>
      <c r="G448" s="405" t="s">
        <v>2451</v>
      </c>
    </row>
    <row r="449" spans="1:7" ht="25.9" customHeight="1">
      <c r="A449" s="403">
        <v>446</v>
      </c>
      <c r="B449" s="944" t="s">
        <v>1807</v>
      </c>
      <c r="C449" s="944" t="s">
        <v>1926</v>
      </c>
      <c r="D449" s="911" t="str">
        <f t="shared" si="6"/>
        <v>Besoins</v>
      </c>
      <c r="E449" s="404" t="s">
        <v>1923</v>
      </c>
      <c r="F449" s="914" t="s">
        <v>2347</v>
      </c>
      <c r="G449" s="405" t="s">
        <v>2449</v>
      </c>
    </row>
    <row r="450" spans="1:7" ht="25.9" customHeight="1">
      <c r="A450" s="403">
        <v>447</v>
      </c>
      <c r="B450" s="944" t="s">
        <v>1807</v>
      </c>
      <c r="C450" s="944" t="s">
        <v>1927</v>
      </c>
      <c r="D450" s="911" t="str">
        <f t="shared" si="6"/>
        <v>Indice Minergie max.</v>
      </c>
      <c r="E450" s="404" t="s">
        <v>2839</v>
      </c>
      <c r="F450" s="914" t="s">
        <v>3644</v>
      </c>
      <c r="G450" s="405" t="s">
        <v>2452</v>
      </c>
    </row>
    <row r="451" spans="1:7" ht="47.25" customHeight="1">
      <c r="A451" s="403">
        <v>448</v>
      </c>
      <c r="B451" s="944" t="s">
        <v>313</v>
      </c>
      <c r="C451" s="944" t="s">
        <v>943</v>
      </c>
      <c r="D451" s="911" t="str">
        <f t="shared" si="6"/>
        <v>Exigence Minergie-A: 
l'indice partiel éclairage, appareils et installations techniques générales est inférieur à l'autoproduction</v>
      </c>
      <c r="E451" s="404" t="s">
        <v>2255</v>
      </c>
      <c r="F451" s="914" t="s">
        <v>2534</v>
      </c>
      <c r="G451" s="405" t="s">
        <v>2527</v>
      </c>
    </row>
    <row r="452" spans="1:7" ht="25.9" customHeight="1">
      <c r="A452" s="403">
        <v>449</v>
      </c>
      <c r="B452" s="944" t="s">
        <v>313</v>
      </c>
      <c r="C452" s="944" t="s">
        <v>944</v>
      </c>
      <c r="D452" s="911" t="str">
        <f t="shared" si="6"/>
        <v>Taille minimale de l'installation d’autoproduction d’électricité:</v>
      </c>
      <c r="E452" s="404" t="s">
        <v>2250</v>
      </c>
      <c r="F452" s="914" t="s">
        <v>2535</v>
      </c>
      <c r="G452" s="405" t="s">
        <v>2528</v>
      </c>
    </row>
    <row r="453" spans="1:7" ht="42.75" customHeight="1">
      <c r="A453" s="403">
        <v>450</v>
      </c>
      <c r="B453" s="944" t="s">
        <v>313</v>
      </c>
      <c r="C453" s="944" t="s">
        <v>1931</v>
      </c>
      <c r="D453" s="911" t="str">
        <f t="shared" ref="D453:D503" si="7">INDEX($E$4:$G$503,$A453,$A$1)</f>
        <v>Valable pour les catégories "Restaurants", "Installations sportives" et "Piscines couvertes":
fournir 20% d'énergie à partir de sources renouvelables.</v>
      </c>
      <c r="E453" s="404" t="s">
        <v>1932</v>
      </c>
      <c r="F453" s="914" t="s">
        <v>2349</v>
      </c>
      <c r="G453" s="405" t="s">
        <v>2456</v>
      </c>
    </row>
    <row r="454" spans="1:7" ht="39.950000000000003" customHeight="1">
      <c r="A454" s="403">
        <v>451</v>
      </c>
      <c r="B454" s="944" t="s">
        <v>313</v>
      </c>
      <c r="C454" s="944" t="s">
        <v>1935</v>
      </c>
      <c r="D454" s="911" t="str">
        <f t="shared" si="7"/>
        <v>Valable pour la catégorie "Piscine couverte".</v>
      </c>
      <c r="E454" s="404" t="s">
        <v>1934</v>
      </c>
      <c r="F454" s="914" t="s">
        <v>2350</v>
      </c>
      <c r="G454" s="405" t="s">
        <v>2453</v>
      </c>
    </row>
    <row r="455" spans="1:7" ht="26.1" customHeight="1">
      <c r="A455" s="403">
        <v>452</v>
      </c>
      <c r="B455" s="944" t="s">
        <v>313</v>
      </c>
      <c r="C455" s="944" t="s">
        <v>945</v>
      </c>
      <c r="D455" s="911" t="str">
        <f t="shared" si="7"/>
        <v>Les besoins sont couverts par la production d’électricité:</v>
      </c>
      <c r="E455" s="404" t="s">
        <v>2257</v>
      </c>
      <c r="F455" s="914" t="s">
        <v>2536</v>
      </c>
      <c r="G455" s="405" t="s">
        <v>2537</v>
      </c>
    </row>
    <row r="456" spans="1:7" ht="25.9" customHeight="1">
      <c r="A456" s="403">
        <v>453</v>
      </c>
      <c r="B456" s="944" t="s">
        <v>313</v>
      </c>
      <c r="C456" s="944" t="s">
        <v>2112</v>
      </c>
      <c r="D456" s="911" t="str">
        <f t="shared" si="7"/>
        <v>Indice partiel
Besoins</v>
      </c>
      <c r="E456" s="404" t="s">
        <v>2111</v>
      </c>
      <c r="F456" s="914" t="s">
        <v>2351</v>
      </c>
      <c r="G456" s="405" t="s">
        <v>2457</v>
      </c>
    </row>
    <row r="457" spans="1:7" ht="25.9" customHeight="1">
      <c r="A457" s="403">
        <v>454</v>
      </c>
      <c r="B457" s="944" t="s">
        <v>313</v>
      </c>
      <c r="C457" s="944" t="s">
        <v>2113</v>
      </c>
      <c r="D457" s="911" t="str">
        <f t="shared" si="7"/>
        <v>Production PV
(pondérée)</v>
      </c>
      <c r="E457" s="404" t="s">
        <v>2254</v>
      </c>
      <c r="F457" s="914" t="s">
        <v>2352</v>
      </c>
      <c r="G457" s="405" t="s">
        <v>2458</v>
      </c>
    </row>
    <row r="458" spans="1:7" ht="25.9" customHeight="1">
      <c r="A458" s="403">
        <v>455</v>
      </c>
      <c r="B458" s="944" t="s">
        <v>1807</v>
      </c>
      <c r="C458" s="944" t="s">
        <v>2115</v>
      </c>
      <c r="D458" s="911" t="str">
        <f t="shared" si="7"/>
        <v>Exigence PV (pondérée)</v>
      </c>
      <c r="E458" s="404" t="s">
        <v>2114</v>
      </c>
      <c r="F458" s="914" t="s">
        <v>2353</v>
      </c>
      <c r="G458" s="405" t="s">
        <v>2454</v>
      </c>
    </row>
    <row r="459" spans="1:7" ht="25.9" customHeight="1">
      <c r="A459" s="403">
        <v>456</v>
      </c>
      <c r="B459" s="944" t="s">
        <v>1807</v>
      </c>
      <c r="C459" s="944" t="s">
        <v>2117</v>
      </c>
      <c r="D459" s="911" t="str">
        <f t="shared" si="7"/>
        <v>Production PV (pondérée)</v>
      </c>
      <c r="E459" s="404" t="s">
        <v>2116</v>
      </c>
      <c r="F459" s="914" t="s">
        <v>2354</v>
      </c>
      <c r="G459" s="405" t="s">
        <v>2455</v>
      </c>
    </row>
    <row r="460" spans="1:7" ht="25.9" customHeight="1">
      <c r="A460" s="403">
        <v>457</v>
      </c>
      <c r="B460" s="944" t="s">
        <v>1807</v>
      </c>
      <c r="C460" s="944" t="s">
        <v>870</v>
      </c>
      <c r="D460" s="911" t="str">
        <f t="shared" si="7"/>
        <v>Indice partiel Minergie-A</v>
      </c>
      <c r="E460" s="404" t="s">
        <v>2840</v>
      </c>
      <c r="F460" s="914" t="s">
        <v>2841</v>
      </c>
      <c r="G460" s="405" t="s">
        <v>2842</v>
      </c>
    </row>
    <row r="461" spans="1:7" ht="25.9" customHeight="1">
      <c r="A461" s="403">
        <v>458</v>
      </c>
      <c r="B461" s="944" t="s">
        <v>1807</v>
      </c>
      <c r="C461" s="944" t="s">
        <v>513</v>
      </c>
      <c r="D461" s="911" t="str">
        <f t="shared" si="7"/>
        <v>MINERGIE-A: les besoins MKZ (sans PV) sont-ils couverts par le photovoltaïque?</v>
      </c>
      <c r="E461" s="404" t="s">
        <v>2843</v>
      </c>
      <c r="F461" s="914" t="s">
        <v>2355</v>
      </c>
      <c r="G461" s="405" t="s">
        <v>2844</v>
      </c>
    </row>
    <row r="462" spans="1:7" ht="25.9" customHeight="1">
      <c r="A462" s="403">
        <v>459</v>
      </c>
      <c r="B462" s="944" t="s">
        <v>1807</v>
      </c>
      <c r="C462" s="944" t="s">
        <v>2230</v>
      </c>
      <c r="D462" s="911" t="str">
        <f t="shared" si="7"/>
        <v>Pas d’exigence</v>
      </c>
      <c r="E462" s="404" t="s">
        <v>2229</v>
      </c>
      <c r="F462" s="914" t="s">
        <v>2538</v>
      </c>
      <c r="G462" s="405" t="s">
        <v>2525</v>
      </c>
    </row>
    <row r="463" spans="1:7" ht="25.9" customHeight="1">
      <c r="A463" s="403">
        <v>460</v>
      </c>
      <c r="B463" s="944" t="s">
        <v>313</v>
      </c>
      <c r="C463" s="944" t="s">
        <v>1065</v>
      </c>
      <c r="D463" s="911" t="str">
        <f t="shared" si="7"/>
        <v>Autoproduction d‘électricité</v>
      </c>
      <c r="E463" s="404" t="s">
        <v>2249</v>
      </c>
      <c r="F463" s="914" t="s">
        <v>2539</v>
      </c>
      <c r="G463" s="405" t="s">
        <v>2526</v>
      </c>
    </row>
    <row r="464" spans="1:7" ht="25.9" customHeight="1">
      <c r="A464" s="403">
        <v>461</v>
      </c>
      <c r="B464" s="944" t="s">
        <v>1807</v>
      </c>
      <c r="C464" s="944" t="s">
        <v>873</v>
      </c>
      <c r="D464" s="911" t="str">
        <f t="shared" si="7"/>
        <v>Part d'énergies fossiles</v>
      </c>
      <c r="E464" s="404" t="s">
        <v>2597</v>
      </c>
      <c r="F464" s="914" t="s">
        <v>2607</v>
      </c>
      <c r="G464" s="405" t="s">
        <v>2608</v>
      </c>
    </row>
    <row r="465" spans="1:7" ht="25.9" customHeight="1">
      <c r="A465" s="403">
        <v>462</v>
      </c>
      <c r="B465" s="944" t="s">
        <v>1807</v>
      </c>
      <c r="C465" s="944" t="s">
        <v>880</v>
      </c>
      <c r="D465" s="911" t="str">
        <f t="shared" si="7"/>
        <v>Les besoins sont couverts par la production d’électricité:</v>
      </c>
      <c r="E465" s="404" t="s">
        <v>2257</v>
      </c>
      <c r="F465" s="914" t="s">
        <v>2536</v>
      </c>
      <c r="G465" s="405" t="s">
        <v>2537</v>
      </c>
    </row>
    <row r="466" spans="1:7" ht="25.9" customHeight="1">
      <c r="A466" s="403">
        <v>463</v>
      </c>
      <c r="B466" s="944" t="s">
        <v>622</v>
      </c>
      <c r="C466" s="944" t="s">
        <v>2596</v>
      </c>
      <c r="D466" s="911" t="str">
        <f t="shared" si="7"/>
        <v>Rubans chauffants</v>
      </c>
      <c r="E466" s="404" t="s">
        <v>3649</v>
      </c>
      <c r="F466" s="914" t="s">
        <v>2591</v>
      </c>
      <c r="G466" s="405" t="s">
        <v>2592</v>
      </c>
    </row>
    <row r="467" spans="1:7" ht="25.9" customHeight="1">
      <c r="A467" s="403">
        <v>464</v>
      </c>
      <c r="B467" s="944" t="s">
        <v>313</v>
      </c>
      <c r="C467" s="944" t="s">
        <v>856</v>
      </c>
      <c r="D467" s="911" t="str">
        <f t="shared" si="7"/>
        <v>Eau chaude, valeur calculée</v>
      </c>
      <c r="E467" s="404" t="s">
        <v>2601</v>
      </c>
      <c r="F467" s="914" t="s">
        <v>2602</v>
      </c>
      <c r="G467" s="405" t="s">
        <v>2603</v>
      </c>
    </row>
    <row r="468" spans="1:7" ht="25.9" customHeight="1">
      <c r="A468" s="403">
        <v>465</v>
      </c>
      <c r="B468" s="944" t="s">
        <v>313</v>
      </c>
      <c r="C468" s="944" t="s">
        <v>1763</v>
      </c>
      <c r="D468" s="911" t="str">
        <f t="shared" si="7"/>
        <v>Eau chaude, SIA 385</v>
      </c>
      <c r="E468" s="404" t="s">
        <v>2604</v>
      </c>
      <c r="F468" s="914" t="s">
        <v>2605</v>
      </c>
      <c r="G468" s="405" t="s">
        <v>2606</v>
      </c>
    </row>
    <row r="469" spans="1:7" ht="25.9" customHeight="1">
      <c r="A469" s="403">
        <v>466</v>
      </c>
      <c r="B469" s="944" t="s">
        <v>313</v>
      </c>
      <c r="C469" s="944" t="s">
        <v>855</v>
      </c>
      <c r="D469" s="911" t="str">
        <f t="shared" si="7"/>
        <v>Locataire inconnu</v>
      </c>
      <c r="E469" s="404" t="s">
        <v>2623</v>
      </c>
      <c r="F469" s="914" t="s">
        <v>2845</v>
      </c>
      <c r="G469" s="405" t="s">
        <v>2846</v>
      </c>
    </row>
    <row r="470" spans="1:7" ht="25.9" customHeight="1">
      <c r="A470" s="403">
        <v>467</v>
      </c>
      <c r="B470" s="944" t="s">
        <v>1807</v>
      </c>
      <c r="C470" s="944" t="s">
        <v>1913</v>
      </c>
      <c r="D470" s="911" t="str">
        <f t="shared" si="7"/>
        <v>ventilation et climatisation</v>
      </c>
      <c r="E470" s="404" t="s">
        <v>2652</v>
      </c>
      <c r="F470" s="914" t="s">
        <v>2676</v>
      </c>
      <c r="G470" s="405" t="s">
        <v>2847</v>
      </c>
    </row>
    <row r="471" spans="1:7" ht="36" customHeight="1">
      <c r="A471" s="403">
        <v>468</v>
      </c>
      <c r="B471" s="944" t="s">
        <v>1807</v>
      </c>
      <c r="C471" s="944" t="s">
        <v>2660</v>
      </c>
      <c r="D471" s="911" t="str">
        <f t="shared" si="7"/>
        <v xml:space="preserve">   Production PV</v>
      </c>
      <c r="E471" s="431" t="s">
        <v>2966</v>
      </c>
      <c r="F471" s="1433" t="s">
        <v>2967</v>
      </c>
      <c r="G471" s="1432" t="s">
        <v>2968</v>
      </c>
    </row>
    <row r="472" spans="1:7" ht="25.9" customHeight="1">
      <c r="A472" s="403">
        <v>469</v>
      </c>
      <c r="B472" s="944" t="s">
        <v>1807</v>
      </c>
      <c r="C472" s="944" t="s">
        <v>2661</v>
      </c>
      <c r="D472" s="911" t="str">
        <f t="shared" si="7"/>
        <v xml:space="preserve">       Valeur de l'objet
 </v>
      </c>
      <c r="E472" s="431" t="s">
        <v>2965</v>
      </c>
      <c r="F472" s="1433" t="s">
        <v>2969</v>
      </c>
      <c r="G472" s="1432" t="s">
        <v>2964</v>
      </c>
    </row>
    <row r="473" spans="1:7" ht="25.9" customHeight="1">
      <c r="A473" s="403">
        <v>470</v>
      </c>
      <c r="B473" s="944" t="s">
        <v>1807</v>
      </c>
      <c r="C473" s="944" t="s">
        <v>2662</v>
      </c>
      <c r="D473" s="911" t="str">
        <f t="shared" si="7"/>
        <v>PV non pris en compte</v>
      </c>
      <c r="E473" s="404" t="s">
        <v>2653</v>
      </c>
      <c r="F473" s="914" t="s">
        <v>2851</v>
      </c>
      <c r="G473" s="405" t="s">
        <v>2848</v>
      </c>
    </row>
    <row r="474" spans="1:7" ht="25.9" customHeight="1">
      <c r="A474" s="403">
        <v>471</v>
      </c>
      <c r="B474" s="944" t="s">
        <v>622</v>
      </c>
      <c r="C474" s="944" t="s">
        <v>1817</v>
      </c>
      <c r="D474" s="911" t="str">
        <f t="shared" si="7"/>
        <v>Concept d'étanchéité et de mesure annexé?</v>
      </c>
      <c r="E474" s="404" t="s">
        <v>2975</v>
      </c>
      <c r="F474" s="914" t="s">
        <v>2976</v>
      </c>
      <c r="G474" s="405" t="s">
        <v>2977</v>
      </c>
    </row>
    <row r="475" spans="1:7" ht="25.9" customHeight="1">
      <c r="A475" s="403">
        <v>472</v>
      </c>
      <c r="B475" s="944" t="s">
        <v>313</v>
      </c>
      <c r="C475" s="944" t="s">
        <v>590</v>
      </c>
      <c r="D475" s="911" t="str">
        <f t="shared" si="7"/>
        <v>Capacité de la batterie [kWh]</v>
      </c>
      <c r="E475" s="404" t="s">
        <v>2669</v>
      </c>
      <c r="F475" s="914" t="s">
        <v>2852</v>
      </c>
      <c r="G475" s="405" t="s">
        <v>2849</v>
      </c>
    </row>
    <row r="476" spans="1:7" ht="25.9" customHeight="1">
      <c r="A476" s="403">
        <v>473</v>
      </c>
      <c r="B476" s="944" t="s">
        <v>313</v>
      </c>
      <c r="C476" s="944" t="s">
        <v>1067</v>
      </c>
      <c r="D476" s="911" t="str">
        <f t="shared" si="7"/>
        <v>Pertes de la batterie [%]:</v>
      </c>
      <c r="E476" s="404" t="s">
        <v>2670</v>
      </c>
      <c r="F476" s="914" t="s">
        <v>2853</v>
      </c>
      <c r="G476" s="405" t="s">
        <v>2850</v>
      </c>
    </row>
    <row r="477" spans="1:7" ht="40.5" customHeight="1">
      <c r="A477" s="403">
        <v>474</v>
      </c>
      <c r="B477" s="944" t="s">
        <v>1807</v>
      </c>
      <c r="C477" s="944" t="s">
        <v>2760</v>
      </c>
      <c r="D477" s="911" t="str">
        <f t="shared" si="7"/>
        <v xml:space="preserve">                                  E HWLK,li +
                        Besoins standard électricité
  </v>
      </c>
      <c r="E477" s="1556" t="s">
        <v>2961</v>
      </c>
      <c r="F477" s="914" t="s">
        <v>2962</v>
      </c>
      <c r="G477" s="405" t="s">
        <v>2963</v>
      </c>
    </row>
    <row r="478" spans="1:7" ht="25.9" customHeight="1">
      <c r="A478" s="403">
        <v>475</v>
      </c>
      <c r="B478" s="944" t="s">
        <v>706</v>
      </c>
      <c r="C478" s="944" t="s">
        <v>1078</v>
      </c>
      <c r="D478" s="911" t="str">
        <f t="shared" si="7"/>
        <v>Indice Minergie (MKZ)</v>
      </c>
      <c r="E478" s="404" t="s">
        <v>1696</v>
      </c>
      <c r="F478" s="914" t="s">
        <v>2854</v>
      </c>
      <c r="G478" s="405" t="s">
        <v>2769</v>
      </c>
    </row>
    <row r="479" spans="1:7" ht="25.9" customHeight="1">
      <c r="A479" s="403">
        <v>476</v>
      </c>
      <c r="B479" s="944" t="s">
        <v>1807</v>
      </c>
      <c r="C479" s="944" t="s">
        <v>2797</v>
      </c>
      <c r="D479" s="911" t="str">
        <f t="shared" si="7"/>
        <v>MKZ</v>
      </c>
      <c r="E479" s="404" t="s">
        <v>2770</v>
      </c>
      <c r="F479" s="914" t="s">
        <v>2770</v>
      </c>
      <c r="G479" s="405" t="s">
        <v>2771</v>
      </c>
    </row>
    <row r="480" spans="1:7" ht="25.9" customHeight="1">
      <c r="A480" s="403">
        <v>477</v>
      </c>
      <c r="B480" s="944" t="s">
        <v>1807</v>
      </c>
      <c r="C480" s="944" t="s">
        <v>2772</v>
      </c>
      <c r="D480" s="911" t="str">
        <f t="shared" si="7"/>
        <v>H</v>
      </c>
      <c r="E480" s="404" t="s">
        <v>2773</v>
      </c>
      <c r="F480" s="914" t="s">
        <v>2773</v>
      </c>
      <c r="G480" s="405" t="s">
        <v>2774</v>
      </c>
    </row>
    <row r="481" spans="1:7" ht="25.9" customHeight="1">
      <c r="A481" s="403">
        <v>478</v>
      </c>
      <c r="B481" s="944" t="s">
        <v>1807</v>
      </c>
      <c r="C481" s="944" t="s">
        <v>2775</v>
      </c>
      <c r="D481" s="911" t="str">
        <f t="shared" si="7"/>
        <v>ww</v>
      </c>
      <c r="E481" s="404" t="s">
        <v>525</v>
      </c>
      <c r="F481" s="914" t="s">
        <v>525</v>
      </c>
      <c r="G481" s="405" t="s">
        <v>2776</v>
      </c>
    </row>
    <row r="482" spans="1:7" ht="25.9" customHeight="1">
      <c r="A482" s="403">
        <v>479</v>
      </c>
      <c r="B482" s="944" t="s">
        <v>1807</v>
      </c>
      <c r="C482" s="944" t="s">
        <v>2778</v>
      </c>
      <c r="D482" s="911" t="str">
        <f t="shared" si="7"/>
        <v>LK</v>
      </c>
      <c r="E482" s="404" t="s">
        <v>2779</v>
      </c>
      <c r="F482" s="914" t="s">
        <v>2779</v>
      </c>
      <c r="G482" s="405" t="s">
        <v>2777</v>
      </c>
    </row>
    <row r="483" spans="1:7" ht="25.9" customHeight="1">
      <c r="A483" s="403">
        <v>480</v>
      </c>
      <c r="B483" s="944" t="s">
        <v>1807</v>
      </c>
      <c r="C483" s="944" t="s">
        <v>2782</v>
      </c>
      <c r="D483" s="911" t="str">
        <f t="shared" si="7"/>
        <v>el,wohn.</v>
      </c>
      <c r="E483" s="404" t="s">
        <v>2781</v>
      </c>
      <c r="F483" s="914" t="s">
        <v>2781</v>
      </c>
      <c r="G483" s="405" t="s">
        <v>2780</v>
      </c>
    </row>
    <row r="484" spans="1:7" ht="25.9" customHeight="1">
      <c r="A484" s="403">
        <v>481</v>
      </c>
      <c r="B484" s="944" t="s">
        <v>1807</v>
      </c>
      <c r="C484" s="944" t="s">
        <v>2783</v>
      </c>
      <c r="D484" s="911" t="str">
        <f t="shared" si="7"/>
        <v>Bel</v>
      </c>
      <c r="E484" s="404" t="s">
        <v>2784</v>
      </c>
      <c r="F484" s="914" t="s">
        <v>2784</v>
      </c>
      <c r="G484" s="405" t="s">
        <v>2785</v>
      </c>
    </row>
    <row r="485" spans="1:7" ht="25.9" customHeight="1">
      <c r="A485" s="403">
        <v>482</v>
      </c>
      <c r="B485" s="944" t="s">
        <v>1807</v>
      </c>
      <c r="C485" s="944" t="s">
        <v>2792</v>
      </c>
      <c r="D485" s="911" t="str">
        <f t="shared" si="7"/>
        <v>Geräte</v>
      </c>
      <c r="E485" s="404" t="s">
        <v>1864</v>
      </c>
      <c r="F485" s="914" t="s">
        <v>1864</v>
      </c>
      <c r="G485" s="405" t="s">
        <v>2786</v>
      </c>
    </row>
    <row r="486" spans="1:7" ht="25.9" customHeight="1">
      <c r="A486" s="403">
        <v>483</v>
      </c>
      <c r="B486" s="944" t="s">
        <v>1807</v>
      </c>
      <c r="C486" s="944" t="s">
        <v>2793</v>
      </c>
      <c r="D486" s="911" t="str">
        <f t="shared" si="7"/>
        <v>AGT</v>
      </c>
      <c r="E486" s="404" t="s">
        <v>2787</v>
      </c>
      <c r="F486" s="914" t="s">
        <v>2787</v>
      </c>
      <c r="G486" s="405" t="s">
        <v>2788</v>
      </c>
    </row>
    <row r="487" spans="1:7" ht="25.9" customHeight="1">
      <c r="A487" s="403">
        <v>484</v>
      </c>
      <c r="B487" s="944" t="s">
        <v>1807</v>
      </c>
      <c r="C487" s="944" t="s">
        <v>2791</v>
      </c>
      <c r="D487" s="911" t="str">
        <f t="shared" si="7"/>
        <v>EB</v>
      </c>
      <c r="E487" s="404" t="s">
        <v>2789</v>
      </c>
      <c r="F487" s="914" t="s">
        <v>2789</v>
      </c>
      <c r="G487" s="405" t="s">
        <v>2790</v>
      </c>
    </row>
    <row r="488" spans="1:7" ht="25.9" customHeight="1">
      <c r="A488" s="403">
        <v>485</v>
      </c>
      <c r="B488" s="944" t="s">
        <v>1807</v>
      </c>
      <c r="C488" s="944" t="s">
        <v>2796</v>
      </c>
      <c r="D488" s="911" t="str">
        <f t="shared" si="7"/>
        <v>Netz</v>
      </c>
      <c r="E488" s="404" t="s">
        <v>2794</v>
      </c>
      <c r="F488" s="914" t="s">
        <v>2794</v>
      </c>
      <c r="G488" s="405" t="s">
        <v>2795</v>
      </c>
    </row>
    <row r="489" spans="1:7" ht="25.9" customHeight="1">
      <c r="A489" s="403">
        <v>486</v>
      </c>
      <c r="B489" s="944" t="s">
        <v>3037</v>
      </c>
      <c r="C489" s="944" t="s">
        <v>3038</v>
      </c>
      <c r="D489" s="911" t="str">
        <f t="shared" si="7"/>
        <v>A reporter dans PVOpti</v>
      </c>
      <c r="E489" s="404" t="s">
        <v>3025</v>
      </c>
      <c r="F489" s="914" t="s">
        <v>3227</v>
      </c>
      <c r="G489" s="405" t="s">
        <v>3228</v>
      </c>
    </row>
    <row r="490" spans="1:7" ht="25.9" customHeight="1">
      <c r="A490" s="403">
        <v>487</v>
      </c>
      <c r="B490" s="944" t="s">
        <v>3037</v>
      </c>
      <c r="C490" s="944" t="s">
        <v>3039</v>
      </c>
      <c r="D490" s="911" t="str">
        <f t="shared" si="7"/>
        <v>Veuillez copier la cellule jaune et la reporter dans PVOpti :</v>
      </c>
      <c r="E490" s="404" t="s">
        <v>3024</v>
      </c>
      <c r="F490" s="914" t="s">
        <v>3229</v>
      </c>
      <c r="G490" s="405" t="s">
        <v>3230</v>
      </c>
    </row>
    <row r="491" spans="1:7" ht="25.9" customHeight="1">
      <c r="A491" s="403">
        <v>488</v>
      </c>
      <c r="B491" s="944" t="s">
        <v>3037</v>
      </c>
      <c r="C491" s="944" t="s">
        <v>3040</v>
      </c>
      <c r="D491" s="911" t="str">
        <f t="shared" si="7"/>
        <v>N° MOP: / Nom du projet : / Adresse du bâtiment :</v>
      </c>
      <c r="E491" s="404" t="s">
        <v>3005</v>
      </c>
      <c r="F491" s="914" t="s">
        <v>3231</v>
      </c>
      <c r="G491" s="405" t="s">
        <v>3232</v>
      </c>
    </row>
    <row r="492" spans="1:7" ht="25.9" customHeight="1">
      <c r="A492" s="403">
        <v>489</v>
      </c>
      <c r="B492" s="944" t="s">
        <v>3037</v>
      </c>
      <c r="C492" s="944" t="s">
        <v>3041</v>
      </c>
      <c r="D492" s="911" t="str">
        <f t="shared" si="7"/>
        <v xml:space="preserve">N° de la parcelle : / Station météorologique : / LiebeLieu : </v>
      </c>
      <c r="E492" s="404" t="s">
        <v>3006</v>
      </c>
      <c r="F492" s="914" t="s">
        <v>3233</v>
      </c>
      <c r="G492" s="405" t="s">
        <v>3234</v>
      </c>
    </row>
    <row r="493" spans="1:7" ht="25.9" customHeight="1">
      <c r="A493" s="403">
        <v>490</v>
      </c>
      <c r="B493" s="944" t="s">
        <v>3037</v>
      </c>
      <c r="C493" s="944" t="s">
        <v>3042</v>
      </c>
      <c r="D493" s="911" t="str">
        <f t="shared" si="7"/>
        <v>Installation de production de chaleur</v>
      </c>
      <c r="E493" s="404" t="s">
        <v>2999</v>
      </c>
      <c r="F493" s="914" t="s">
        <v>3235</v>
      </c>
      <c r="G493" s="405" t="s">
        <v>3236</v>
      </c>
    </row>
    <row r="494" spans="1:7" ht="25.9" customHeight="1">
      <c r="A494" s="403">
        <v>491</v>
      </c>
      <c r="B494" s="944" t="s">
        <v>3037</v>
      </c>
      <c r="C494" s="944" t="s">
        <v>3043</v>
      </c>
      <c r="D494" s="911" t="str">
        <f t="shared" si="7"/>
        <v>Prod.  A</v>
      </c>
      <c r="E494" s="404" t="s">
        <v>3000</v>
      </c>
      <c r="F494" s="914" t="s">
        <v>3237</v>
      </c>
      <c r="G494" s="405" t="s">
        <v>3238</v>
      </c>
    </row>
    <row r="495" spans="1:7" ht="25.9" customHeight="1">
      <c r="A495" s="403">
        <v>492</v>
      </c>
      <c r="B495" s="944" t="s">
        <v>3037</v>
      </c>
      <c r="C495" s="944" t="s">
        <v>3044</v>
      </c>
      <c r="D495" s="911" t="str">
        <f t="shared" si="7"/>
        <v>Prod. B</v>
      </c>
      <c r="E495" s="404" t="s">
        <v>3001</v>
      </c>
      <c r="F495" s="914" t="s">
        <v>3239</v>
      </c>
      <c r="G495" s="405" t="s">
        <v>3239</v>
      </c>
    </row>
    <row r="496" spans="1:7" ht="25.9" customHeight="1">
      <c r="A496" s="403">
        <v>493</v>
      </c>
      <c r="B496" s="944" t="s">
        <v>3037</v>
      </c>
      <c r="C496" s="944" t="s">
        <v>3045</v>
      </c>
      <c r="D496" s="911" t="str">
        <f t="shared" si="7"/>
        <v>Prod. C</v>
      </c>
      <c r="E496" s="404" t="s">
        <v>3002</v>
      </c>
      <c r="F496" s="914" t="s">
        <v>3240</v>
      </c>
      <c r="G496" s="405" t="s">
        <v>3240</v>
      </c>
    </row>
    <row r="497" spans="1:7" ht="25.9" customHeight="1">
      <c r="A497" s="403">
        <v>494</v>
      </c>
      <c r="B497" s="944" t="s">
        <v>3037</v>
      </c>
      <c r="C497" s="944" t="s">
        <v>3046</v>
      </c>
      <c r="D497" s="911" t="str">
        <f t="shared" si="7"/>
        <v>Prod. D</v>
      </c>
      <c r="E497" s="404" t="s">
        <v>3003</v>
      </c>
      <c r="F497" s="914" t="s">
        <v>3241</v>
      </c>
      <c r="G497" s="405" t="s">
        <v>3241</v>
      </c>
    </row>
    <row r="498" spans="1:7" ht="25.9" customHeight="1">
      <c r="A498" s="403">
        <v>495</v>
      </c>
      <c r="B498" s="944" t="s">
        <v>3037</v>
      </c>
      <c r="C498" s="944" t="s">
        <v>3047</v>
      </c>
      <c r="D498" s="911" t="str">
        <f t="shared" si="7"/>
        <v>Capacité utile (kWh)</v>
      </c>
      <c r="E498" s="404" t="s">
        <v>3007</v>
      </c>
      <c r="F498" s="914" t="s">
        <v>3242</v>
      </c>
      <c r="G498" s="405" t="s">
        <v>3243</v>
      </c>
    </row>
    <row r="499" spans="1:7" ht="25.9" customHeight="1">
      <c r="A499" s="403">
        <v>496</v>
      </c>
      <c r="B499" s="944" t="s">
        <v>3037</v>
      </c>
      <c r="C499" s="944" t="s">
        <v>3048</v>
      </c>
      <c r="D499" s="911" t="str">
        <f t="shared" si="7"/>
        <v>Zone</v>
      </c>
      <c r="E499" s="404" t="s">
        <v>312</v>
      </c>
      <c r="F499" s="914" t="s">
        <v>312</v>
      </c>
      <c r="G499" s="405" t="s">
        <v>3244</v>
      </c>
    </row>
    <row r="500" spans="1:7" ht="25.9" customHeight="1">
      <c r="A500" s="403">
        <v>497</v>
      </c>
      <c r="B500" s="944" t="s">
        <v>3037</v>
      </c>
      <c r="C500" s="944" t="s">
        <v>3049</v>
      </c>
      <c r="D500" s="911" t="str">
        <f t="shared" si="7"/>
        <v>Catégorie de bâtiments</v>
      </c>
      <c r="E500" s="404" t="s">
        <v>331</v>
      </c>
      <c r="F500" s="914" t="s">
        <v>3245</v>
      </c>
      <c r="G500" s="405" t="s">
        <v>3246</v>
      </c>
    </row>
    <row r="501" spans="1:7" ht="25.9" customHeight="1">
      <c r="A501" s="403">
        <v>498</v>
      </c>
      <c r="B501" s="944" t="s">
        <v>3037</v>
      </c>
      <c r="C501" s="944" t="s">
        <v>3050</v>
      </c>
      <c r="D501" s="911" t="str">
        <f t="shared" si="7"/>
        <v>Surface de référence énergétique SRE (m2)</v>
      </c>
      <c r="E501" s="404" t="s">
        <v>3008</v>
      </c>
      <c r="F501" s="914" t="s">
        <v>3247</v>
      </c>
      <c r="G501" s="405" t="s">
        <v>3248</v>
      </c>
    </row>
    <row r="502" spans="1:7" ht="25.9" customHeight="1">
      <c r="A502" s="403">
        <v>499</v>
      </c>
      <c r="B502" s="944" t="s">
        <v>3037</v>
      </c>
      <c r="C502" s="944" t="s">
        <v>3051</v>
      </c>
      <c r="D502" s="911" t="str">
        <f t="shared" si="7"/>
        <v>Nouvelle construction</v>
      </c>
      <c r="E502" s="404" t="s">
        <v>650</v>
      </c>
      <c r="F502" s="914" t="s">
        <v>1511</v>
      </c>
      <c r="G502" s="405" t="s">
        <v>3249</v>
      </c>
    </row>
    <row r="503" spans="1:7" ht="25.9" customHeight="1">
      <c r="A503" s="403">
        <v>500</v>
      </c>
      <c r="B503" s="944" t="s">
        <v>3037</v>
      </c>
      <c r="C503" s="944" t="s">
        <v>3052</v>
      </c>
      <c r="D503" s="911" t="str">
        <f t="shared" si="7"/>
        <v>Eau chaude, valeur calculée</v>
      </c>
      <c r="E503" s="404" t="s">
        <v>3009</v>
      </c>
      <c r="F503" s="914" t="s">
        <v>2602</v>
      </c>
      <c r="G503" s="405" t="s">
        <v>3250</v>
      </c>
    </row>
    <row r="504" spans="1:7" ht="25.9" customHeight="1">
      <c r="A504" s="403">
        <v>501</v>
      </c>
      <c r="B504" s="944" t="s">
        <v>3037</v>
      </c>
      <c r="C504" s="944" t="s">
        <v>3053</v>
      </c>
      <c r="D504" s="911">
        <f>INDEX($E$4:$G$604,$A504,$A$1)</f>
        <v>0</v>
      </c>
      <c r="E504" s="431" t="s">
        <v>199</v>
      </c>
    </row>
    <row r="505" spans="1:7" ht="25.9" customHeight="1">
      <c r="A505" s="403">
        <v>502</v>
      </c>
      <c r="B505" s="944" t="s">
        <v>3037</v>
      </c>
      <c r="C505" s="944" t="s">
        <v>3054</v>
      </c>
      <c r="D505" s="911" t="str">
        <f t="shared" ref="D505:D572" si="8">INDEX($E$4:$G$604,$A505,$A$1)</f>
        <v>Climatisation</v>
      </c>
      <c r="E505" s="404" t="s">
        <v>3010</v>
      </c>
      <c r="F505" s="914" t="s">
        <v>3251</v>
      </c>
      <c r="G505" s="405" t="s">
        <v>3531</v>
      </c>
    </row>
    <row r="506" spans="1:7" ht="25.9" customHeight="1">
      <c r="A506" s="403">
        <v>503</v>
      </c>
      <c r="B506" s="944" t="s">
        <v>3037</v>
      </c>
      <c r="C506" s="944" t="s">
        <v>3055</v>
      </c>
      <c r="D506" s="911" t="str">
        <f t="shared" si="8"/>
        <v>Ventilation</v>
      </c>
      <c r="E506" s="404" t="s">
        <v>642</v>
      </c>
      <c r="F506" s="914" t="s">
        <v>3252</v>
      </c>
      <c r="G506" s="405" t="s">
        <v>3253</v>
      </c>
    </row>
    <row r="507" spans="1:7" ht="25.9" customHeight="1">
      <c r="A507" s="403">
        <v>504</v>
      </c>
      <c r="B507" s="944" t="s">
        <v>3037</v>
      </c>
      <c r="C507" s="944" t="s">
        <v>3056</v>
      </c>
      <c r="D507" s="911" t="str">
        <f t="shared" si="8"/>
        <v>Nombre d'unités d'habitation</v>
      </c>
      <c r="E507" s="404" t="s">
        <v>2251</v>
      </c>
      <c r="F507" s="914" t="s">
        <v>3254</v>
      </c>
      <c r="G507" s="405" t="s">
        <v>3255</v>
      </c>
    </row>
    <row r="508" spans="1:7" ht="25.9" customHeight="1">
      <c r="A508" s="403">
        <v>505</v>
      </c>
      <c r="B508" s="944" t="s">
        <v>3037</v>
      </c>
      <c r="C508" s="944" t="s">
        <v>3057</v>
      </c>
      <c r="D508" s="911" t="str">
        <f t="shared" si="8"/>
        <v>Cons. ascenseur</v>
      </c>
      <c r="E508" s="404" t="s">
        <v>3011</v>
      </c>
      <c r="F508" s="914" t="s">
        <v>3256</v>
      </c>
      <c r="G508" s="405" t="s">
        <v>3257</v>
      </c>
    </row>
    <row r="509" spans="1:7" ht="25.9" customHeight="1">
      <c r="A509" s="403">
        <v>506</v>
      </c>
      <c r="B509" s="944" t="s">
        <v>3037</v>
      </c>
      <c r="C509" s="944" t="s">
        <v>3058</v>
      </c>
      <c r="D509" s="911" t="str">
        <f t="shared" si="8"/>
        <v>Cons. des bandes de chauffage</v>
      </c>
      <c r="E509" s="404" t="s">
        <v>3012</v>
      </c>
      <c r="F509" s="914" t="s">
        <v>3258</v>
      </c>
      <c r="G509" s="405" t="s">
        <v>3259</v>
      </c>
    </row>
    <row r="510" spans="1:7" ht="25.9" customHeight="1">
      <c r="A510" s="403">
        <v>507</v>
      </c>
      <c r="B510" s="944" t="s">
        <v>3037</v>
      </c>
      <c r="C510" s="944" t="s">
        <v>3059</v>
      </c>
      <c r="D510" s="911" t="str">
        <f t="shared" si="8"/>
        <v>Réduction pour le lave-vaisselle</v>
      </c>
      <c r="E510" s="404" t="s">
        <v>3013</v>
      </c>
      <c r="F510" s="914" t="s">
        <v>3260</v>
      </c>
      <c r="G510" s="405" t="s">
        <v>3261</v>
      </c>
    </row>
    <row r="511" spans="1:7" ht="25.9" customHeight="1">
      <c r="A511" s="403">
        <v>508</v>
      </c>
      <c r="B511" s="944" t="s">
        <v>3037</v>
      </c>
      <c r="C511" s="944" t="s">
        <v>3060</v>
      </c>
      <c r="D511" s="911" t="str">
        <f t="shared" si="8"/>
        <v>Réduction pour le frigo et le congélateur</v>
      </c>
      <c r="E511" s="404" t="s">
        <v>3014</v>
      </c>
      <c r="F511" s="914" t="s">
        <v>3262</v>
      </c>
      <c r="G511" s="405" t="s">
        <v>3263</v>
      </c>
    </row>
    <row r="512" spans="1:7" ht="25.9" customHeight="1">
      <c r="A512" s="403">
        <v>509</v>
      </c>
      <c r="B512" s="944" t="s">
        <v>3037</v>
      </c>
      <c r="C512" s="944" t="s">
        <v>3061</v>
      </c>
      <c r="D512" s="911" t="str">
        <f t="shared" si="8"/>
        <v>Réduction pour le lave-linge</v>
      </c>
      <c r="E512" s="404" t="s">
        <v>3015</v>
      </c>
      <c r="F512" s="914" t="s">
        <v>3264</v>
      </c>
      <c r="G512" s="405" t="s">
        <v>3265</v>
      </c>
    </row>
    <row r="513" spans="1:7" ht="25.9" customHeight="1">
      <c r="A513" s="403">
        <v>510</v>
      </c>
      <c r="B513" s="944" t="s">
        <v>3037</v>
      </c>
      <c r="C513" s="944" t="s">
        <v>3062</v>
      </c>
      <c r="D513" s="911" t="str">
        <f t="shared" si="8"/>
        <v>Réduction pour le sèche-linge</v>
      </c>
      <c r="E513" s="404" t="s">
        <v>3016</v>
      </c>
      <c r="F513" s="914" t="s">
        <v>3266</v>
      </c>
      <c r="G513" s="405" t="s">
        <v>3267</v>
      </c>
    </row>
    <row r="514" spans="1:7" ht="25.9" customHeight="1">
      <c r="A514" s="403">
        <v>511</v>
      </c>
      <c r="B514" s="944" t="s">
        <v>3037</v>
      </c>
      <c r="C514" s="944" t="s">
        <v>3063</v>
      </c>
      <c r="D514" s="911" t="str">
        <f t="shared" si="8"/>
        <v>Réduction pour la cuisinières à induction</v>
      </c>
      <c r="E514" s="404" t="s">
        <v>3017</v>
      </c>
      <c r="F514" s="914" t="s">
        <v>3268</v>
      </c>
      <c r="G514" s="405" t="s">
        <v>3269</v>
      </c>
    </row>
    <row r="515" spans="1:7" ht="25.9" customHeight="1">
      <c r="A515" s="403">
        <v>512</v>
      </c>
      <c r="B515" s="944" t="s">
        <v>3037</v>
      </c>
      <c r="C515" s="944" t="s">
        <v>3064</v>
      </c>
      <c r="D515" s="911" t="str">
        <f t="shared" si="8"/>
        <v>Réduction pour l'éclairage</v>
      </c>
      <c r="E515" s="404" t="s">
        <v>3018</v>
      </c>
      <c r="F515" s="914" t="s">
        <v>3270</v>
      </c>
      <c r="G515" s="405" t="s">
        <v>3271</v>
      </c>
    </row>
    <row r="516" spans="1:7" ht="25.9" customHeight="1">
      <c r="A516" s="403">
        <v>513</v>
      </c>
      <c r="B516" s="944" t="s">
        <v>3037</v>
      </c>
      <c r="C516" s="944" t="s">
        <v>3065</v>
      </c>
      <c r="D516" s="911" t="str">
        <f t="shared" si="8"/>
        <v>Réduction pour l'éclairage commun</v>
      </c>
      <c r="E516" s="404" t="s">
        <v>3019</v>
      </c>
      <c r="F516" s="914" t="s">
        <v>3272</v>
      </c>
      <c r="G516" s="405" t="s">
        <v>3273</v>
      </c>
    </row>
    <row r="517" spans="1:7" ht="25.9" customHeight="1">
      <c r="A517" s="403">
        <v>514</v>
      </c>
      <c r="B517" s="944" t="s">
        <v>3037</v>
      </c>
      <c r="C517" s="944" t="s">
        <v>3066</v>
      </c>
      <c r="D517" s="911" t="str">
        <f t="shared" si="8"/>
        <v>Réduction pour les équipements techniques</v>
      </c>
      <c r="E517" s="404" t="s">
        <v>3020</v>
      </c>
      <c r="F517" s="914" t="s">
        <v>3274</v>
      </c>
      <c r="G517" s="405" t="s">
        <v>3275</v>
      </c>
    </row>
    <row r="518" spans="1:7" ht="25.9" customHeight="1">
      <c r="A518" s="403">
        <v>515</v>
      </c>
      <c r="B518" s="944" t="s">
        <v>3037</v>
      </c>
      <c r="C518" s="944" t="s">
        <v>3067</v>
      </c>
      <c r="D518" s="911" t="str">
        <f t="shared" si="8"/>
        <v>Besoin calculé pour l'éclairage des bâtiments du tertiaire</v>
      </c>
      <c r="E518" s="404" t="s">
        <v>3021</v>
      </c>
      <c r="F518" s="914" t="s">
        <v>3276</v>
      </c>
      <c r="G518" s="405" t="s">
        <v>3277</v>
      </c>
    </row>
    <row r="519" spans="1:7" ht="25.9" customHeight="1">
      <c r="A519" s="403">
        <v>516</v>
      </c>
      <c r="B519" s="944" t="s">
        <v>3037</v>
      </c>
      <c r="C519" s="944" t="s">
        <v>3068</v>
      </c>
      <c r="D519" s="911" t="str">
        <f t="shared" si="8"/>
        <v>Besoin calculé pour les appareils des bâtiments du tertiaire</v>
      </c>
      <c r="E519" s="404" t="s">
        <v>3022</v>
      </c>
      <c r="F519" s="914" t="s">
        <v>3278</v>
      </c>
      <c r="G519" s="405" t="s">
        <v>3279</v>
      </c>
    </row>
    <row r="520" spans="1:7" ht="25.9" customHeight="1">
      <c r="A520" s="403">
        <v>517</v>
      </c>
      <c r="B520" s="944" t="s">
        <v>3037</v>
      </c>
      <c r="C520" s="944" t="s">
        <v>3069</v>
      </c>
      <c r="D520" s="911" t="str">
        <f t="shared" si="8"/>
        <v>Besoin calculé pour l'équipement commun des bâtiments du tertiaire</v>
      </c>
      <c r="E520" s="404" t="s">
        <v>3023</v>
      </c>
      <c r="F520" s="914" t="s">
        <v>3280</v>
      </c>
      <c r="G520" s="405" t="s">
        <v>3281</v>
      </c>
    </row>
    <row r="521" spans="1:7" ht="25.9" customHeight="1">
      <c r="A521" s="403">
        <v>518</v>
      </c>
      <c r="B521" s="944" t="s">
        <v>313</v>
      </c>
      <c r="C521" s="944" t="s">
        <v>549</v>
      </c>
      <c r="D521" s="911" t="str">
        <f t="shared" si="8"/>
        <v>-Récupération de la chaleur des eaux usées en%</v>
      </c>
      <c r="E521" s="404" t="s">
        <v>3096</v>
      </c>
      <c r="F521" s="1433" t="s">
        <v>4015</v>
      </c>
      <c r="G521" s="405" t="s">
        <v>3282</v>
      </c>
    </row>
    <row r="522" spans="1:7" ht="25.9" customHeight="1">
      <c r="A522" s="403">
        <v>519</v>
      </c>
      <c r="B522" s="944" t="s">
        <v>313</v>
      </c>
      <c r="C522" s="944" t="s">
        <v>1770</v>
      </c>
      <c r="D522" s="911" t="str">
        <f t="shared" si="8"/>
        <v>Hauteur du bâtiment</v>
      </c>
      <c r="E522" s="404" t="s">
        <v>3148</v>
      </c>
      <c r="F522" s="914" t="s">
        <v>3283</v>
      </c>
      <c r="G522" s="405" t="s">
        <v>3284</v>
      </c>
    </row>
    <row r="523" spans="1:7" ht="25.9" customHeight="1">
      <c r="A523" s="403">
        <v>520</v>
      </c>
      <c r="B523" s="944" t="s">
        <v>622</v>
      </c>
      <c r="C523" s="944" t="s">
        <v>3154</v>
      </c>
      <c r="D523" s="911" t="str">
        <f t="shared" si="8"/>
        <v>Pompe à chaleur à gaz, chauffage</v>
      </c>
      <c r="E523" s="404" t="s">
        <v>3150</v>
      </c>
      <c r="F523" s="914" t="s">
        <v>3285</v>
      </c>
      <c r="G523" s="405" t="s">
        <v>3286</v>
      </c>
    </row>
    <row r="524" spans="1:7" ht="25.9" customHeight="1">
      <c r="A524" s="403">
        <v>521</v>
      </c>
      <c r="B524" s="944" t="s">
        <v>622</v>
      </c>
      <c r="C524" s="944" t="s">
        <v>3155</v>
      </c>
      <c r="D524" s="911" t="str">
        <f t="shared" si="8"/>
        <v>Pompe à chaleur à gaz, eau chaude</v>
      </c>
      <c r="E524" s="404" t="s">
        <v>3151</v>
      </c>
      <c r="F524" s="914" t="s">
        <v>3287</v>
      </c>
      <c r="G524" s="405" t="s">
        <v>3288</v>
      </c>
    </row>
    <row r="525" spans="1:7" ht="25.9" customHeight="1">
      <c r="A525" s="403">
        <v>522</v>
      </c>
      <c r="B525" s="944" t="s">
        <v>622</v>
      </c>
      <c r="C525" s="944" t="s">
        <v>3156</v>
      </c>
      <c r="D525" s="911" t="str">
        <f t="shared" si="8"/>
        <v>Pompe à chaleur à gaz, seul. chauffage</v>
      </c>
      <c r="E525" s="404" t="s">
        <v>3152</v>
      </c>
      <c r="F525" s="914" t="s">
        <v>3289</v>
      </c>
      <c r="G525" s="405" t="s">
        <v>3290</v>
      </c>
    </row>
    <row r="526" spans="1:7" ht="25.9" customHeight="1">
      <c r="A526" s="403">
        <v>523</v>
      </c>
      <c r="B526" s="944" t="s">
        <v>622</v>
      </c>
      <c r="C526" s="944" t="s">
        <v>3157</v>
      </c>
      <c r="D526" s="911" t="str">
        <f t="shared" si="8"/>
        <v>Pompe à chaleur à gaz, seul. eau chaude</v>
      </c>
      <c r="E526" s="404" t="s">
        <v>3153</v>
      </c>
      <c r="F526" s="914" t="s">
        <v>3291</v>
      </c>
      <c r="G526" s="405" t="s">
        <v>3292</v>
      </c>
    </row>
    <row r="527" spans="1:7" ht="25.9" customHeight="1">
      <c r="A527" s="403">
        <v>524</v>
      </c>
      <c r="B527" s="944" t="s">
        <v>53</v>
      </c>
      <c r="C527" s="944" t="s">
        <v>3167</v>
      </c>
      <c r="D527" s="911" t="str">
        <f t="shared" si="8"/>
        <v>Vérifier les unités !</v>
      </c>
      <c r="E527" s="404" t="s">
        <v>3166</v>
      </c>
      <c r="F527" s="914" t="s">
        <v>3293</v>
      </c>
      <c r="G527" s="405" t="s">
        <v>3294</v>
      </c>
    </row>
    <row r="528" spans="1:7" ht="25.9" customHeight="1">
      <c r="A528" s="403">
        <v>525</v>
      </c>
      <c r="B528" s="944" t="s">
        <v>313</v>
      </c>
      <c r="C528" s="944" t="s">
        <v>855</v>
      </c>
      <c r="D528" s="911" t="str">
        <f t="shared" si="8"/>
        <v>Justificatif des besoins pour l'éclairage est disponible</v>
      </c>
      <c r="E528" s="404" t="s">
        <v>3191</v>
      </c>
      <c r="F528" s="914" t="s">
        <v>3295</v>
      </c>
      <c r="G528" s="405" t="s">
        <v>3296</v>
      </c>
    </row>
    <row r="529" spans="1:7" ht="25.9" customHeight="1">
      <c r="A529" s="403">
        <v>526</v>
      </c>
      <c r="B529" s="944" t="s">
        <v>622</v>
      </c>
      <c r="C529" s="944" t="s">
        <v>1817</v>
      </c>
      <c r="D529" s="911" t="str">
        <f t="shared" si="8"/>
        <v xml:space="preserve">Un concept d'étanchéité est-il joint ? </v>
      </c>
      <c r="E529" s="404" t="s">
        <v>3224</v>
      </c>
      <c r="F529" s="914" t="s">
        <v>3297</v>
      </c>
      <c r="G529" s="405" t="s">
        <v>3298</v>
      </c>
    </row>
    <row r="530" spans="1:7" ht="25.9" customHeight="1">
      <c r="A530" s="403">
        <v>527</v>
      </c>
      <c r="B530" s="944" t="s">
        <v>1757</v>
      </c>
      <c r="C530" s="944" t="s">
        <v>549</v>
      </c>
      <c r="D530" s="911" t="str">
        <f t="shared" si="8"/>
        <v>Habitat (individuel, collectif), pièce jusqu'à 2 façades, plafond en béton apparent (&gt;80% libre)</v>
      </c>
      <c r="E530" s="404" t="s">
        <v>3338</v>
      </c>
      <c r="F530" s="914" t="s">
        <v>3532</v>
      </c>
      <c r="G530" s="405" t="s">
        <v>3533</v>
      </c>
    </row>
    <row r="531" spans="1:7" ht="25.9" customHeight="1">
      <c r="A531" s="403">
        <v>528</v>
      </c>
      <c r="B531" s="944" t="s">
        <v>1757</v>
      </c>
      <c r="C531" s="944" t="s">
        <v>1766</v>
      </c>
      <c r="D531" s="911" t="str">
        <f t="shared" si="8"/>
        <v>- Indice de vitrage maximal</v>
      </c>
      <c r="E531" s="404" t="s">
        <v>3339</v>
      </c>
      <c r="F531" s="914" t="s">
        <v>3534</v>
      </c>
      <c r="G531" s="405" t="s">
        <v>3535</v>
      </c>
    </row>
    <row r="532" spans="1:7" ht="25.9" customHeight="1">
      <c r="A532" s="403">
        <v>529</v>
      </c>
      <c r="B532" s="944" t="s">
        <v>1757</v>
      </c>
      <c r="C532" s="944" t="s">
        <v>550</v>
      </c>
      <c r="D532" s="911" t="str">
        <f t="shared" si="8"/>
        <v>Habitat (individuel, collectif), pièce jusqu'à 2 façades, plafond en bois et chape ciment min. 6 cm ou anhydrite min. 5 cm d'épais</v>
      </c>
      <c r="E532" s="404" t="s">
        <v>3340</v>
      </c>
      <c r="F532" s="914" t="s">
        <v>3536</v>
      </c>
      <c r="G532" s="405" t="s">
        <v>3537</v>
      </c>
    </row>
    <row r="533" spans="1:7" ht="25.9" customHeight="1">
      <c r="A533" s="403">
        <v>530</v>
      </c>
      <c r="B533" s="944" t="s">
        <v>1757</v>
      </c>
      <c r="C533" s="944" t="s">
        <v>496</v>
      </c>
      <c r="D533" s="911" t="str">
        <f t="shared" si="8"/>
        <v>Habitat (ind., coll.), pièce avec 1 façade, plafond en béton apparent (&gt;80% libre), orientation SSE-SSO et ombrage par balcon de min. 1 m de profondeur</v>
      </c>
      <c r="E533" s="404" t="s">
        <v>3396</v>
      </c>
      <c r="F533" s="914" t="s">
        <v>3538</v>
      </c>
      <c r="G533" s="405" t="s">
        <v>3539</v>
      </c>
    </row>
    <row r="534" spans="1:7" ht="25.9" customHeight="1">
      <c r="A534" s="403">
        <v>531</v>
      </c>
      <c r="B534" s="944" t="s">
        <v>1757</v>
      </c>
      <c r="C534" s="944" t="s">
        <v>867</v>
      </c>
      <c r="D534" s="911" t="str">
        <f t="shared" si="8"/>
        <v>Plafond en béton apparent (&gt;40% libre) et commande automatique de la protection solaire. Valeur g vitrage ≤ 30%</v>
      </c>
      <c r="E534" s="404" t="s">
        <v>3341</v>
      </c>
      <c r="F534" s="914" t="s">
        <v>3540</v>
      </c>
      <c r="G534" s="405" t="s">
        <v>3541</v>
      </c>
    </row>
    <row r="535" spans="1:7" ht="25.9" customHeight="1">
      <c r="A535" s="403">
        <v>532</v>
      </c>
      <c r="B535" s="944" t="s">
        <v>1757</v>
      </c>
      <c r="C535" s="944" t="s">
        <v>872</v>
      </c>
      <c r="D535" s="911" t="str">
        <f t="shared" si="8"/>
        <v>Variante 2 : Justificatif externe des critères selon SIA 382/1 et SIA 180 (sans refroidissement)</v>
      </c>
      <c r="E535" s="404" t="s">
        <v>3342</v>
      </c>
      <c r="F535" s="914" t="s">
        <v>3542</v>
      </c>
      <c r="G535" s="405" t="s">
        <v>3543</v>
      </c>
    </row>
    <row r="536" spans="1:7" ht="42" customHeight="1">
      <c r="A536" s="403">
        <v>533</v>
      </c>
      <c r="B536" s="944" t="s">
        <v>1757</v>
      </c>
      <c r="C536" s="944" t="s">
        <v>98</v>
      </c>
      <c r="D536" s="911" t="str">
        <f t="shared" si="8"/>
        <v>Exigences constructives de la protection thermique estivale selon le justificatif pour la protection thermique estivale, Variante 2, remplies?</v>
      </c>
      <c r="E536" s="404" t="s">
        <v>3506</v>
      </c>
      <c r="F536" s="914" t="s">
        <v>3544</v>
      </c>
      <c r="G536" s="405" t="s">
        <v>3545</v>
      </c>
    </row>
    <row r="537" spans="1:7" ht="25.9" customHeight="1">
      <c r="A537" s="403">
        <v>534</v>
      </c>
      <c r="B537" s="944" t="s">
        <v>1757</v>
      </c>
      <c r="C537" s="944" t="s">
        <v>851</v>
      </c>
      <c r="D537" s="911" t="str">
        <f t="shared" si="8"/>
        <v>- Pas d'ouverture zénithale</v>
      </c>
      <c r="E537" s="404" t="s">
        <v>3343</v>
      </c>
      <c r="F537" s="914" t="s">
        <v>3546</v>
      </c>
      <c r="G537" s="405" t="s">
        <v>3547</v>
      </c>
    </row>
    <row r="538" spans="1:7" ht="25.9" customHeight="1">
      <c r="A538" s="403">
        <v>535</v>
      </c>
      <c r="B538" s="944" t="s">
        <v>1757</v>
      </c>
      <c r="C538" s="944" t="s">
        <v>466</v>
      </c>
      <c r="D538" s="911" t="str">
        <f t="shared" si="8"/>
        <v>- Protection solaire extérieure mobile avec stores à rouleau ou à lamellles (valeur g-total max. 0.1)</v>
      </c>
      <c r="E538" s="404" t="s">
        <v>3344</v>
      </c>
      <c r="F538" s="914" t="s">
        <v>3548</v>
      </c>
      <c r="G538" s="405" t="s">
        <v>3549</v>
      </c>
    </row>
    <row r="539" spans="1:7" ht="25.9" customHeight="1">
      <c r="A539" s="403">
        <v>536</v>
      </c>
      <c r="B539" s="944" t="s">
        <v>1757</v>
      </c>
      <c r="C539" s="944" t="s">
        <v>854</v>
      </c>
      <c r="D539" s="911" t="str">
        <f t="shared" si="8"/>
        <v>- Rafraîchis. nocturne par les fen. possible (précision : la protect. contre l'effraction n'est en général pas contrôlée dans le cadre de la certif. Minergie)</v>
      </c>
      <c r="E539" s="404" t="s">
        <v>3345</v>
      </c>
      <c r="F539" s="914" t="s">
        <v>3550</v>
      </c>
      <c r="G539" s="405" t="s">
        <v>3551</v>
      </c>
    </row>
    <row r="540" spans="1:7" ht="25.9" customHeight="1">
      <c r="A540" s="403">
        <v>537</v>
      </c>
      <c r="B540" s="944" t="s">
        <v>1757</v>
      </c>
      <c r="C540" s="944" t="s">
        <v>855</v>
      </c>
      <c r="D540" s="911" t="str">
        <f t="shared" si="8"/>
        <v>- Les charges internes ne sont pas plus élevées que la valeur standart du cahier technique SIA 2024</v>
      </c>
      <c r="E540" s="404" t="s">
        <v>3346</v>
      </c>
      <c r="F540" s="914" t="s">
        <v>3552</v>
      </c>
      <c r="G540" s="405" t="s">
        <v>3553</v>
      </c>
    </row>
    <row r="541" spans="1:7" ht="25.9" customHeight="1">
      <c r="A541" s="403">
        <v>538</v>
      </c>
      <c r="B541" s="944" t="s">
        <v>1757</v>
      </c>
      <c r="C541" s="944" t="s">
        <v>1803</v>
      </c>
      <c r="D541" s="911" t="str">
        <f t="shared" si="8"/>
        <v>Exigences des critères de confort selon le justificatif pour la protection thermique estivale remplies?</v>
      </c>
      <c r="E541" s="404" t="s">
        <v>3507</v>
      </c>
      <c r="F541" s="914" t="s">
        <v>3554</v>
      </c>
      <c r="G541" s="405" t="s">
        <v>3555</v>
      </c>
    </row>
    <row r="542" spans="1:7" ht="25.9" customHeight="1">
      <c r="A542" s="403">
        <v>539</v>
      </c>
      <c r="B542" s="944" t="s">
        <v>1757</v>
      </c>
      <c r="C542" s="944" t="s">
        <v>3348</v>
      </c>
      <c r="D542" s="911" t="str">
        <f t="shared" si="8"/>
        <v>Admissible jusqu'à nouvel ordre</v>
      </c>
      <c r="E542" s="404" t="s">
        <v>3347</v>
      </c>
      <c r="F542" s="914" t="s">
        <v>3556</v>
      </c>
      <c r="G542" s="405" t="s">
        <v>3557</v>
      </c>
    </row>
    <row r="543" spans="1:7" ht="25.9" customHeight="1">
      <c r="A543" s="403">
        <v>540</v>
      </c>
      <c r="B543" s="944" t="s">
        <v>622</v>
      </c>
      <c r="C543" s="944" t="s">
        <v>3442</v>
      </c>
      <c r="D543" s="1773" t="str">
        <f t="shared" si="8"/>
        <v>Mobilité électrique</v>
      </c>
      <c r="E543" s="404" t="s">
        <v>3443</v>
      </c>
      <c r="F543" s="914" t="s">
        <v>3558</v>
      </c>
      <c r="G543" s="405" t="s">
        <v>3559</v>
      </c>
    </row>
    <row r="544" spans="1:7" ht="25.9" customHeight="1">
      <c r="A544" s="403">
        <v>541</v>
      </c>
      <c r="B544" s="944" t="s">
        <v>622</v>
      </c>
      <c r="C544" s="944" t="s">
        <v>3444</v>
      </c>
      <c r="D544" s="1773" t="str">
        <f t="shared" si="8"/>
        <v>Le niveau d’installation A sera-t-elle mis en œuvre conformément à la SIA 2060?</v>
      </c>
      <c r="E544" s="404" t="s">
        <v>3996</v>
      </c>
      <c r="F544" s="914" t="s">
        <v>4031</v>
      </c>
      <c r="G544" s="405" t="s">
        <v>4034</v>
      </c>
    </row>
    <row r="545" spans="1:7" ht="25.9" customHeight="1">
      <c r="A545" s="403">
        <v>542</v>
      </c>
      <c r="B545" s="944" t="s">
        <v>1807</v>
      </c>
      <c r="C545" s="944" t="s">
        <v>3480</v>
      </c>
      <c r="D545" s="1773" t="str">
        <f t="shared" si="8"/>
        <v>MKZ,H : indice Minergie partiel chauffage</v>
      </c>
      <c r="E545" s="404" t="s">
        <v>3470</v>
      </c>
      <c r="F545" s="914" t="s">
        <v>3560</v>
      </c>
      <c r="G545" s="405" t="s">
        <v>3561</v>
      </c>
    </row>
    <row r="546" spans="1:7" ht="25.9" customHeight="1">
      <c r="A546" s="403">
        <v>543</v>
      </c>
      <c r="B546" s="944" t="s">
        <v>1807</v>
      </c>
      <c r="C546" s="944" t="s">
        <v>3481</v>
      </c>
      <c r="D546" s="1773" t="str">
        <f t="shared" si="8"/>
        <v>MKZ,ww : indice Minergie partiel eau chaude</v>
      </c>
      <c r="E546" s="404" t="s">
        <v>3471</v>
      </c>
      <c r="F546" s="914" t="s">
        <v>3562</v>
      </c>
      <c r="G546" s="405" t="s">
        <v>3563</v>
      </c>
    </row>
    <row r="547" spans="1:7" ht="25.9" customHeight="1">
      <c r="A547" s="403">
        <v>544</v>
      </c>
      <c r="B547" s="944" t="s">
        <v>1807</v>
      </c>
      <c r="C547" s="944" t="s">
        <v>3482</v>
      </c>
      <c r="D547" s="1773" t="str">
        <f t="shared" si="8"/>
        <v>MKZ,LK : indice Minergie partiel aération et climat</v>
      </c>
      <c r="E547" s="404" t="s">
        <v>3472</v>
      </c>
      <c r="F547" s="914" t="s">
        <v>3564</v>
      </c>
      <c r="G547" s="405" t="s">
        <v>3565</v>
      </c>
    </row>
    <row r="548" spans="1:7" ht="25.9" customHeight="1">
      <c r="A548" s="403">
        <v>545</v>
      </c>
      <c r="B548" s="944" t="s">
        <v>1807</v>
      </c>
      <c r="C548" s="944" t="s">
        <v>3483</v>
      </c>
      <c r="D548" s="1773" t="str">
        <f t="shared" si="8"/>
        <v>MKZ,el,wohn : indice Minergie partiel électricité bâtiments d'habitation</v>
      </c>
      <c r="E548" s="404" t="s">
        <v>3473</v>
      </c>
      <c r="F548" s="914" t="s">
        <v>3566</v>
      </c>
      <c r="G548" s="405" t="s">
        <v>3567</v>
      </c>
    </row>
    <row r="549" spans="1:7" ht="25.9" customHeight="1">
      <c r="A549" s="403">
        <v>546</v>
      </c>
      <c r="B549" s="944" t="s">
        <v>1807</v>
      </c>
      <c r="C549" s="944" t="s">
        <v>3484</v>
      </c>
      <c r="D549" s="1773" t="str">
        <f t="shared" si="8"/>
        <v>MKZ,Bel : indice Minergie partiel éclairage</v>
      </c>
      <c r="E549" s="404" t="s">
        <v>3474</v>
      </c>
      <c r="F549" s="914" t="s">
        <v>3568</v>
      </c>
      <c r="G549" s="405" t="s">
        <v>3569</v>
      </c>
    </row>
    <row r="550" spans="1:7" ht="25.9" customHeight="1">
      <c r="A550" s="403">
        <v>547</v>
      </c>
      <c r="B550" s="944" t="s">
        <v>1807</v>
      </c>
      <c r="C550" s="944" t="s">
        <v>3485</v>
      </c>
      <c r="D550" s="1773" t="str">
        <f t="shared" si="8"/>
        <v>MKZ,Geräte : indice Minergie partiel appareils</v>
      </c>
      <c r="E550" s="404" t="s">
        <v>3475</v>
      </c>
      <c r="F550" s="914" t="s">
        <v>3570</v>
      </c>
      <c r="G550" s="405" t="s">
        <v>3571</v>
      </c>
    </row>
    <row r="551" spans="1:7" ht="25.9" customHeight="1">
      <c r="A551" s="403">
        <v>548</v>
      </c>
      <c r="B551" s="944" t="s">
        <v>1807</v>
      </c>
      <c r="C551" s="944" t="s">
        <v>3486</v>
      </c>
      <c r="D551" s="1773" t="str">
        <f t="shared" si="8"/>
        <v>MKZ,AGT : indice Minergie partiel installations techniques</v>
      </c>
      <c r="E551" s="404" t="s">
        <v>3476</v>
      </c>
      <c r="F551" s="914" t="s">
        <v>3572</v>
      </c>
      <c r="G551" s="405" t="s">
        <v>3573</v>
      </c>
    </row>
    <row r="552" spans="1:7" ht="25.9" customHeight="1">
      <c r="A552" s="403">
        <v>549</v>
      </c>
      <c r="B552" s="944" t="s">
        <v>1807</v>
      </c>
      <c r="C552" s="944" t="s">
        <v>3487</v>
      </c>
      <c r="D552" s="1773" t="str">
        <f t="shared" si="8"/>
        <v>E,EB : Autoconsommation du courant PV autoproduit</v>
      </c>
      <c r="E552" s="404" t="s">
        <v>3477</v>
      </c>
      <c r="F552" s="914" t="s">
        <v>3574</v>
      </c>
      <c r="G552" s="405" t="s">
        <v>3575</v>
      </c>
    </row>
    <row r="553" spans="1:7" ht="25.9" customHeight="1">
      <c r="A553" s="403">
        <v>550</v>
      </c>
      <c r="B553" s="944" t="s">
        <v>1807</v>
      </c>
      <c r="C553" s="944" t="s">
        <v>3488</v>
      </c>
      <c r="D553" s="1773" t="str">
        <f t="shared" si="8"/>
        <v>E,Netz : Courant PV autoproduit injecté dans le réseau</v>
      </c>
      <c r="E553" s="404" t="s">
        <v>3478</v>
      </c>
      <c r="F553" s="914" t="s">
        <v>3576</v>
      </c>
      <c r="G553" s="405" t="s">
        <v>3577</v>
      </c>
    </row>
    <row r="554" spans="1:7" ht="25.9" customHeight="1">
      <c r="A554" s="403">
        <v>551</v>
      </c>
      <c r="B554" s="944" t="s">
        <v>1807</v>
      </c>
      <c r="C554" s="944" t="s">
        <v>3489</v>
      </c>
      <c r="D554" s="1773" t="str">
        <f t="shared" si="8"/>
        <v>MKZ : indice Minergie</v>
      </c>
      <c r="E554" s="404" t="s">
        <v>3479</v>
      </c>
      <c r="F554" s="914" t="s">
        <v>3578</v>
      </c>
      <c r="G554" s="405" t="s">
        <v>3579</v>
      </c>
    </row>
    <row r="555" spans="1:7" ht="25.9" customHeight="1">
      <c r="A555" s="403">
        <v>552</v>
      </c>
      <c r="B555" s="944" t="s">
        <v>1757</v>
      </c>
      <c r="C555" s="944" t="s">
        <v>3508</v>
      </c>
      <c r="D555" s="1773" t="str">
        <f t="shared" si="8"/>
        <v xml:space="preserve">Précision : Si non, la possibilité d'aération par les fenêtres doit quand même être remplie </v>
      </c>
      <c r="E555" s="404" t="s">
        <v>3505</v>
      </c>
      <c r="F555" s="914" t="s">
        <v>3580</v>
      </c>
      <c r="G555" s="405" t="s">
        <v>3581</v>
      </c>
    </row>
    <row r="556" spans="1:7" ht="25.9" customHeight="1">
      <c r="A556" s="403">
        <v>553</v>
      </c>
      <c r="B556" s="944" t="s">
        <v>1757</v>
      </c>
      <c r="C556" s="944" t="s">
        <v>881</v>
      </c>
      <c r="D556" s="1773" t="str">
        <f t="shared" si="8"/>
        <v>Variante 3 : Justificatif externe des critères selon SIA 180 et SIA 382/1 (avec refroidissement)</v>
      </c>
      <c r="E556" s="404" t="s">
        <v>3582</v>
      </c>
      <c r="F556" s="914" t="s">
        <v>3583</v>
      </c>
      <c r="G556" s="405" t="s">
        <v>3584</v>
      </c>
    </row>
    <row r="557" spans="1:7" ht="63" customHeight="1">
      <c r="A557" s="403">
        <v>554</v>
      </c>
      <c r="B557" s="944" t="s">
        <v>1757</v>
      </c>
      <c r="C557" s="944" t="s">
        <v>1778</v>
      </c>
      <c r="D557" s="1773" t="str">
        <f t="shared" si="8"/>
        <v>Le justificatif des exigences de base constructives doit être respecté. Les températures des pièces doivent être calculées selon SIA 382/1, chiffre 4.5. Sans refroidissement, la courbe des valeurs limites selon SIA 180, figure 4 ne peut pas être dépassée plus de 100 h.</v>
      </c>
      <c r="E557" s="404" t="s">
        <v>3695</v>
      </c>
      <c r="F557" s="914" t="s">
        <v>3585</v>
      </c>
      <c r="G557" s="405" t="s">
        <v>3696</v>
      </c>
    </row>
    <row r="558" spans="1:7" ht="25.9" customHeight="1">
      <c r="A558" s="403">
        <v>555</v>
      </c>
      <c r="B558" s="944" t="s">
        <v>1757</v>
      </c>
      <c r="C558" s="944" t="s">
        <v>855</v>
      </c>
      <c r="D558" s="1773" t="str">
        <f t="shared" si="8"/>
        <v>- Résistance au vent des protections solaires extérieures mobiles d'au moins classe 5</v>
      </c>
      <c r="E558" s="431" t="s">
        <v>3515</v>
      </c>
      <c r="F558" s="914" t="s">
        <v>3586</v>
      </c>
      <c r="G558" s="405" t="s">
        <v>3587</v>
      </c>
    </row>
    <row r="559" spans="1:7" ht="25.9" customHeight="1">
      <c r="A559" s="403">
        <v>556</v>
      </c>
      <c r="B559" s="944" t="s">
        <v>622</v>
      </c>
      <c r="C559" s="944" t="s">
        <v>3610</v>
      </c>
      <c r="D559" s="1773" t="str">
        <f t="shared" si="8"/>
        <v>Minergie avec SIA 380/1:2016</v>
      </c>
      <c r="E559" s="404" t="s">
        <v>3604</v>
      </c>
      <c r="F559" s="914" t="s">
        <v>3616</v>
      </c>
      <c r="G559" s="405" t="s">
        <v>3622</v>
      </c>
    </row>
    <row r="560" spans="1:7" ht="25.9" customHeight="1">
      <c r="A560" s="403">
        <v>557</v>
      </c>
      <c r="B560" s="944" t="s">
        <v>622</v>
      </c>
      <c r="C560" s="944" t="s">
        <v>3611</v>
      </c>
      <c r="D560" s="1773" t="str">
        <f t="shared" si="8"/>
        <v>Minergie-P avec SIA 380/1:2016</v>
      </c>
      <c r="E560" s="404" t="s">
        <v>3605</v>
      </c>
      <c r="F560" s="914" t="s">
        <v>3617</v>
      </c>
      <c r="G560" s="405" t="s">
        <v>3623</v>
      </c>
    </row>
    <row r="561" spans="1:7" ht="25.9" customHeight="1">
      <c r="A561" s="403">
        <v>558</v>
      </c>
      <c r="B561" s="944" t="s">
        <v>622</v>
      </c>
      <c r="C561" s="944" t="s">
        <v>3612</v>
      </c>
      <c r="D561" s="1773" t="str">
        <f t="shared" si="8"/>
        <v>Minergie-A avec SIA 380/1:2016</v>
      </c>
      <c r="E561" s="404" t="s">
        <v>3606</v>
      </c>
      <c r="F561" s="914" t="s">
        <v>3618</v>
      </c>
      <c r="G561" s="405" t="s">
        <v>3624</v>
      </c>
    </row>
    <row r="562" spans="1:7" ht="25.9" customHeight="1">
      <c r="A562" s="403">
        <v>559</v>
      </c>
      <c r="B562" s="944" t="s">
        <v>622</v>
      </c>
      <c r="C562" s="944" t="s">
        <v>3613</v>
      </c>
      <c r="D562" s="1773" t="str">
        <f t="shared" si="8"/>
        <v>Minergie avec SIA 380/1:2009</v>
      </c>
      <c r="E562" s="404" t="s">
        <v>3607</v>
      </c>
      <c r="F562" s="914" t="s">
        <v>3619</v>
      </c>
      <c r="G562" s="405" t="s">
        <v>3625</v>
      </c>
    </row>
    <row r="563" spans="1:7" ht="25.9" customHeight="1">
      <c r="A563" s="403">
        <v>560</v>
      </c>
      <c r="B563" s="944" t="s">
        <v>622</v>
      </c>
      <c r="C563" s="944" t="s">
        <v>3614</v>
      </c>
      <c r="D563" s="1773" t="str">
        <f t="shared" si="8"/>
        <v>Minergie-P avec SIA 380/1:2009</v>
      </c>
      <c r="E563" s="404" t="s">
        <v>3608</v>
      </c>
      <c r="F563" s="914" t="s">
        <v>3620</v>
      </c>
      <c r="G563" s="405" t="s">
        <v>3626</v>
      </c>
    </row>
    <row r="564" spans="1:7" ht="25.9" customHeight="1">
      <c r="A564" s="403">
        <v>561</v>
      </c>
      <c r="B564" s="944" t="s">
        <v>622</v>
      </c>
      <c r="C564" s="944" t="s">
        <v>3615</v>
      </c>
      <c r="D564" s="1773" t="str">
        <f t="shared" si="8"/>
        <v>Minergie-A avec SIA 380/1:2009</v>
      </c>
      <c r="E564" s="404" t="s">
        <v>3609</v>
      </c>
      <c r="F564" s="914" t="s">
        <v>3621</v>
      </c>
      <c r="G564" s="405" t="s">
        <v>3627</v>
      </c>
    </row>
    <row r="565" spans="1:7" ht="25.9" customHeight="1">
      <c r="A565" s="403">
        <v>562</v>
      </c>
      <c r="B565" s="944" t="s">
        <v>622</v>
      </c>
      <c r="C565" s="944" t="s">
        <v>3665</v>
      </c>
      <c r="D565" s="1773" t="str">
        <f t="shared" si="8"/>
        <v>Rejets thermiques  [kWh]</v>
      </c>
      <c r="E565" s="404" t="s">
        <v>3658</v>
      </c>
      <c r="F565" s="914" t="s">
        <v>3663</v>
      </c>
      <c r="G565" s="405" t="s">
        <v>3664</v>
      </c>
    </row>
    <row r="566" spans="1:7" ht="25.9" customHeight="1">
      <c r="A566" s="403">
        <v>563</v>
      </c>
      <c r="B566" s="944" t="s">
        <v>622</v>
      </c>
      <c r="C566" s="944" t="s">
        <v>3668</v>
      </c>
      <c r="D566" s="1773" t="str">
        <f t="shared" si="8"/>
        <v>Températures des rejets thermique [°C]</v>
      </c>
      <c r="E566" s="404" t="s">
        <v>3656</v>
      </c>
      <c r="F566" s="914" t="s">
        <v>3666</v>
      </c>
      <c r="G566" s="405" t="s">
        <v>3667</v>
      </c>
    </row>
    <row r="567" spans="1:7" ht="25.9" customHeight="1">
      <c r="A567" s="403">
        <v>564</v>
      </c>
      <c r="B567" s="944" t="s">
        <v>622</v>
      </c>
      <c r="C567" s="944" t="s">
        <v>3670</v>
      </c>
      <c r="D567" s="1773" t="str">
        <f t="shared" si="8"/>
        <v>Rendement de climatisation  (EER)</v>
      </c>
      <c r="E567" s="404" t="s">
        <v>3669</v>
      </c>
      <c r="F567" s="914" t="s">
        <v>3671</v>
      </c>
      <c r="G567" s="405" t="s">
        <v>3672</v>
      </c>
    </row>
    <row r="568" spans="1:7" ht="25.9" customHeight="1">
      <c r="A568" s="403">
        <v>565</v>
      </c>
      <c r="B568" s="944" t="s">
        <v>706</v>
      </c>
      <c r="C568" s="944" t="s">
        <v>3892</v>
      </c>
      <c r="D568" s="1773" t="str">
        <f t="shared" si="8"/>
        <v>Electricité pour la climatisation manquante</v>
      </c>
      <c r="E568" s="404" t="s">
        <v>3891</v>
      </c>
      <c r="F568" s="914" t="s">
        <v>3893</v>
      </c>
      <c r="G568" s="405" t="s">
        <v>3894</v>
      </c>
    </row>
    <row r="569" spans="1:7" ht="25.9" customHeight="1">
      <c r="A569" s="403">
        <v>566</v>
      </c>
      <c r="B569" s="944" t="s">
        <v>622</v>
      </c>
      <c r="C569" s="944" t="s">
        <v>3690</v>
      </c>
      <c r="D569" s="1773" t="str">
        <f t="shared" si="8"/>
        <v>Vent. de transfert d’air</v>
      </c>
      <c r="E569" s="404" t="s">
        <v>3688</v>
      </c>
      <c r="F569" s="1476" t="s">
        <v>3897</v>
      </c>
      <c r="G569" s="1913" t="s">
        <v>3899</v>
      </c>
    </row>
    <row r="570" spans="1:7" ht="25.9" customHeight="1">
      <c r="A570" s="403">
        <v>567</v>
      </c>
      <c r="B570" s="944" t="s">
        <v>622</v>
      </c>
      <c r="C570" s="944" t="s">
        <v>3691</v>
      </c>
      <c r="D570" s="1773" t="str">
        <f t="shared" si="8"/>
        <v>Vent. de base</v>
      </c>
      <c r="E570" s="404" t="s">
        <v>3689</v>
      </c>
      <c r="F570" s="1476" t="s">
        <v>3898</v>
      </c>
      <c r="G570" s="1913" t="s">
        <v>3900</v>
      </c>
    </row>
    <row r="571" spans="1:7" ht="25.9" customHeight="1">
      <c r="A571" s="403">
        <v>568</v>
      </c>
      <c r="B571" s="944" t="s">
        <v>622</v>
      </c>
      <c r="C571" s="944" t="s">
        <v>932</v>
      </c>
      <c r="D571" s="1773" t="str">
        <f t="shared" si="8"/>
        <v>Enthalpie</v>
      </c>
      <c r="E571" s="404" t="s">
        <v>3694</v>
      </c>
      <c r="F571" s="1476" t="s">
        <v>3896</v>
      </c>
      <c r="G571" s="1913" t="s">
        <v>3895</v>
      </c>
    </row>
    <row r="572" spans="1:7" ht="25.9" customHeight="1">
      <c r="A572" s="403">
        <v>569</v>
      </c>
      <c r="B572" s="944" t="s">
        <v>53</v>
      </c>
      <c r="C572" s="944" t="s">
        <v>3890</v>
      </c>
      <c r="D572" s="1773" t="str">
        <f t="shared" si="8"/>
        <v>&gt; 1'000 m3/h d'air reprise</v>
      </c>
      <c r="E572" s="404" t="s">
        <v>3887</v>
      </c>
      <c r="F572" s="914" t="s">
        <v>3888</v>
      </c>
      <c r="G572" s="405" t="s">
        <v>3889</v>
      </c>
    </row>
    <row r="573" spans="1:7" ht="51" customHeight="1">
      <c r="A573" s="403">
        <v>570</v>
      </c>
      <c r="B573" s="944" t="s">
        <v>53</v>
      </c>
      <c r="C573" s="944" t="s">
        <v>3708</v>
      </c>
      <c r="D573" s="1773" t="str">
        <f t="shared" ref="D573:D604" si="9">INDEX($E$4:$G$604,$A573,$A$1)</f>
        <v>N° MOP: N° du projet sur la plateforme Minergie https://online.minergie.ch est attribué automatiquement à l'ouverture du projet (ex. 51234)</v>
      </c>
      <c r="E573" s="404" t="s">
        <v>3707</v>
      </c>
      <c r="F573" s="914" t="s">
        <v>3705</v>
      </c>
      <c r="G573" s="405" t="s">
        <v>3706</v>
      </c>
    </row>
    <row r="574" spans="1:7" ht="25.9" customHeight="1">
      <c r="A574" s="403">
        <v>571</v>
      </c>
      <c r="B574" s="944" t="s">
        <v>313</v>
      </c>
      <c r="C574" s="944" t="s">
        <v>890</v>
      </c>
      <c r="D574" s="1773" t="str">
        <f t="shared" si="9"/>
        <v>Valeur calculée pour l'eau chaude sanitaire selon SIA 380/1</v>
      </c>
      <c r="E574" s="404" t="s">
        <v>3711</v>
      </c>
      <c r="F574" s="914" t="s">
        <v>3710</v>
      </c>
      <c r="G574" s="405" t="s">
        <v>3709</v>
      </c>
    </row>
    <row r="575" spans="1:7" ht="25.9" customHeight="1">
      <c r="A575" s="403">
        <v>572</v>
      </c>
      <c r="B575" s="944" t="s">
        <v>313</v>
      </c>
      <c r="C575" s="944" t="s">
        <v>3712</v>
      </c>
      <c r="D575" s="1773" t="str">
        <f t="shared" si="9"/>
        <v>Donnée à saisir, au cas où l'eau chaude sanitaire serait justifiée d'après SIA 385.</v>
      </c>
      <c r="E575" s="404" t="s">
        <v>3714</v>
      </c>
      <c r="F575" s="914" t="s">
        <v>3713</v>
      </c>
      <c r="G575" s="405" t="s">
        <v>3715</v>
      </c>
    </row>
    <row r="576" spans="1:7" ht="54" customHeight="1">
      <c r="A576" s="403">
        <v>573</v>
      </c>
      <c r="B576" s="944" t="s">
        <v>313</v>
      </c>
      <c r="C576" s="944" t="s">
        <v>888</v>
      </c>
      <c r="D576" s="1773" t="str">
        <f t="shared" si="9"/>
        <v>Donnée indiquant si une robinetterie à économie d'eau est installée ou non. Au besoin, l'Office de certification peut exiger la documentation (bulletin de livraison, type, etc.).</v>
      </c>
      <c r="E576" s="404" t="s">
        <v>3717</v>
      </c>
      <c r="F576" s="914" t="s">
        <v>3716</v>
      </c>
      <c r="G576" s="405" t="s">
        <v>3718</v>
      </c>
    </row>
    <row r="577" spans="1:7" ht="51.75" customHeight="1">
      <c r="A577" s="403">
        <v>574</v>
      </c>
      <c r="B577" s="944" t="s">
        <v>313</v>
      </c>
      <c r="C577" s="944" t="s">
        <v>891</v>
      </c>
      <c r="D577" s="1773" t="str">
        <f t="shared" si="9"/>
        <v>Indication si un système est utilisé pour la récupération de chaleur issue des eaux usées. Il faut reporter la valeur totale en % de la RC basée sur la quantité totale d'eau chaude.</v>
      </c>
      <c r="E577" s="404" t="s">
        <v>3720</v>
      </c>
      <c r="F577" s="914" t="s">
        <v>3719</v>
      </c>
      <c r="G577" s="405" t="s">
        <v>3721</v>
      </c>
    </row>
    <row r="578" spans="1:7" ht="42" customHeight="1">
      <c r="A578" s="403">
        <v>575</v>
      </c>
      <c r="B578" s="944" t="s">
        <v>313</v>
      </c>
      <c r="C578" s="944" t="s">
        <v>3722</v>
      </c>
      <c r="D578" s="1773" t="str">
        <f t="shared" si="9"/>
        <v>Nombre d'unités d’habitation : Donnée obligatoire pour les bâtiments d'habitation. Le terme « unité d’habitation » est défini au chapitre 6.1.4.</v>
      </c>
      <c r="E578" s="404" t="s">
        <v>3724</v>
      </c>
      <c r="F578" s="914" t="s">
        <v>3723</v>
      </c>
      <c r="G578" s="405" t="s">
        <v>3725</v>
      </c>
    </row>
    <row r="579" spans="1:7" ht="51.75" customHeight="1">
      <c r="A579" s="403">
        <v>576</v>
      </c>
      <c r="B579" s="944" t="s">
        <v>313</v>
      </c>
      <c r="C579" s="944" t="s">
        <v>3729</v>
      </c>
      <c r="D579" s="1773" t="str">
        <f t="shared" si="9"/>
        <v>Appareils : Donnée indiquant si les appareils installés disposent de la classe d'efficacité exigée, au minimum. Au besoin, l'Office de certification peut exiger le justificatif.</v>
      </c>
      <c r="E579" s="404" t="s">
        <v>3727</v>
      </c>
      <c r="F579" s="914" t="s">
        <v>3728</v>
      </c>
      <c r="G579" s="405" t="s">
        <v>3726</v>
      </c>
    </row>
    <row r="580" spans="1:7" ht="39.75" customHeight="1">
      <c r="A580" s="403">
        <v>577</v>
      </c>
      <c r="B580" s="944" t="s">
        <v>313</v>
      </c>
      <c r="C580" s="944" t="s">
        <v>3730</v>
      </c>
      <c r="D580" s="1773" t="str">
        <f t="shared" si="9"/>
        <v>Eclairage LED A++ &amp; régulation : Indication de l'utilisation ou non de l'éclairage général de la catégorie de rendement concernée.</v>
      </c>
      <c r="E580" s="404" t="s">
        <v>3732</v>
      </c>
      <c r="F580" s="914" t="s">
        <v>3731</v>
      </c>
      <c r="G580" s="405" t="s">
        <v>3733</v>
      </c>
    </row>
    <row r="581" spans="1:7" ht="144" customHeight="1">
      <c r="A581" s="403">
        <v>578</v>
      </c>
      <c r="B581" s="944" t="s">
        <v>313</v>
      </c>
      <c r="C581" s="944" t="s">
        <v>3734</v>
      </c>
      <c r="D581" s="1773" t="str">
        <f t="shared" si="9"/>
        <v>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v>
      </c>
      <c r="E581" s="404" t="s">
        <v>3735</v>
      </c>
      <c r="F581" s="914" t="s">
        <v>3736</v>
      </c>
      <c r="G581" s="405" t="s">
        <v>3737</v>
      </c>
    </row>
    <row r="582" spans="1:7" ht="36" customHeight="1">
      <c r="A582" s="403">
        <v>579</v>
      </c>
      <c r="B582" s="944" t="s">
        <v>313</v>
      </c>
      <c r="C582" s="944" t="s">
        <v>3738</v>
      </c>
      <c r="D582" s="1773" t="str">
        <f t="shared" si="9"/>
        <v>Éclairage : rénovation complète ? Donnée indiquant s'il s'agit d'une rénovation complète.</v>
      </c>
      <c r="E582" s="404" t="s">
        <v>3739</v>
      </c>
      <c r="F582" s="914" t="s">
        <v>3740</v>
      </c>
      <c r="G582" s="405" t="s">
        <v>3741</v>
      </c>
    </row>
    <row r="583" spans="1:7" ht="66" customHeight="1">
      <c r="A583" s="403">
        <v>580</v>
      </c>
      <c r="B583" s="944" t="s">
        <v>313</v>
      </c>
      <c r="C583" s="944" t="s">
        <v>884</v>
      </c>
      <c r="D583" s="1773" t="str">
        <f t="shared" si="9"/>
        <v>Justificatif de l'éclairage disponible : Donnée indiquant si le justificatif comprend l'éclairage ou non. Si l'on sélectionne « non », la valeur par défaut pour l'éclairage est multipliée par 1,2. Sélectionnez toujours « non », pour les bâtiments locatifs.</v>
      </c>
      <c r="E583" s="404" t="s">
        <v>3742</v>
      </c>
      <c r="F583" s="914" t="s">
        <v>3743</v>
      </c>
      <c r="G583" s="405" t="s">
        <v>3744</v>
      </c>
    </row>
    <row r="584" spans="1:7" ht="75.75" customHeight="1">
      <c r="A584" s="403">
        <v>581</v>
      </c>
      <c r="B584" s="944" t="s">
        <v>313</v>
      </c>
      <c r="C584" s="944" t="s">
        <v>885</v>
      </c>
      <c r="D584" s="1773" t="str">
        <f t="shared" si="9"/>
        <v>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v>
      </c>
      <c r="E584" s="404" t="s">
        <v>3745</v>
      </c>
      <c r="F584" s="914" t="s">
        <v>3746</v>
      </c>
      <c r="G584" s="405" t="s">
        <v>3747</v>
      </c>
    </row>
    <row r="585" spans="1:7" ht="62.25" customHeight="1">
      <c r="A585" s="403">
        <v>582</v>
      </c>
      <c r="B585" s="944" t="s">
        <v>313</v>
      </c>
      <c r="C585" s="944" t="s">
        <v>3748</v>
      </c>
      <c r="D585" s="1773" t="str">
        <f t="shared" si="9"/>
        <v>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v>
      </c>
      <c r="E585" s="404" t="s">
        <v>3750</v>
      </c>
      <c r="F585" s="914" t="s">
        <v>3751</v>
      </c>
      <c r="G585" s="405" t="s">
        <v>3752</v>
      </c>
    </row>
    <row r="586" spans="1:7" ht="51.75" customHeight="1">
      <c r="A586" s="403">
        <v>583</v>
      </c>
      <c r="B586" s="944" t="s">
        <v>313</v>
      </c>
      <c r="C586" s="944" t="s">
        <v>3763</v>
      </c>
      <c r="D586" s="1773" t="str">
        <f t="shared" si="9"/>
        <v>Éclairage : Il faut reporter la valeur moyenne (non pondérée) de l'outil de calcul selon SIA 387/4. Obligatoire pour les bâtiments du tertiaire &gt;250m2, autorisé pour les bâtiments du tertiaire &lt;250m2.</v>
      </c>
      <c r="E586" s="404" t="s">
        <v>3753</v>
      </c>
      <c r="F586" s="914" t="s">
        <v>3754</v>
      </c>
      <c r="G586" s="405" t="s">
        <v>3755</v>
      </c>
    </row>
    <row r="587" spans="1:7" ht="50.25" customHeight="1">
      <c r="A587" s="403">
        <v>584</v>
      </c>
      <c r="B587" s="944" t="s">
        <v>313</v>
      </c>
      <c r="C587" s="944" t="s">
        <v>3764</v>
      </c>
      <c r="D587" s="1773" t="str">
        <f t="shared" si="9"/>
        <v xml:space="preserve">Éclairage : Il faut reporter la valeur de projet (non pondérée) de l'outil de calcul selon SIA 387/4. Obligatoire pour les bâtiments du tertiaire &gt;250m2, autorisé pour les bâtiments du tertiaire &lt;250m2. </v>
      </c>
      <c r="E587" s="404" t="s">
        <v>3757</v>
      </c>
      <c r="F587" s="914" t="s">
        <v>3758</v>
      </c>
      <c r="G587" s="405" t="s">
        <v>3759</v>
      </c>
    </row>
    <row r="588" spans="1:7" ht="25.9" customHeight="1">
      <c r="A588" s="403">
        <v>585</v>
      </c>
      <c r="B588" s="944" t="s">
        <v>313</v>
      </c>
      <c r="C588" s="944" t="s">
        <v>3756</v>
      </c>
      <c r="D588" s="1773" t="str">
        <f t="shared" si="9"/>
        <v>Exigence éclairage respectée ? Champ rempli automatiquement.</v>
      </c>
      <c r="E588" s="404" t="s">
        <v>3760</v>
      </c>
      <c r="F588" s="914" t="s">
        <v>3761</v>
      </c>
      <c r="G588" s="405" t="s">
        <v>3762</v>
      </c>
    </row>
    <row r="589" spans="1:7" ht="62.25" customHeight="1">
      <c r="A589" s="403">
        <v>586</v>
      </c>
      <c r="B589" s="944" t="s">
        <v>313</v>
      </c>
      <c r="C589" s="944" t="s">
        <v>3765</v>
      </c>
      <c r="D589" s="1773" t="str">
        <f t="shared" si="9"/>
        <v>Rendement annuel spécifique : À reporter de PVopti : (cellule M38, Onglet « Résultats »), resp. de PVGis. Si aucune donnée n'est saisie, le calcul est effectué sur la base de la valeur par défaut (800 kWh/kWp).</v>
      </c>
      <c r="E589" s="404" t="s">
        <v>3767</v>
      </c>
      <c r="F589" s="914" t="s">
        <v>3768</v>
      </c>
      <c r="G589" s="405" t="s">
        <v>3769</v>
      </c>
    </row>
    <row r="590" spans="1:7" ht="66" customHeight="1">
      <c r="A590" s="403">
        <v>587</v>
      </c>
      <c r="B590" s="944" t="s">
        <v>313</v>
      </c>
      <c r="C590" s="944" t="s">
        <v>3766</v>
      </c>
      <c r="D590" s="1773" t="str">
        <f t="shared" si="9"/>
        <v>Auto-consommation : À reporter depuis l'outil PVopti (Onglet « Résultats », cellule M36). Si aucune donnée n'est saisie, le calcul est effectué sur la base de la valeur par défaut (20%). Une formule qui calcule le taux de consommation propre a été définie pour les villas.</v>
      </c>
      <c r="E590" s="404" t="s">
        <v>3770</v>
      </c>
      <c r="F590" s="914" t="s">
        <v>3771</v>
      </c>
      <c r="G590" s="405" t="s">
        <v>3772</v>
      </c>
    </row>
    <row r="591" spans="1:7" ht="48.75" customHeight="1">
      <c r="A591" s="403">
        <v>588</v>
      </c>
      <c r="B591" s="944" t="s">
        <v>313</v>
      </c>
      <c r="C591" s="944" t="s">
        <v>3773</v>
      </c>
      <c r="D591" s="1773" t="str">
        <f t="shared" si="9"/>
        <v>Puissance installée spécifique, par m2 SRE : Aucune donnée nécessaire ; calculée automatiquement.</v>
      </c>
      <c r="E591" s="404" t="s">
        <v>3774</v>
      </c>
      <c r="F591" s="914" t="s">
        <v>3775</v>
      </c>
      <c r="G591" s="405" t="s">
        <v>3776</v>
      </c>
    </row>
    <row r="592" spans="1:7" ht="47.25" customHeight="1">
      <c r="A592" s="403">
        <v>589</v>
      </c>
      <c r="B592" s="944" t="s">
        <v>313</v>
      </c>
      <c r="C592" s="944" t="s">
        <v>3777</v>
      </c>
      <c r="D592" s="1773" t="str">
        <f t="shared" si="9"/>
        <v xml:space="preserve">Taille minimale de l'installation de production d’électricité : Est automatiquement calculée sur la base de la SRE. </v>
      </c>
      <c r="E592" s="404" t="s">
        <v>3778</v>
      </c>
      <c r="F592" s="914" t="s">
        <v>3779</v>
      </c>
      <c r="G592" s="405" t="s">
        <v>3780</v>
      </c>
    </row>
    <row r="593" spans="1:7" ht="39" customHeight="1">
      <c r="A593" s="403">
        <v>590</v>
      </c>
      <c r="B593" s="944" t="s">
        <v>313</v>
      </c>
      <c r="C593" s="944" t="s">
        <v>3781</v>
      </c>
      <c r="D593" s="1773" t="str">
        <f t="shared" si="9"/>
        <v>La production d'électricité couvre la demande : Indique si l’autoproduction d'électricité couvre la demande pour les projets certifiés Minergie-A.</v>
      </c>
      <c r="E593" s="404" t="s">
        <v>3782</v>
      </c>
      <c r="F593" s="914" t="s">
        <v>3783</v>
      </c>
      <c r="G593" s="405" t="s">
        <v>3784</v>
      </c>
    </row>
    <row r="594" spans="1:7" ht="51.75" customHeight="1">
      <c r="A594" s="403">
        <v>591</v>
      </c>
      <c r="B594" s="944" t="s">
        <v>313</v>
      </c>
      <c r="C594" s="944" t="s">
        <v>3785</v>
      </c>
      <c r="D594" s="1773" t="str">
        <f t="shared" si="9"/>
        <v>Étanchéité à l’air : Indique si un justificatif sur le concept d'étanchéité existe. Minergie-P ou -A : Indique si un concept de mesures de l'étanchéité à l'air existe, le cas échéant.</v>
      </c>
      <c r="E594" s="404" t="s">
        <v>3786</v>
      </c>
      <c r="F594" s="914" t="s">
        <v>3787</v>
      </c>
      <c r="G594" s="405" t="s">
        <v>3788</v>
      </c>
    </row>
    <row r="595" spans="1:7" ht="51.75" customHeight="1">
      <c r="A595" s="403">
        <v>592</v>
      </c>
      <c r="B595" s="944" t="s">
        <v>313</v>
      </c>
      <c r="C595" s="944" t="s">
        <v>1931</v>
      </c>
      <c r="D595" s="1773" t="str">
        <f t="shared" si="9"/>
        <v>Eau chaude : Valable pour les catégories « Restauration », « Installations sportives » et « Piscines couvertes ». Au moins 20% des besoins en eau chaude sont couverts par des énergies renouvelables.</v>
      </c>
      <c r="E595" s="404" t="s">
        <v>3791</v>
      </c>
      <c r="F595" s="914" t="s">
        <v>3792</v>
      </c>
      <c r="G595" s="405" t="s">
        <v>3793</v>
      </c>
    </row>
    <row r="596" spans="1:7" ht="39.75" customHeight="1">
      <c r="A596" s="403">
        <v>593</v>
      </c>
      <c r="B596" s="944" t="s">
        <v>313</v>
      </c>
      <c r="C596" s="944" t="s">
        <v>3789</v>
      </c>
      <c r="D596" s="1773" t="str">
        <f t="shared" si="9"/>
        <v>Recours aux énergies renouvelables : Donnée indiquant si le recours aux énergies fossiles ne dépasse pas le 30% autorisé.</v>
      </c>
      <c r="E596" s="404" t="s">
        <v>3794</v>
      </c>
      <c r="F596" s="914" t="s">
        <v>3795</v>
      </c>
      <c r="G596" s="405" t="s">
        <v>3796</v>
      </c>
    </row>
    <row r="597" spans="1:7" ht="37.5" customHeight="1">
      <c r="A597" s="403">
        <v>594</v>
      </c>
      <c r="B597" s="944" t="s">
        <v>313</v>
      </c>
      <c r="C597" s="944" t="s">
        <v>3790</v>
      </c>
      <c r="D597" s="1773" t="str">
        <f t="shared" si="9"/>
        <v>Rejets de chaleur : Donnée indiquant s'il y a ou non des rejets de chaleur. Tout rejet de chaleur doit être utilisé.</v>
      </c>
      <c r="E597" s="404" t="s">
        <v>3797</v>
      </c>
      <c r="F597" s="914" t="s">
        <v>3798</v>
      </c>
      <c r="G597" s="405" t="s">
        <v>3799</v>
      </c>
    </row>
    <row r="598" spans="1:7" ht="50.25" customHeight="1">
      <c r="A598" s="403">
        <v>595</v>
      </c>
      <c r="B598" s="944" t="s">
        <v>313</v>
      </c>
      <c r="C598" s="944" t="s">
        <v>3800</v>
      </c>
      <c r="D598" s="1773" t="str">
        <f t="shared" si="9"/>
        <v>Exploitation des rejets de chaleur : Indication pertinente uniquement s'il y a des rejets de chaleur. Si les rejets de chaleur sont exploités, joindre un justificatif indiquant la manière dont ils le sont.</v>
      </c>
      <c r="E598" s="404" t="s">
        <v>3802</v>
      </c>
      <c r="F598" s="914" t="s">
        <v>3803</v>
      </c>
      <c r="G598" s="405" t="s">
        <v>3804</v>
      </c>
    </row>
    <row r="599" spans="1:7" ht="42.75" customHeight="1">
      <c r="A599" s="403">
        <v>596</v>
      </c>
      <c r="B599" s="944" t="s">
        <v>313</v>
      </c>
      <c r="C599" s="944" t="s">
        <v>3801</v>
      </c>
      <c r="D599" s="1773" t="str">
        <f t="shared" si="9"/>
        <v>Concept de monitoring : Indication si un concept de monitoring existe (seulement pour les bâtiments &gt; 2'000 m2 et pour tous les bâtiments Minergie-A).</v>
      </c>
      <c r="E599" s="404" t="s">
        <v>3805</v>
      </c>
      <c r="F599" s="914" t="s">
        <v>3806</v>
      </c>
      <c r="G599" s="405" t="s">
        <v>3807</v>
      </c>
    </row>
    <row r="600" spans="1:7" ht="25.9" customHeight="1">
      <c r="A600" s="403">
        <v>597</v>
      </c>
      <c r="B600" s="944" t="s">
        <v>313</v>
      </c>
      <c r="C600" s="944" t="s">
        <v>3808</v>
      </c>
      <c r="D600" s="1773" t="str">
        <f t="shared" si="9"/>
        <v>Conduites vides pour la mobilité électrique : indique si des conduites vides sont prévues.</v>
      </c>
      <c r="E600" s="404" t="s">
        <v>3809</v>
      </c>
      <c r="F600" s="914" t="s">
        <v>3810</v>
      </c>
      <c r="G600" s="405" t="s">
        <v>3811</v>
      </c>
    </row>
    <row r="601" spans="1:7" ht="53.25" customHeight="1">
      <c r="A601" s="403">
        <v>598</v>
      </c>
      <c r="B601" s="944" t="s">
        <v>1757</v>
      </c>
      <c r="C601" s="944" t="s">
        <v>888</v>
      </c>
      <c r="D601" s="1773" t="str">
        <f t="shared" si="9"/>
        <v>Protection solaire : Choix du type de protection solaire. Si l'option « autres » est sélectionnée, il faut indiquer le type de protection, la valeur g ainsi que la désignation du produit.</v>
      </c>
      <c r="E601" s="404" t="s">
        <v>3812</v>
      </c>
      <c r="F601" s="914" t="s">
        <v>3813</v>
      </c>
      <c r="G601" s="405" t="s">
        <v>3814</v>
      </c>
    </row>
    <row r="602" spans="1:7" ht="54" customHeight="1">
      <c r="A602" s="403">
        <v>599</v>
      </c>
      <c r="B602" s="944" t="s">
        <v>1757</v>
      </c>
      <c r="C602" s="944" t="s">
        <v>3815</v>
      </c>
      <c r="D602" s="1773" t="str">
        <f t="shared" si="9"/>
        <v>Critères : Indiquent si les locaux de la zone satisfont aux critères.
L’indice de vitrage maximal dépend de la station climatique.</v>
      </c>
      <c r="E602" s="404" t="s">
        <v>3816</v>
      </c>
      <c r="F602" s="914" t="s">
        <v>3817</v>
      </c>
      <c r="G602" s="405" t="s">
        <v>3818</v>
      </c>
    </row>
    <row r="603" spans="1:7" ht="51" customHeight="1">
      <c r="A603" s="403">
        <v>600</v>
      </c>
      <c r="B603" s="944" t="s">
        <v>1757</v>
      </c>
      <c r="C603" s="944" t="s">
        <v>902</v>
      </c>
      <c r="D603" s="1773" t="str">
        <f t="shared" si="9"/>
        <v>Variante 2 Exigences constructives : Indication du respect ou non des exigences des critères relatives à la protection thermique estivale selon le justificatif, variante 2 (document séparé).</v>
      </c>
      <c r="E603" s="404" t="s">
        <v>3819</v>
      </c>
      <c r="F603" s="914" t="s">
        <v>3820</v>
      </c>
      <c r="G603" s="405" t="s">
        <v>3821</v>
      </c>
    </row>
    <row r="604" spans="1:7" ht="43.5" customHeight="1">
      <c r="A604" s="403">
        <v>601</v>
      </c>
      <c r="B604" s="944" t="s">
        <v>1757</v>
      </c>
      <c r="C604" s="944" t="s">
        <v>3508</v>
      </c>
      <c r="D604" s="1773" t="str">
        <f t="shared" si="9"/>
        <v>Variante 2 Critères de confort : Indication du respect ou non des exigences des critères de confort selon le justificatif, variante 2 (document séparé).</v>
      </c>
      <c r="E604" s="404" t="s">
        <v>3824</v>
      </c>
      <c r="F604" s="914" t="s">
        <v>3822</v>
      </c>
      <c r="G604" s="405" t="s">
        <v>3823</v>
      </c>
    </row>
    <row r="605" spans="1:7" ht="39.75" customHeight="1">
      <c r="A605" s="403">
        <v>602</v>
      </c>
      <c r="B605" s="944" t="s">
        <v>1757</v>
      </c>
      <c r="C605" s="944" t="s">
        <v>3748</v>
      </c>
      <c r="D605" s="1773" t="str">
        <f>INDEX($E$4:$G$704,$A705,$A$1)</f>
        <v>Variante 3 SIA 180: Indique si les valeurs limites de température selon SIA 180 ne sont pas dépassées sans refroidissement.</v>
      </c>
      <c r="E605" s="404" t="s">
        <v>3825</v>
      </c>
      <c r="F605" s="914" t="s">
        <v>3826</v>
      </c>
      <c r="G605" s="405" t="s">
        <v>3827</v>
      </c>
    </row>
    <row r="606" spans="1:7" ht="42" customHeight="1">
      <c r="A606" s="403">
        <v>603</v>
      </c>
      <c r="B606" s="944" t="s">
        <v>1757</v>
      </c>
      <c r="C606" s="944" t="s">
        <v>3749</v>
      </c>
      <c r="D606" s="1773" t="str">
        <f>INDEX($E$4:$G$704,$A706,$A$1)</f>
        <v>Variante 3 Refroidissement : Indique si le refroidissement prévu est suffisant et si les besoins en énergie ont été calculés.</v>
      </c>
      <c r="E606" s="404" t="s">
        <v>3828</v>
      </c>
      <c r="F606" s="914" t="s">
        <v>3829</v>
      </c>
      <c r="G606" s="405" t="s">
        <v>3830</v>
      </c>
    </row>
  </sheetData>
  <sheetProtection algorithmName="SHA-512" hashValue="40Fiy2gj1tNfhIv0G4c+twwBiR7EVkauzBcGyln3grFnEC38vNXR7UjLMvEj8Dhh7ofFdiGFYSmOKOeCVhu2Gw==" saltValue="Dg/z99bY12Y2y4UyPszesw=="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63" customWidth="1"/>
    <col min="2" max="2" width="6.85546875" style="963" customWidth="1"/>
    <col min="3" max="3" width="11.42578125" style="1361"/>
  </cols>
  <sheetData>
    <row r="1" spans="1:3">
      <c r="A1" s="963">
        <f>Uebersetzung!C2</f>
        <v>2021</v>
      </c>
      <c r="B1" s="962">
        <v>1</v>
      </c>
      <c r="C1" s="1361" t="s">
        <v>2119</v>
      </c>
    </row>
    <row r="2" spans="1:3">
      <c r="A2" s="963">
        <f>Uebersetzung!A2</f>
        <v>1</v>
      </c>
      <c r="B2" s="962">
        <v>2</v>
      </c>
      <c r="C2" s="1361" t="s">
        <v>2120</v>
      </c>
    </row>
    <row r="3" spans="1:3">
      <c r="A3" s="962" t="str">
        <f>TEXT(A1,0)&amp;"."&amp;TEXT(A2,0)</f>
        <v>2021.1</v>
      </c>
      <c r="B3" s="962">
        <v>3</v>
      </c>
      <c r="C3" s="1361" t="s">
        <v>2121</v>
      </c>
    </row>
    <row r="4" spans="1:3">
      <c r="A4" s="963" t="str">
        <f>Uebersetzung!E4</f>
        <v>v2.5</v>
      </c>
      <c r="B4" s="962">
        <v>4</v>
      </c>
      <c r="C4" s="1361" t="s">
        <v>2118</v>
      </c>
    </row>
    <row r="5" spans="1:3">
      <c r="A5" s="963" t="str">
        <f>IF(A6&gt;1,IF(OR(A6=2,A6=5),"MINERGIE",IF(OR(A6=3,A6=6),"MINERGIE-P",IF(OR(A6=4,A6=7),"MINERGIE-A"))),Entrées!E14)</f>
        <v>MINERGIE</v>
      </c>
      <c r="B5" s="962">
        <v>5</v>
      </c>
      <c r="C5" s="1361" t="s">
        <v>827</v>
      </c>
    </row>
    <row r="6" spans="1:3">
      <c r="A6" s="963">
        <f>Standardwerte!AK63</f>
        <v>2</v>
      </c>
      <c r="B6" s="962">
        <v>6</v>
      </c>
      <c r="C6" s="1361" t="s">
        <v>1956</v>
      </c>
    </row>
    <row r="7" spans="1:3">
      <c r="A7" s="963" t="str">
        <f>Uebersetzung!C1</f>
        <v>französisch</v>
      </c>
      <c r="B7" s="962">
        <v>7</v>
      </c>
      <c r="C7" s="1361" t="s">
        <v>1084</v>
      </c>
    </row>
    <row r="8" spans="1:3">
      <c r="A8" s="963">
        <f>Uebersetzung!A1</f>
        <v>2</v>
      </c>
      <c r="B8" s="962">
        <v>8</v>
      </c>
      <c r="C8" s="1361" t="s">
        <v>2085</v>
      </c>
    </row>
    <row r="9" spans="1:3">
      <c r="A9" s="963">
        <f>Projekt1</f>
        <v>0</v>
      </c>
      <c r="B9" s="962">
        <v>9</v>
      </c>
      <c r="C9" s="1361" t="s">
        <v>1957</v>
      </c>
    </row>
    <row r="10" spans="1:3">
      <c r="A10" s="963">
        <f>Projekt2</f>
        <v>0</v>
      </c>
      <c r="B10" s="962">
        <v>10</v>
      </c>
      <c r="C10" s="1361" t="s">
        <v>1082</v>
      </c>
    </row>
    <row r="11" spans="1:3">
      <c r="A11" s="963">
        <f>Projekt3</f>
        <v>0</v>
      </c>
      <c r="B11" s="962">
        <v>11</v>
      </c>
      <c r="C11" s="1361" t="s">
        <v>1958</v>
      </c>
    </row>
    <row r="12" spans="1:3">
      <c r="A12" s="963">
        <f>Entrées!J8</f>
        <v>0</v>
      </c>
      <c r="B12" s="962">
        <v>12</v>
      </c>
      <c r="C12" s="1361" t="s">
        <v>1959</v>
      </c>
    </row>
    <row r="13" spans="1:3">
      <c r="A13" s="963">
        <f>Projekt4</f>
        <v>0</v>
      </c>
      <c r="B13" s="962">
        <v>13</v>
      </c>
      <c r="C13" s="1361" t="s">
        <v>1960</v>
      </c>
    </row>
    <row r="14" spans="1:3">
      <c r="A14" s="963">
        <f>Hoehe</f>
        <v>0</v>
      </c>
      <c r="B14" s="962">
        <v>14</v>
      </c>
      <c r="C14" s="1361" t="s">
        <v>1083</v>
      </c>
    </row>
    <row r="15" spans="1:3">
      <c r="A15" s="963">
        <f>Entrées!I13</f>
        <v>0</v>
      </c>
      <c r="B15" s="962">
        <v>15</v>
      </c>
      <c r="C15" s="1361" t="s">
        <v>21</v>
      </c>
    </row>
    <row r="16" spans="1:3">
      <c r="A16" s="963">
        <f>Kanton</f>
        <v>1</v>
      </c>
      <c r="B16" s="962">
        <v>16</v>
      </c>
      <c r="C16" s="1361" t="s">
        <v>1993</v>
      </c>
    </row>
    <row r="17" spans="1:3">
      <c r="A17" s="963" t="str">
        <f>Entrées!I14</f>
        <v xml:space="preserve"> </v>
      </c>
      <c r="B17" s="962">
        <v>17</v>
      </c>
      <c r="C17" s="1361" t="s">
        <v>15</v>
      </c>
    </row>
    <row r="18" spans="1:3">
      <c r="A18" s="963">
        <f>Standardwerte!B51</f>
        <v>1</v>
      </c>
      <c r="B18" s="962">
        <v>18</v>
      </c>
      <c r="C18" s="1361" t="s">
        <v>1961</v>
      </c>
    </row>
    <row r="19" spans="1:3">
      <c r="A19" s="963">
        <f>Entrées!F16</f>
        <v>0</v>
      </c>
      <c r="B19" s="962">
        <v>19</v>
      </c>
      <c r="C19" s="1361" t="s">
        <v>1085</v>
      </c>
    </row>
    <row r="20" spans="1:3">
      <c r="A20" s="963">
        <f>Kategorie1-1</f>
        <v>0</v>
      </c>
      <c r="B20" s="962">
        <v>20</v>
      </c>
      <c r="C20" s="1361" t="s">
        <v>2124</v>
      </c>
    </row>
    <row r="21" spans="1:3">
      <c r="A21" s="963">
        <f>Entrées!G16</f>
        <v>0</v>
      </c>
      <c r="B21" s="962">
        <v>21</v>
      </c>
      <c r="C21" s="1361" t="s">
        <v>1088</v>
      </c>
    </row>
    <row r="22" spans="1:3">
      <c r="A22" s="963">
        <f>Kategorie2-1</f>
        <v>0</v>
      </c>
      <c r="B22" s="962">
        <v>22</v>
      </c>
      <c r="C22" s="1361" t="s">
        <v>2126</v>
      </c>
    </row>
    <row r="23" spans="1:3">
      <c r="A23" s="963">
        <f>Entrées!H16</f>
        <v>0</v>
      </c>
      <c r="B23" s="962">
        <v>23</v>
      </c>
      <c r="C23" s="1361" t="s">
        <v>1087</v>
      </c>
    </row>
    <row r="24" spans="1:3">
      <c r="A24" s="963">
        <f>Kategorie3-1</f>
        <v>0</v>
      </c>
      <c r="B24" s="962">
        <v>24</v>
      </c>
      <c r="C24" s="1361" t="s">
        <v>2127</v>
      </c>
    </row>
    <row r="25" spans="1:3">
      <c r="A25" s="963">
        <f>Entrées!I16</f>
        <v>0</v>
      </c>
      <c r="B25" s="962">
        <v>25</v>
      </c>
      <c r="C25" s="1361" t="s">
        <v>1086</v>
      </c>
    </row>
    <row r="26" spans="1:3">
      <c r="A26" s="963">
        <f>Kategorie4-1</f>
        <v>0</v>
      </c>
      <c r="B26" s="962">
        <v>26</v>
      </c>
      <c r="C26" s="1361" t="s">
        <v>2125</v>
      </c>
    </row>
    <row r="27" spans="1:3">
      <c r="A27" s="963">
        <f>Entrées!F17</f>
        <v>0</v>
      </c>
      <c r="B27" s="962">
        <v>27</v>
      </c>
      <c r="C27" s="1361" t="s">
        <v>1089</v>
      </c>
    </row>
    <row r="28" spans="1:3">
      <c r="A28" s="963">
        <f>IF(A27=Uebersetzung!$D$25,1,IF(A27=Uebersetzung!$D$26,2,0))</f>
        <v>0</v>
      </c>
      <c r="B28" s="962">
        <v>28</v>
      </c>
      <c r="C28" s="1361" t="s">
        <v>2128</v>
      </c>
    </row>
    <row r="29" spans="1:3">
      <c r="A29" s="963">
        <f>Entrées!G17</f>
        <v>0</v>
      </c>
      <c r="B29" s="962">
        <v>29</v>
      </c>
      <c r="C29" s="1361" t="s">
        <v>1090</v>
      </c>
    </row>
    <row r="30" spans="1:3">
      <c r="A30" s="963">
        <f>IF(A29=Uebersetzung!$D$25,1,IF(A29=Uebersetzung!$D$26,2,0))</f>
        <v>0</v>
      </c>
      <c r="B30" s="962">
        <v>30</v>
      </c>
      <c r="C30" s="1361" t="s">
        <v>2131</v>
      </c>
    </row>
    <row r="31" spans="1:3">
      <c r="A31" s="963">
        <f>Entrées!H17</f>
        <v>0</v>
      </c>
      <c r="B31" s="962">
        <v>31</v>
      </c>
      <c r="C31" s="1361" t="s">
        <v>1091</v>
      </c>
    </row>
    <row r="32" spans="1:3">
      <c r="A32" s="963">
        <f>IF(A31=Uebersetzung!$D$25,1,IF(A31=Uebersetzung!$D$26,2,0))</f>
        <v>0</v>
      </c>
      <c r="B32" s="962">
        <v>32</v>
      </c>
      <c r="C32" s="1361" t="s">
        <v>2130</v>
      </c>
    </row>
    <row r="33" spans="1:3">
      <c r="A33" s="963">
        <f>Entrées!I17</f>
        <v>0</v>
      </c>
      <c r="B33" s="962">
        <v>33</v>
      </c>
      <c r="C33" s="1361" t="s">
        <v>1092</v>
      </c>
    </row>
    <row r="34" spans="1:3">
      <c r="A34" s="963">
        <f>IF(A33=Uebersetzung!$D$25,1,IF(A33=Uebersetzung!$D$26,2,0))</f>
        <v>0</v>
      </c>
      <c r="B34" s="962">
        <v>34</v>
      </c>
      <c r="C34" s="1361" t="s">
        <v>2129</v>
      </c>
    </row>
    <row r="35" spans="1:3">
      <c r="A35" s="963">
        <f>Entrées!F19</f>
        <v>0</v>
      </c>
      <c r="B35" s="962">
        <v>35</v>
      </c>
      <c r="C35" s="1361" t="s">
        <v>1093</v>
      </c>
    </row>
    <row r="36" spans="1:3">
      <c r="A36" s="963">
        <f>Entrées!G19</f>
        <v>0</v>
      </c>
      <c r="B36" s="962">
        <v>36</v>
      </c>
      <c r="C36" s="1361" t="s">
        <v>1094</v>
      </c>
    </row>
    <row r="37" spans="1:3">
      <c r="A37" s="963">
        <f>Entrées!H19</f>
        <v>0</v>
      </c>
      <c r="B37" s="962">
        <v>37</v>
      </c>
      <c r="C37" s="1361" t="s">
        <v>1095</v>
      </c>
    </row>
    <row r="38" spans="1:3">
      <c r="A38" s="963">
        <f>Entrées!I19</f>
        <v>0</v>
      </c>
      <c r="B38" s="962">
        <v>38</v>
      </c>
      <c r="C38" s="1361" t="s">
        <v>1096</v>
      </c>
    </row>
    <row r="39" spans="1:3">
      <c r="A39" s="963">
        <f>Entrées!F21</f>
        <v>0</v>
      </c>
      <c r="B39" s="962">
        <v>39</v>
      </c>
      <c r="C39" s="1361" t="s">
        <v>1097</v>
      </c>
    </row>
    <row r="40" spans="1:3">
      <c r="A40" s="963">
        <f>Neubau1-1</f>
        <v>0</v>
      </c>
      <c r="B40" s="962">
        <v>40</v>
      </c>
      <c r="C40" s="1361" t="s">
        <v>2132</v>
      </c>
    </row>
    <row r="41" spans="1:3">
      <c r="A41" s="963">
        <f>Entrées!G21</f>
        <v>0</v>
      </c>
      <c r="B41" s="962">
        <v>41</v>
      </c>
      <c r="C41" s="1361" t="s">
        <v>1100</v>
      </c>
    </row>
    <row r="42" spans="1:3">
      <c r="A42" s="963">
        <f>Neubau2-1</f>
        <v>0</v>
      </c>
      <c r="B42" s="962">
        <v>42</v>
      </c>
      <c r="C42" s="1361" t="s">
        <v>2134</v>
      </c>
    </row>
    <row r="43" spans="1:3">
      <c r="A43" s="963">
        <f>Entrées!H21</f>
        <v>0</v>
      </c>
      <c r="B43" s="962">
        <v>43</v>
      </c>
      <c r="C43" s="1361" t="s">
        <v>1099</v>
      </c>
    </row>
    <row r="44" spans="1:3">
      <c r="A44" s="963">
        <f>Neubau3-1</f>
        <v>0</v>
      </c>
      <c r="B44" s="962">
        <v>44</v>
      </c>
      <c r="C44" s="1361" t="s">
        <v>2135</v>
      </c>
    </row>
    <row r="45" spans="1:3">
      <c r="A45" s="963">
        <f>Entrées!I21</f>
        <v>0</v>
      </c>
      <c r="B45" s="962">
        <v>45</v>
      </c>
      <c r="C45" s="1361" t="s">
        <v>1098</v>
      </c>
    </row>
    <row r="46" spans="1:3">
      <c r="A46" s="963">
        <f>Neubau4-1</f>
        <v>0</v>
      </c>
      <c r="B46" s="962">
        <v>46</v>
      </c>
      <c r="C46" s="1361" t="s">
        <v>2133</v>
      </c>
    </row>
    <row r="47" spans="1:3">
      <c r="A47" s="963">
        <f>Entrées!F30</f>
        <v>0</v>
      </c>
      <c r="B47" s="962">
        <v>47</v>
      </c>
      <c r="C47" s="1361" t="s">
        <v>3976</v>
      </c>
    </row>
    <row r="48" spans="1:3">
      <c r="A48" s="963">
        <f>IF(A47=Uebersetzung!$D$25,1,IF(A47=Uebersetzung!$D$26,2,0))</f>
        <v>0</v>
      </c>
      <c r="B48" s="962">
        <v>48</v>
      </c>
      <c r="C48" s="1361" t="s">
        <v>3980</v>
      </c>
    </row>
    <row r="49" spans="1:3">
      <c r="A49" s="963">
        <f>Entrées!G30</f>
        <v>0</v>
      </c>
      <c r="B49" s="962">
        <v>49</v>
      </c>
      <c r="C49" s="1361" t="s">
        <v>3979</v>
      </c>
    </row>
    <row r="50" spans="1:3">
      <c r="A50" s="963">
        <f>IF(A49=Uebersetzung!$D$25,1,IF(A49=Uebersetzung!$D$26,2,0))</f>
        <v>0</v>
      </c>
      <c r="B50" s="962">
        <v>50</v>
      </c>
      <c r="C50" s="1361" t="s">
        <v>3981</v>
      </c>
    </row>
    <row r="51" spans="1:3">
      <c r="A51" s="963">
        <f>Entrées!H30</f>
        <v>0</v>
      </c>
      <c r="B51" s="962">
        <v>51</v>
      </c>
      <c r="C51" s="1361" t="s">
        <v>3978</v>
      </c>
    </row>
    <row r="52" spans="1:3">
      <c r="A52" s="963">
        <f>IF(A51=Uebersetzung!$D$25,1,IF(A51=Uebersetzung!$D$26,2,0))</f>
        <v>0</v>
      </c>
      <c r="B52" s="962">
        <v>52</v>
      </c>
      <c r="C52" s="1361" t="s">
        <v>3982</v>
      </c>
    </row>
    <row r="53" spans="1:3">
      <c r="A53" s="963">
        <f>Entrées!I30</f>
        <v>0</v>
      </c>
      <c r="B53" s="962">
        <v>53</v>
      </c>
      <c r="C53" s="1361" t="s">
        <v>3977</v>
      </c>
    </row>
    <row r="54" spans="1:3">
      <c r="A54" s="963">
        <f>IF(A53=Uebersetzung!$D$25,1,IF(A53=Uebersetzung!$D$26,2,0))</f>
        <v>0</v>
      </c>
      <c r="B54" s="962">
        <v>54</v>
      </c>
      <c r="C54" s="1361" t="s">
        <v>3983</v>
      </c>
    </row>
    <row r="55" spans="1:3">
      <c r="A55" s="963">
        <f>Entrées!F31</f>
        <v>0</v>
      </c>
      <c r="B55" s="962">
        <v>55</v>
      </c>
      <c r="C55" s="1361" t="s">
        <v>3984</v>
      </c>
    </row>
    <row r="56" spans="1:3">
      <c r="A56" s="963">
        <f>IF(A55=0,1,VLOOKUP(A55,Standardwerte!$O$35:$T$45,6,FALSE))-1</f>
        <v>0</v>
      </c>
      <c r="B56" s="962">
        <v>56</v>
      </c>
      <c r="C56" s="1361" t="s">
        <v>3988</v>
      </c>
    </row>
    <row r="57" spans="1:3">
      <c r="A57" s="963">
        <f>Entrées!G31</f>
        <v>0</v>
      </c>
      <c r="B57" s="962">
        <v>57</v>
      </c>
      <c r="C57" s="1361" t="s">
        <v>3985</v>
      </c>
    </row>
    <row r="58" spans="1:3">
      <c r="A58" s="963">
        <f>IF(A57=0,1,VLOOKUP(A57,Standardwerte!$O$35:$T$45,6,FALSE))-1</f>
        <v>0</v>
      </c>
      <c r="B58" s="962">
        <v>58</v>
      </c>
      <c r="C58" s="1361" t="s">
        <v>3989</v>
      </c>
    </row>
    <row r="59" spans="1:3">
      <c r="A59" s="963">
        <f>Entrées!H31</f>
        <v>0</v>
      </c>
      <c r="B59" s="962">
        <v>59</v>
      </c>
      <c r="C59" s="1361" t="s">
        <v>3986</v>
      </c>
    </row>
    <row r="60" spans="1:3">
      <c r="A60" s="963">
        <f>IF(A59=0,1,VLOOKUP(A59,Standardwerte!$O$35:$T$45,6,FALSE))-1</f>
        <v>0</v>
      </c>
      <c r="B60" s="962">
        <v>60</v>
      </c>
      <c r="C60" s="1361" t="s">
        <v>3990</v>
      </c>
    </row>
    <row r="61" spans="1:3">
      <c r="A61" s="963">
        <f>Entrées!I31</f>
        <v>0</v>
      </c>
      <c r="B61" s="962">
        <v>61</v>
      </c>
      <c r="C61" s="1361" t="s">
        <v>3987</v>
      </c>
    </row>
    <row r="62" spans="1:3">
      <c r="A62" s="963">
        <f>IF(A61=0,1,VLOOKUP(A61,Standardwerte!$O$35:$T$45,6,FALSE))-1</f>
        <v>0</v>
      </c>
      <c r="B62" s="962">
        <v>62</v>
      </c>
      <c r="C62" s="1361" t="s">
        <v>3991</v>
      </c>
    </row>
    <row r="63" spans="1:3">
      <c r="A63" s="963">
        <f>Raum1</f>
        <v>0</v>
      </c>
      <c r="B63" s="962">
        <v>63</v>
      </c>
      <c r="C63" s="1361" t="s">
        <v>1101</v>
      </c>
    </row>
    <row r="64" spans="1:3">
      <c r="A64" s="963">
        <f>Raum2</f>
        <v>0</v>
      </c>
      <c r="B64" s="962">
        <v>64</v>
      </c>
      <c r="C64" s="1361" t="s">
        <v>1104</v>
      </c>
    </row>
    <row r="65" spans="1:3">
      <c r="A65" s="963">
        <f>Raum3</f>
        <v>0</v>
      </c>
      <c r="B65" s="962">
        <v>65</v>
      </c>
      <c r="C65" s="1361" t="s">
        <v>1103</v>
      </c>
    </row>
    <row r="66" spans="1:3">
      <c r="A66" s="963">
        <f>Raum4</f>
        <v>0</v>
      </c>
      <c r="B66" s="962">
        <v>66</v>
      </c>
      <c r="C66" s="1361" t="s">
        <v>1102</v>
      </c>
    </row>
    <row r="67" spans="1:3">
      <c r="A67" s="963">
        <f>Entrées!F34</f>
        <v>0</v>
      </c>
      <c r="B67" s="962">
        <v>67</v>
      </c>
      <c r="C67" s="1361" t="s">
        <v>1970</v>
      </c>
    </row>
    <row r="68" spans="1:3">
      <c r="A68" s="963">
        <f>IF(A67=0,1,VLOOKUP(A67,Standardwerte!$L$54:$O$59,4,FALSE))-1</f>
        <v>0</v>
      </c>
      <c r="B68" s="962">
        <v>68</v>
      </c>
      <c r="C68" s="1361" t="s">
        <v>2136</v>
      </c>
    </row>
    <row r="69" spans="1:3">
      <c r="A69" s="963">
        <f>Entrées!G34</f>
        <v>0</v>
      </c>
      <c r="B69" s="962">
        <v>69</v>
      </c>
      <c r="C69" s="1361" t="s">
        <v>1971</v>
      </c>
    </row>
    <row r="70" spans="1:3">
      <c r="A70" s="963">
        <f>IF(A69=0,1,VLOOKUP(A69,Standardwerte!$L$54:$O$59,4,FALSE))-1</f>
        <v>0</v>
      </c>
      <c r="B70" s="962">
        <v>70</v>
      </c>
      <c r="C70" s="1361" t="s">
        <v>2137</v>
      </c>
    </row>
    <row r="71" spans="1:3">
      <c r="A71" s="963">
        <f>Entrées!H34</f>
        <v>0</v>
      </c>
      <c r="B71" s="962">
        <v>71</v>
      </c>
      <c r="C71" s="1361" t="s">
        <v>1972</v>
      </c>
    </row>
    <row r="72" spans="1:3">
      <c r="A72" s="963">
        <f>IF(A71=0,1,VLOOKUP(A71,Standardwerte!$L$54:$O$59,4,FALSE))-1</f>
        <v>0</v>
      </c>
      <c r="B72" s="962">
        <v>72</v>
      </c>
      <c r="C72" s="1361" t="s">
        <v>2138</v>
      </c>
    </row>
    <row r="73" spans="1:3">
      <c r="A73" s="963">
        <f>Entrées!I34</f>
        <v>0</v>
      </c>
      <c r="B73" s="962">
        <v>73</v>
      </c>
      <c r="C73" s="1361" t="s">
        <v>1973</v>
      </c>
    </row>
    <row r="74" spans="1:3">
      <c r="A74" s="963">
        <f>IF(A73=0,1,VLOOKUP(A73,Standardwerte!$L$54:$O$59,4,FALSE))-1</f>
        <v>0</v>
      </c>
      <c r="B74" s="962">
        <v>74</v>
      </c>
      <c r="C74" s="1361" t="s">
        <v>2139</v>
      </c>
    </row>
    <row r="75" spans="1:3">
      <c r="A75" s="963">
        <f>Entrées!F35</f>
        <v>0</v>
      </c>
      <c r="B75" s="962">
        <v>75</v>
      </c>
      <c r="C75" s="1361" t="s">
        <v>1974</v>
      </c>
    </row>
    <row r="76" spans="1:3">
      <c r="A76" s="963">
        <f>IF(A75=0,1,VLOOKUP(A75,Standardwerte!$AB$46:$AD$48,3,FALSE))-1</f>
        <v>0</v>
      </c>
      <c r="B76" s="962">
        <v>76</v>
      </c>
      <c r="C76" s="1361" t="s">
        <v>2141</v>
      </c>
    </row>
    <row r="77" spans="1:3">
      <c r="A77" s="963">
        <f>Entrées!G35</f>
        <v>0</v>
      </c>
      <c r="B77" s="962">
        <v>77</v>
      </c>
      <c r="C77" s="1361" t="s">
        <v>1976</v>
      </c>
    </row>
    <row r="78" spans="1:3">
      <c r="A78" s="963">
        <f>IF(A77=0,1,VLOOKUP(A77,Standardwerte!$AB$46:$AD$48,3,FALSE))-1</f>
        <v>0</v>
      </c>
      <c r="B78" s="962">
        <v>78</v>
      </c>
      <c r="C78" s="1361" t="s">
        <v>2142</v>
      </c>
    </row>
    <row r="79" spans="1:3">
      <c r="A79" s="963">
        <f>Entrées!H35</f>
        <v>0</v>
      </c>
      <c r="B79" s="962">
        <v>79</v>
      </c>
      <c r="C79" s="1361" t="s">
        <v>1977</v>
      </c>
    </row>
    <row r="80" spans="1:3">
      <c r="A80" s="963">
        <f>IF(A79=0,1,VLOOKUP(A79,Standardwerte!$AB$46:$AD$48,3,FALSE))-1</f>
        <v>0</v>
      </c>
      <c r="B80" s="962">
        <v>80</v>
      </c>
      <c r="C80" s="1361" t="s">
        <v>2143</v>
      </c>
    </row>
    <row r="81" spans="1:3">
      <c r="A81" s="963">
        <f>Entrées!I35</f>
        <v>0</v>
      </c>
      <c r="B81" s="962">
        <v>81</v>
      </c>
      <c r="C81" s="1361" t="s">
        <v>1975</v>
      </c>
    </row>
    <row r="82" spans="1:3">
      <c r="A82" s="963">
        <f>IF(A81=0,1,VLOOKUP(A81,Standardwerte!$AB$46:$AD$48,3,FALSE))-1</f>
        <v>0</v>
      </c>
      <c r="B82" s="962">
        <v>82</v>
      </c>
      <c r="C82" s="1361" t="s">
        <v>2140</v>
      </c>
    </row>
    <row r="83" spans="1:3">
      <c r="A83" s="963">
        <f>Entrées!F39</f>
        <v>0</v>
      </c>
      <c r="B83" s="962">
        <v>83</v>
      </c>
      <c r="C83" s="1361" t="s">
        <v>1105</v>
      </c>
    </row>
    <row r="84" spans="1:3">
      <c r="A84" s="963">
        <f>Standardwerte!J118-1</f>
        <v>0</v>
      </c>
      <c r="B84" s="962">
        <v>84</v>
      </c>
      <c r="C84" s="1361" t="s">
        <v>2145</v>
      </c>
    </row>
    <row r="85" spans="1:3">
      <c r="A85" s="963">
        <f>Entrées!G39</f>
        <v>0</v>
      </c>
      <c r="B85" s="962">
        <v>85</v>
      </c>
      <c r="C85" s="1361" t="s">
        <v>1108</v>
      </c>
    </row>
    <row r="86" spans="1:3">
      <c r="A86" s="963">
        <f>Standardwerte!K118-1</f>
        <v>0</v>
      </c>
      <c r="B86" s="962">
        <v>86</v>
      </c>
      <c r="C86" s="1361" t="s">
        <v>2146</v>
      </c>
    </row>
    <row r="87" spans="1:3">
      <c r="A87" s="963">
        <f>Entrées!H39</f>
        <v>0</v>
      </c>
      <c r="B87" s="962">
        <v>87</v>
      </c>
      <c r="C87" s="1361" t="s">
        <v>1107</v>
      </c>
    </row>
    <row r="88" spans="1:3">
      <c r="A88" s="963">
        <f>Standardwerte!L118-1</f>
        <v>0</v>
      </c>
      <c r="B88" s="962">
        <v>88</v>
      </c>
      <c r="C88" s="1361" t="s">
        <v>2147</v>
      </c>
    </row>
    <row r="89" spans="1:3">
      <c r="A89" s="963">
        <f>Entrées!I39</f>
        <v>0</v>
      </c>
      <c r="B89" s="962">
        <v>89</v>
      </c>
      <c r="C89" s="1361" t="s">
        <v>1106</v>
      </c>
    </row>
    <row r="90" spans="1:3">
      <c r="A90" s="963">
        <f>Standardwerte!M118-1</f>
        <v>0</v>
      </c>
      <c r="B90" s="962">
        <v>90</v>
      </c>
      <c r="C90" s="1361" t="s">
        <v>2144</v>
      </c>
    </row>
    <row r="91" spans="1:3">
      <c r="A91" s="964">
        <f>Entrées!F40</f>
        <v>0</v>
      </c>
      <c r="B91" s="962">
        <v>91</v>
      </c>
      <c r="C91" s="1361" t="s">
        <v>1109</v>
      </c>
    </row>
    <row r="92" spans="1:3">
      <c r="A92" s="964">
        <f>Entrées!G40</f>
        <v>0</v>
      </c>
      <c r="B92" s="962">
        <v>92</v>
      </c>
      <c r="C92" s="1361" t="s">
        <v>1110</v>
      </c>
    </row>
    <row r="93" spans="1:3">
      <c r="A93" s="964">
        <f>Entrées!H40</f>
        <v>0</v>
      </c>
      <c r="B93" s="962">
        <v>93</v>
      </c>
      <c r="C93" s="1361" t="s">
        <v>1111</v>
      </c>
    </row>
    <row r="94" spans="1:3">
      <c r="A94" s="964">
        <f>Entrées!I40</f>
        <v>0</v>
      </c>
      <c r="B94" s="962">
        <v>94</v>
      </c>
      <c r="C94" s="1361" t="s">
        <v>1112</v>
      </c>
    </row>
    <row r="95" spans="1:3">
      <c r="A95" s="964">
        <f>Entrées!F41</f>
        <v>0</v>
      </c>
      <c r="B95" s="962">
        <v>95</v>
      </c>
      <c r="C95" s="1361" t="s">
        <v>1113</v>
      </c>
    </row>
    <row r="96" spans="1:3">
      <c r="A96" s="964">
        <f>Entrées!G41</f>
        <v>0</v>
      </c>
      <c r="B96" s="962">
        <v>96</v>
      </c>
      <c r="C96" s="1361" t="s">
        <v>1114</v>
      </c>
    </row>
    <row r="97" spans="1:3">
      <c r="A97" s="964">
        <f>Entrées!H41</f>
        <v>0</v>
      </c>
      <c r="B97" s="962">
        <v>97</v>
      </c>
      <c r="C97" s="1361" t="s">
        <v>1115</v>
      </c>
    </row>
    <row r="98" spans="1:3">
      <c r="A98" s="964">
        <f>Entrées!I41</f>
        <v>0</v>
      </c>
      <c r="B98" s="962">
        <v>98</v>
      </c>
      <c r="C98" s="1361" t="s">
        <v>1116</v>
      </c>
    </row>
    <row r="99" spans="1:3">
      <c r="A99" s="964">
        <f>Entrées!F42</f>
        <v>0</v>
      </c>
      <c r="B99" s="962">
        <v>99</v>
      </c>
      <c r="C99" s="1361" t="s">
        <v>1119</v>
      </c>
    </row>
    <row r="100" spans="1:3">
      <c r="A100" s="964">
        <f>Entrées!G42</f>
        <v>0</v>
      </c>
      <c r="B100" s="962">
        <v>100</v>
      </c>
      <c r="C100" s="1361" t="s">
        <v>1120</v>
      </c>
    </row>
    <row r="101" spans="1:3">
      <c r="A101" s="964">
        <f>Entrées!H42</f>
        <v>0</v>
      </c>
      <c r="B101" s="962">
        <v>101</v>
      </c>
      <c r="C101" s="1361" t="s">
        <v>1121</v>
      </c>
    </row>
    <row r="102" spans="1:3">
      <c r="A102" s="964">
        <f>Entrées!I42</f>
        <v>0</v>
      </c>
      <c r="B102" s="962">
        <v>102</v>
      </c>
      <c r="C102" s="1361" t="s">
        <v>1122</v>
      </c>
    </row>
    <row r="103" spans="1:3">
      <c r="A103" s="964">
        <f>Entrées!F43</f>
        <v>0</v>
      </c>
      <c r="B103" s="962">
        <v>103</v>
      </c>
      <c r="C103" s="1361" t="s">
        <v>3972</v>
      </c>
    </row>
    <row r="104" spans="1:3">
      <c r="A104" s="964">
        <f>Entrées!G43</f>
        <v>0</v>
      </c>
      <c r="B104" s="962">
        <v>104</v>
      </c>
      <c r="C104" s="1361" t="s">
        <v>3973</v>
      </c>
    </row>
    <row r="105" spans="1:3">
      <c r="A105" s="964">
        <f>Entrées!H43</f>
        <v>0</v>
      </c>
      <c r="B105" s="962">
        <v>105</v>
      </c>
      <c r="C105" s="1361" t="s">
        <v>3974</v>
      </c>
    </row>
    <row r="106" spans="1:3">
      <c r="A106" s="964">
        <f>Entrées!I43</f>
        <v>0</v>
      </c>
      <c r="B106" s="962">
        <v>106</v>
      </c>
      <c r="C106" s="1361" t="s">
        <v>3975</v>
      </c>
    </row>
    <row r="107" spans="1:3">
      <c r="A107" s="963" t="str">
        <f>Entrées!E46</f>
        <v>kWh/m2</v>
      </c>
      <c r="B107" s="962">
        <v>107</v>
      </c>
      <c r="C107" s="1361" t="s">
        <v>1123</v>
      </c>
    </row>
    <row r="108" spans="1:3">
      <c r="A108" s="963">
        <f>Einheiten</f>
        <v>2</v>
      </c>
      <c r="B108" s="962">
        <v>108</v>
      </c>
      <c r="C108" s="1361" t="s">
        <v>1978</v>
      </c>
    </row>
    <row r="109" spans="1:3">
      <c r="A109" s="963">
        <f>_qh1/3.6</f>
        <v>0</v>
      </c>
      <c r="B109" s="962">
        <v>109</v>
      </c>
      <c r="C109" s="1361" t="s">
        <v>1979</v>
      </c>
    </row>
    <row r="110" spans="1:3">
      <c r="A110" s="963">
        <f>_qh2/3.6</f>
        <v>0</v>
      </c>
      <c r="B110" s="962">
        <v>110</v>
      </c>
      <c r="C110" s="1361" t="s">
        <v>1980</v>
      </c>
    </row>
    <row r="111" spans="1:3">
      <c r="A111" s="963">
        <f>_qh3/3.6</f>
        <v>0</v>
      </c>
      <c r="B111" s="962">
        <v>111</v>
      </c>
      <c r="C111" s="1361" t="s">
        <v>1981</v>
      </c>
    </row>
    <row r="112" spans="1:3">
      <c r="A112" s="963">
        <f>_qh4/3.6</f>
        <v>0</v>
      </c>
      <c r="B112" s="962">
        <v>112</v>
      </c>
      <c r="C112" s="1361" t="s">
        <v>1982</v>
      </c>
    </row>
    <row r="113" spans="1:7">
      <c r="A113" s="963">
        <f>_qhs1/3.6</f>
        <v>0</v>
      </c>
      <c r="B113" s="962">
        <v>113</v>
      </c>
      <c r="C113" s="1361" t="s">
        <v>1966</v>
      </c>
    </row>
    <row r="114" spans="1:7">
      <c r="A114" s="963">
        <f>_qhs2/3.6</f>
        <v>0</v>
      </c>
      <c r="B114" s="962">
        <v>114</v>
      </c>
      <c r="C114" s="1361" t="s">
        <v>1967</v>
      </c>
    </row>
    <row r="115" spans="1:7">
      <c r="A115" s="963">
        <f>_qhs3/3.6</f>
        <v>0</v>
      </c>
      <c r="B115" s="962">
        <v>115</v>
      </c>
      <c r="C115" s="1361" t="s">
        <v>1968</v>
      </c>
    </row>
    <row r="116" spans="1:7">
      <c r="A116" s="963">
        <f>_qhs4/3.6</f>
        <v>0</v>
      </c>
      <c r="B116" s="962">
        <v>116</v>
      </c>
      <c r="C116" s="1361" t="s">
        <v>1969</v>
      </c>
    </row>
    <row r="117" spans="1:7">
      <c r="A117" s="963">
        <f>AEBF1</f>
        <v>0</v>
      </c>
      <c r="B117" s="962">
        <v>117</v>
      </c>
      <c r="C117" s="1361" t="s">
        <v>1962</v>
      </c>
    </row>
    <row r="118" spans="1:7">
      <c r="A118" s="963">
        <f>AEBF2</f>
        <v>0</v>
      </c>
      <c r="B118" s="962">
        <v>118</v>
      </c>
      <c r="C118" s="1361" t="s">
        <v>1963</v>
      </c>
    </row>
    <row r="119" spans="1:7">
      <c r="A119" s="963">
        <f>AEBF3</f>
        <v>0</v>
      </c>
      <c r="B119" s="962">
        <v>119</v>
      </c>
      <c r="C119" s="1361" t="s">
        <v>1964</v>
      </c>
    </row>
    <row r="120" spans="1:7">
      <c r="A120" s="963">
        <f>AEBF4</f>
        <v>0</v>
      </c>
      <c r="B120" s="962">
        <v>120</v>
      </c>
      <c r="C120" s="1361" t="s">
        <v>1965</v>
      </c>
    </row>
    <row r="121" spans="1:7">
      <c r="A121" s="963">
        <f>_Vth1</f>
        <v>0</v>
      </c>
      <c r="B121" s="962">
        <v>121</v>
      </c>
      <c r="C121" s="1361" t="s">
        <v>1983</v>
      </c>
    </row>
    <row r="122" spans="1:7">
      <c r="A122" s="963">
        <f>_Vth2</f>
        <v>0</v>
      </c>
      <c r="B122" s="962">
        <v>122</v>
      </c>
      <c r="C122" s="1361" t="s">
        <v>1986</v>
      </c>
    </row>
    <row r="123" spans="1:7">
      <c r="A123" s="963">
        <f>_Vth3</f>
        <v>0</v>
      </c>
      <c r="B123" s="962">
        <v>123</v>
      </c>
      <c r="C123" s="1361" t="s">
        <v>1985</v>
      </c>
    </row>
    <row r="124" spans="1:7">
      <c r="A124" s="965">
        <f>_Vth4</f>
        <v>0</v>
      </c>
      <c r="B124" s="1365">
        <v>124</v>
      </c>
      <c r="C124" s="1362" t="s">
        <v>1984</v>
      </c>
      <c r="D124" s="966"/>
      <c r="E124" s="966"/>
      <c r="F124" s="966"/>
      <c r="G124" s="966"/>
    </row>
    <row r="125" spans="1:7">
      <c r="A125" s="963">
        <f>Justificatif!B8</f>
        <v>0</v>
      </c>
      <c r="B125" s="962">
        <v>125</v>
      </c>
      <c r="C125" s="954" t="s">
        <v>1124</v>
      </c>
    </row>
    <row r="126" spans="1:7">
      <c r="A126" s="963">
        <f>INDEX(Standardwerte!$AN$108:$AN$155,Justificatif!M8,1)</f>
        <v>0</v>
      </c>
      <c r="B126" s="962">
        <v>126</v>
      </c>
      <c r="C126" s="954" t="s">
        <v>3650</v>
      </c>
    </row>
    <row r="127" spans="1:7">
      <c r="A127" s="963">
        <f>Justificatif!B12</f>
        <v>0</v>
      </c>
      <c r="B127" s="962">
        <v>127</v>
      </c>
      <c r="C127" s="954" t="s">
        <v>1125</v>
      </c>
    </row>
    <row r="128" spans="1:7">
      <c r="A128" s="963">
        <f>INDEX(Standardwerte!$AN$108:$AN$155,Justificatif!M12,1)</f>
        <v>0</v>
      </c>
      <c r="B128" s="962">
        <v>128</v>
      </c>
      <c r="C128" s="1661" t="s">
        <v>3653</v>
      </c>
    </row>
    <row r="129" spans="1:3">
      <c r="A129" s="963">
        <f>Justificatif!B16</f>
        <v>0</v>
      </c>
      <c r="B129" s="962">
        <v>129</v>
      </c>
      <c r="C129" s="954" t="s">
        <v>1126</v>
      </c>
    </row>
    <row r="130" spans="1:3">
      <c r="A130" s="963">
        <f>INDEX(Standardwerte!$AN$108:$AN$155,Justificatif!M16,1)</f>
        <v>0</v>
      </c>
      <c r="B130" s="962">
        <v>130</v>
      </c>
      <c r="C130" s="1661" t="s">
        <v>3652</v>
      </c>
    </row>
    <row r="131" spans="1:3">
      <c r="A131" s="963">
        <f>Justificatif!B20</f>
        <v>0</v>
      </c>
      <c r="B131" s="962">
        <v>131</v>
      </c>
      <c r="C131" s="954" t="s">
        <v>1127</v>
      </c>
    </row>
    <row r="132" spans="1:3">
      <c r="A132" s="963">
        <f>INDEX(Standardwerte!$AN$108:$AN$155,Justificatif!M20,1)</f>
        <v>0</v>
      </c>
      <c r="B132" s="962">
        <v>132</v>
      </c>
      <c r="C132" s="1661" t="s">
        <v>3651</v>
      </c>
    </row>
    <row r="133" spans="1:3">
      <c r="A133" s="967">
        <f>Justificatif!H8</f>
        <v>0</v>
      </c>
      <c r="B133" s="962">
        <v>133</v>
      </c>
      <c r="C133" s="954" t="s">
        <v>1128</v>
      </c>
    </row>
    <row r="134" spans="1:3">
      <c r="A134" s="967">
        <f>Justificatif!H12</f>
        <v>0</v>
      </c>
      <c r="B134" s="962">
        <v>134</v>
      </c>
      <c r="C134" s="954" t="s">
        <v>1129</v>
      </c>
    </row>
    <row r="135" spans="1:3">
      <c r="A135" s="967">
        <f>Justificatif!H16</f>
        <v>0</v>
      </c>
      <c r="B135" s="962">
        <v>135</v>
      </c>
      <c r="C135" s="954" t="s">
        <v>1130</v>
      </c>
    </row>
    <row r="136" spans="1:3">
      <c r="A136" s="967">
        <f>Justificatif!H20</f>
        <v>0</v>
      </c>
      <c r="B136" s="962">
        <v>136</v>
      </c>
      <c r="C136" s="954" t="s">
        <v>1131</v>
      </c>
    </row>
    <row r="137" spans="1:3">
      <c r="A137" s="963">
        <f>Justificatif!J8</f>
        <v>0</v>
      </c>
      <c r="B137" s="962">
        <v>137</v>
      </c>
      <c r="C137" s="954" t="s">
        <v>1132</v>
      </c>
    </row>
    <row r="138" spans="1:3">
      <c r="A138" s="963">
        <f>Justificatif!L8</f>
        <v>0</v>
      </c>
      <c r="B138" s="962">
        <v>138</v>
      </c>
      <c r="C138" s="954" t="s">
        <v>1133</v>
      </c>
    </row>
    <row r="139" spans="1:3">
      <c r="A139" s="963">
        <f>Justificatif!J12</f>
        <v>0</v>
      </c>
      <c r="B139" s="962">
        <v>139</v>
      </c>
      <c r="C139" s="954" t="s">
        <v>1134</v>
      </c>
    </row>
    <row r="140" spans="1:3">
      <c r="A140" s="963">
        <f>Justificatif!L12</f>
        <v>0</v>
      </c>
      <c r="B140" s="962">
        <v>140</v>
      </c>
      <c r="C140" s="954" t="s">
        <v>1135</v>
      </c>
    </row>
    <row r="141" spans="1:3">
      <c r="A141" s="963">
        <f>Justificatif!J16</f>
        <v>0</v>
      </c>
      <c r="B141" s="962">
        <v>141</v>
      </c>
      <c r="C141" s="954" t="s">
        <v>1136</v>
      </c>
    </row>
    <row r="142" spans="1:3">
      <c r="A142" s="963">
        <f>Justificatif!L16</f>
        <v>0</v>
      </c>
      <c r="B142" s="962">
        <v>142</v>
      </c>
      <c r="C142" s="954" t="s">
        <v>1137</v>
      </c>
    </row>
    <row r="143" spans="1:3">
      <c r="A143" s="963">
        <f>Justificatif!J20</f>
        <v>0</v>
      </c>
      <c r="B143" s="962">
        <v>143</v>
      </c>
      <c r="C143" s="954" t="s">
        <v>1138</v>
      </c>
    </row>
    <row r="144" spans="1:3">
      <c r="A144" s="963">
        <f>Justificatif!L20</f>
        <v>0</v>
      </c>
      <c r="B144" s="962">
        <v>144</v>
      </c>
      <c r="C144" s="954" t="s">
        <v>1139</v>
      </c>
    </row>
    <row r="145" spans="1:3">
      <c r="A145" s="963">
        <f>Justificatif!G9</f>
        <v>0</v>
      </c>
      <c r="B145" s="962">
        <v>145</v>
      </c>
      <c r="C145" s="954" t="s">
        <v>1140</v>
      </c>
    </row>
    <row r="146" spans="1:3">
      <c r="A146" s="963">
        <f>Justificatif!G10</f>
        <v>0</v>
      </c>
      <c r="B146" s="962">
        <v>146</v>
      </c>
      <c r="C146" s="954" t="s">
        <v>1141</v>
      </c>
    </row>
    <row r="147" spans="1:3">
      <c r="A147" s="963">
        <f>Justificatif!G13</f>
        <v>0</v>
      </c>
      <c r="B147" s="962">
        <v>147</v>
      </c>
      <c r="C147" s="954" t="s">
        <v>1142</v>
      </c>
    </row>
    <row r="148" spans="1:3">
      <c r="A148" s="963">
        <f>Justificatif!G14</f>
        <v>0</v>
      </c>
      <c r="B148" s="962">
        <v>148</v>
      </c>
      <c r="C148" s="954" t="s">
        <v>1143</v>
      </c>
    </row>
    <row r="149" spans="1:3">
      <c r="A149" s="963">
        <f>Justificatif!G17</f>
        <v>0</v>
      </c>
      <c r="B149" s="962">
        <v>149</v>
      </c>
      <c r="C149" s="954" t="s">
        <v>1144</v>
      </c>
    </row>
    <row r="150" spans="1:3">
      <c r="A150" s="963">
        <f>Justificatif!G18</f>
        <v>0</v>
      </c>
      <c r="B150" s="962">
        <v>150</v>
      </c>
      <c r="C150" s="954" t="s">
        <v>1145</v>
      </c>
    </row>
    <row r="151" spans="1:3">
      <c r="A151" s="963">
        <f>Justificatif!G21</f>
        <v>0</v>
      </c>
      <c r="B151" s="962">
        <v>151</v>
      </c>
      <c r="C151" s="954" t="s">
        <v>1146</v>
      </c>
    </row>
    <row r="152" spans="1:3">
      <c r="A152" s="963">
        <f>Justificatif!G22</f>
        <v>0</v>
      </c>
      <c r="B152" s="962">
        <v>152</v>
      </c>
      <c r="C152" s="954" t="s">
        <v>1147</v>
      </c>
    </row>
    <row r="153" spans="1:3">
      <c r="A153" s="963">
        <f>Justificatif!B24</f>
        <v>0</v>
      </c>
      <c r="B153" s="962">
        <v>153</v>
      </c>
      <c r="C153" s="954" t="s">
        <v>1987</v>
      </c>
    </row>
    <row r="154" spans="1:3">
      <c r="A154" s="963">
        <f>Justificatif!J24</f>
        <v>0</v>
      </c>
      <c r="B154" s="962">
        <v>154</v>
      </c>
      <c r="C154" s="954" t="s">
        <v>1151</v>
      </c>
    </row>
    <row r="155" spans="1:3">
      <c r="A155" s="963">
        <f>Justificatif!L24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Justificatif!B63</f>
        <v>x</v>
      </c>
      <c r="B158" s="962">
        <v>158</v>
      </c>
      <c r="C158" s="954" t="s">
        <v>1155</v>
      </c>
    </row>
    <row r="159" spans="1:3">
      <c r="A159" s="963" t="str">
        <f>Justificatif!B64</f>
        <v>x</v>
      </c>
      <c r="B159" s="962">
        <v>159</v>
      </c>
      <c r="C159" s="954" t="s">
        <v>1156</v>
      </c>
    </row>
    <row r="160" spans="1:3">
      <c r="A160" s="963">
        <f>Justificatif!G63</f>
        <v>0</v>
      </c>
      <c r="B160" s="962">
        <v>160</v>
      </c>
      <c r="C160" s="954" t="s">
        <v>1157</v>
      </c>
    </row>
    <row r="161" spans="1:7">
      <c r="A161" s="963">
        <f>Justificatif!H63</f>
        <v>0</v>
      </c>
      <c r="B161" s="962">
        <v>161</v>
      </c>
      <c r="C161" s="954" t="s">
        <v>1158</v>
      </c>
    </row>
    <row r="162" spans="1:7">
      <c r="A162" s="963">
        <f>Justificatif!G64</f>
        <v>0</v>
      </c>
      <c r="B162" s="962">
        <v>162</v>
      </c>
      <c r="C162" s="954" t="s">
        <v>1159</v>
      </c>
    </row>
    <row r="163" spans="1:7">
      <c r="A163" s="965">
        <f>Justificatif!H64</f>
        <v>0</v>
      </c>
      <c r="B163" s="1365">
        <v>163</v>
      </c>
      <c r="C163" s="1363"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Justificatif!G47</f>
        <v>0</v>
      </c>
      <c r="B168" s="962">
        <v>168</v>
      </c>
      <c r="C168" s="954" t="s">
        <v>1190</v>
      </c>
    </row>
    <row r="169" spans="1:7">
      <c r="A169" s="963">
        <f>Justificatif!G48</f>
        <v>0</v>
      </c>
      <c r="B169" s="962">
        <v>169</v>
      </c>
      <c r="C169" s="954" t="s">
        <v>1191</v>
      </c>
    </row>
    <row r="170" spans="1:7">
      <c r="A170" s="963">
        <f>Justificatif!G49</f>
        <v>0</v>
      </c>
      <c r="B170" s="962">
        <v>170</v>
      </c>
      <c r="C170" s="954" t="s">
        <v>1193</v>
      </c>
    </row>
    <row r="171" spans="1:7">
      <c r="A171" s="963">
        <f>Justificatif!G50</f>
        <v>0</v>
      </c>
      <c r="B171" s="962">
        <v>171</v>
      </c>
      <c r="C171" s="954" t="s">
        <v>1192</v>
      </c>
    </row>
    <row r="172" spans="1:7">
      <c r="A172" s="963" t="str">
        <f>Justificatif!G51</f>
        <v/>
      </c>
      <c r="B172" s="962">
        <v>172</v>
      </c>
      <c r="C172" s="954" t="s">
        <v>1194</v>
      </c>
    </row>
    <row r="173" spans="1:7">
      <c r="A173" s="963">
        <f>Justificatif!H47</f>
        <v>0</v>
      </c>
      <c r="B173" s="962">
        <v>173</v>
      </c>
      <c r="C173" s="954" t="s">
        <v>1195</v>
      </c>
    </row>
    <row r="174" spans="1:7">
      <c r="A174" s="963">
        <f>Justificatif!H48</f>
        <v>0</v>
      </c>
      <c r="B174" s="962">
        <v>174</v>
      </c>
      <c r="C174" s="954" t="s">
        <v>1197</v>
      </c>
    </row>
    <row r="175" spans="1:7">
      <c r="A175" s="963">
        <f>Justificatif!H49</f>
        <v>0</v>
      </c>
      <c r="B175" s="962">
        <v>175</v>
      </c>
      <c r="C175" s="954" t="s">
        <v>1198</v>
      </c>
    </row>
    <row r="176" spans="1:7">
      <c r="A176" s="963">
        <f>Justificatif!H50</f>
        <v>0</v>
      </c>
      <c r="B176" s="962">
        <v>176</v>
      </c>
      <c r="C176" s="954" t="s">
        <v>1196</v>
      </c>
    </row>
    <row r="177" spans="1:3">
      <c r="A177" s="963">
        <f>Justificatif!H51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Justificatif!F47</f>
        <v>0</v>
      </c>
      <c r="B180" s="962">
        <v>180</v>
      </c>
      <c r="C180" s="954" t="s">
        <v>1200</v>
      </c>
    </row>
    <row r="181" spans="1:3">
      <c r="A181" s="963">
        <f>Justificatif!F48</f>
        <v>0</v>
      </c>
      <c r="B181" s="962">
        <v>181</v>
      </c>
      <c r="C181" s="954" t="s">
        <v>1201</v>
      </c>
    </row>
    <row r="182" spans="1:3">
      <c r="A182" s="963">
        <f>Justificatif!F49</f>
        <v>0</v>
      </c>
      <c r="B182" s="962">
        <v>182</v>
      </c>
      <c r="C182" s="954" t="s">
        <v>1202</v>
      </c>
    </row>
    <row r="183" spans="1:3">
      <c r="A183" s="963">
        <f>Justificatif!F50</f>
        <v>0</v>
      </c>
      <c r="B183" s="962">
        <v>183</v>
      </c>
      <c r="C183" s="954" t="s">
        <v>1203</v>
      </c>
    </row>
    <row r="184" spans="1:3">
      <c r="A184" s="963">
        <f>Justificatif!G34</f>
        <v>0</v>
      </c>
      <c r="B184" s="962">
        <v>184</v>
      </c>
      <c r="C184" s="1361" t="s">
        <v>1167</v>
      </c>
    </row>
    <row r="185" spans="1:3">
      <c r="A185" s="963">
        <f>Justificatif!H34</f>
        <v>0</v>
      </c>
      <c r="B185" s="962">
        <v>185</v>
      </c>
      <c r="C185" s="1361" t="s">
        <v>1168</v>
      </c>
    </row>
    <row r="186" spans="1:3">
      <c r="A186" s="963">
        <f>Justificatif!I34</f>
        <v>0</v>
      </c>
      <c r="B186" s="962">
        <v>186</v>
      </c>
      <c r="C186" s="1361" t="s">
        <v>1169</v>
      </c>
    </row>
    <row r="187" spans="1:3">
      <c r="A187" s="963">
        <f>Justificatif!J34</f>
        <v>0</v>
      </c>
      <c r="B187" s="962">
        <v>187</v>
      </c>
      <c r="C187" s="1361" t="s">
        <v>1170</v>
      </c>
    </row>
    <row r="188" spans="1:3">
      <c r="A188" s="963">
        <f>Justificatif!L34</f>
        <v>0</v>
      </c>
      <c r="B188" s="962">
        <v>188</v>
      </c>
      <c r="C188" s="1361" t="s">
        <v>1171</v>
      </c>
    </row>
    <row r="189" spans="1:3">
      <c r="A189" s="963">
        <f>_qw1</f>
        <v>0</v>
      </c>
      <c r="B189" s="962">
        <v>189</v>
      </c>
      <c r="C189" s="1361" t="s">
        <v>1172</v>
      </c>
    </row>
    <row r="190" spans="1:3">
      <c r="A190" s="963">
        <f>_qw2</f>
        <v>0</v>
      </c>
      <c r="B190" s="962">
        <v>190</v>
      </c>
      <c r="C190" s="1361" t="s">
        <v>1173</v>
      </c>
    </row>
    <row r="191" spans="1:3">
      <c r="A191" s="963">
        <f>_qw3</f>
        <v>0</v>
      </c>
      <c r="B191" s="962">
        <v>191</v>
      </c>
      <c r="C191" s="1361" t="s">
        <v>1174</v>
      </c>
    </row>
    <row r="192" spans="1:3">
      <c r="A192" s="963">
        <f>_qw4</f>
        <v>0</v>
      </c>
      <c r="B192" s="962">
        <v>192</v>
      </c>
      <c r="C192" s="1361" t="s">
        <v>1175</v>
      </c>
    </row>
    <row r="193" spans="1:3">
      <c r="A193" s="963">
        <f>qw</f>
        <v>0</v>
      </c>
      <c r="B193" s="962">
        <v>193</v>
      </c>
      <c r="C193" s="1361" t="s">
        <v>1176</v>
      </c>
    </row>
    <row r="194" spans="1:3">
      <c r="A194" s="968">
        <f>Justificatif!G39</f>
        <v>0</v>
      </c>
      <c r="B194" s="962">
        <v>194</v>
      </c>
      <c r="C194" s="1361" t="s">
        <v>1177</v>
      </c>
    </row>
    <row r="195" spans="1:3">
      <c r="A195" s="968">
        <f>Justificatif!H39</f>
        <v>0</v>
      </c>
      <c r="B195" s="962">
        <v>195</v>
      </c>
      <c r="C195" s="1361" t="s">
        <v>1178</v>
      </c>
    </row>
    <row r="196" spans="1:3">
      <c r="A196" s="968">
        <f>Justificatif!I39</f>
        <v>0</v>
      </c>
      <c r="B196" s="962">
        <v>196</v>
      </c>
      <c r="C196" s="1361" t="s">
        <v>1179</v>
      </c>
    </row>
    <row r="197" spans="1:3">
      <c r="A197" s="968">
        <f>Justificatif!J39</f>
        <v>0</v>
      </c>
      <c r="B197" s="962">
        <v>197</v>
      </c>
      <c r="C197" s="1361" t="s">
        <v>1180</v>
      </c>
    </row>
    <row r="198" spans="1:3">
      <c r="A198" s="968">
        <f>Justificatif!L39</f>
        <v>0</v>
      </c>
      <c r="B198" s="962">
        <v>198</v>
      </c>
      <c r="C198" s="1361" t="s">
        <v>1181</v>
      </c>
    </row>
    <row r="199" spans="1:3">
      <c r="A199" s="963">
        <f>Justificatif!G40</f>
        <v>0</v>
      </c>
      <c r="B199" s="962">
        <v>199</v>
      </c>
      <c r="C199" s="1361" t="s">
        <v>1183</v>
      </c>
    </row>
    <row r="200" spans="1:3">
      <c r="A200" s="963">
        <f>Justificatif!H40</f>
        <v>0</v>
      </c>
      <c r="B200" s="962">
        <v>200</v>
      </c>
      <c r="C200" s="1361" t="s">
        <v>1184</v>
      </c>
    </row>
    <row r="201" spans="1:3">
      <c r="A201" s="963">
        <f>Justificatif!I40</f>
        <v>0</v>
      </c>
      <c r="B201" s="962">
        <v>201</v>
      </c>
      <c r="C201" s="1361" t="s">
        <v>1185</v>
      </c>
    </row>
    <row r="202" spans="1:3">
      <c r="A202" s="963">
        <f>Justificatif!J40</f>
        <v>0</v>
      </c>
      <c r="B202" s="962">
        <v>202</v>
      </c>
      <c r="C202" s="1361" t="s">
        <v>1186</v>
      </c>
    </row>
    <row r="203" spans="1:3">
      <c r="A203" s="963">
        <f>Justificatif!L40</f>
        <v>0</v>
      </c>
      <c r="B203" s="962">
        <v>203</v>
      </c>
      <c r="C203" s="1361" t="s">
        <v>1187</v>
      </c>
    </row>
    <row r="204" spans="1:3">
      <c r="A204" s="963">
        <f>Justificatif!G43</f>
        <v>0</v>
      </c>
      <c r="B204" s="962">
        <v>204</v>
      </c>
      <c r="C204" s="1361" t="s">
        <v>1988</v>
      </c>
    </row>
    <row r="205" spans="1:3">
      <c r="A205" s="963">
        <f>Justificatif!H43</f>
        <v>0</v>
      </c>
      <c r="B205" s="962">
        <v>205</v>
      </c>
      <c r="C205" s="1361" t="s">
        <v>1989</v>
      </c>
    </row>
    <row r="206" spans="1:3">
      <c r="A206" s="963">
        <f>Justificatif!I43</f>
        <v>0</v>
      </c>
      <c r="B206" s="962">
        <v>206</v>
      </c>
      <c r="C206" s="1361" t="s">
        <v>1990</v>
      </c>
    </row>
    <row r="207" spans="1:3">
      <c r="A207" s="963">
        <f>Justificatif!J43</f>
        <v>0</v>
      </c>
      <c r="B207" s="962">
        <v>207</v>
      </c>
      <c r="C207" s="1361" t="s">
        <v>1991</v>
      </c>
    </row>
    <row r="208" spans="1:3">
      <c r="A208" s="963">
        <f>Justificatif!L43</f>
        <v>0</v>
      </c>
      <c r="B208" s="962">
        <v>208</v>
      </c>
      <c r="C208" s="1361" t="s">
        <v>1188</v>
      </c>
    </row>
    <row r="209" spans="1:8">
      <c r="A209" s="963">
        <f>Justificatif!G58</f>
        <v>0</v>
      </c>
      <c r="B209" s="962">
        <v>209</v>
      </c>
      <c r="C209" s="1361" t="s">
        <v>1994</v>
      </c>
    </row>
    <row r="210" spans="1:8">
      <c r="A210" s="963">
        <f>MINERGIE_Wert</f>
        <v>0</v>
      </c>
      <c r="B210" s="962">
        <v>210</v>
      </c>
      <c r="C210" s="1361" t="s">
        <v>1995</v>
      </c>
    </row>
    <row r="211" spans="1:8">
      <c r="A211" s="963" t="str">
        <f>Justificatif!L58</f>
        <v/>
      </c>
      <c r="B211" s="962">
        <v>211</v>
      </c>
      <c r="C211" s="1361" t="s">
        <v>1992</v>
      </c>
    </row>
    <row r="212" spans="1:8">
      <c r="A212" s="963">
        <f>IF(A211="",0,IF(A211=0,1,VLOOKUP(A211,MINERGIE!$N$11:$P$13,3,FALSE))-1)</f>
        <v>0</v>
      </c>
      <c r="B212" s="962">
        <v>212</v>
      </c>
      <c r="C212" s="1361" t="s">
        <v>2148</v>
      </c>
    </row>
    <row r="213" spans="1:8">
      <c r="A213" s="963" t="str">
        <f>Justificatif!L60</f>
        <v>Ja</v>
      </c>
      <c r="B213" s="962">
        <v>213</v>
      </c>
      <c r="C213" s="1361" t="s">
        <v>1204</v>
      </c>
    </row>
    <row r="214" spans="1:8">
      <c r="A214" s="963" t="e">
        <f>IF(A213=0,1,VLOOKUP(A213,MINERGIE!$N$11:$P$13,3,FALSE))-1</f>
        <v>#N/A</v>
      </c>
      <c r="B214" s="962">
        <v>214</v>
      </c>
      <c r="C214" s="1364" t="s">
        <v>2149</v>
      </c>
      <c r="D214" s="1357"/>
      <c r="E214" s="1357"/>
      <c r="F214" s="1357"/>
      <c r="G214" s="1357"/>
    </row>
    <row r="215" spans="1:8">
      <c r="A215" s="963">
        <f>Justificatif!G59</f>
        <v>0</v>
      </c>
      <c r="B215" s="962">
        <v>215</v>
      </c>
      <c r="C215" s="1361" t="s">
        <v>1996</v>
      </c>
    </row>
    <row r="216" spans="1:8">
      <c r="A216" s="963">
        <f>Justificatif!I59</f>
        <v>0</v>
      </c>
      <c r="B216" s="962">
        <v>216</v>
      </c>
      <c r="C216" s="1361" t="s">
        <v>1997</v>
      </c>
    </row>
    <row r="217" spans="1:8">
      <c r="A217" s="963" t="str">
        <f>Justificatif!L59</f>
        <v/>
      </c>
      <c r="B217" s="962">
        <v>217</v>
      </c>
      <c r="C217" s="1361" t="s">
        <v>1998</v>
      </c>
    </row>
    <row r="218" spans="1:8">
      <c r="A218" s="963">
        <f>IF(A217="",0,IF(A217=0,1,VLOOKUP(A217,MINERGIE!$N$11:$P$13,3,FALSE))-1)</f>
        <v>0</v>
      </c>
      <c r="B218" s="962">
        <v>218</v>
      </c>
      <c r="C218" s="1361" t="s">
        <v>2150</v>
      </c>
    </row>
    <row r="219" spans="1:8">
      <c r="A219" s="963">
        <f>Justificatif!G44</f>
        <v>0</v>
      </c>
      <c r="B219" s="962">
        <v>219</v>
      </c>
      <c r="C219" s="1361" t="s">
        <v>1999</v>
      </c>
    </row>
    <row r="220" spans="1:8">
      <c r="A220" s="963">
        <f>Justificatif!H44</f>
        <v>0</v>
      </c>
      <c r="B220" s="962">
        <v>220</v>
      </c>
      <c r="C220" s="1361" t="s">
        <v>2000</v>
      </c>
    </row>
    <row r="221" spans="1:8">
      <c r="A221" s="963">
        <f>Justificatif!I44</f>
        <v>0</v>
      </c>
      <c r="B221" s="962">
        <v>221</v>
      </c>
      <c r="C221" s="1361" t="s">
        <v>2001</v>
      </c>
    </row>
    <row r="222" spans="1:8">
      <c r="A222" s="965">
        <f>Justificatif!J44</f>
        <v>0</v>
      </c>
      <c r="B222" s="1365">
        <v>222</v>
      </c>
      <c r="C222" s="1362" t="s">
        <v>2002</v>
      </c>
      <c r="D222" s="966"/>
      <c r="E222" s="966"/>
      <c r="F222" s="966"/>
      <c r="G222" s="966"/>
      <c r="H222" s="966"/>
    </row>
    <row r="223" spans="1:8">
      <c r="A223" s="963">
        <f>MINERGIE!F19</f>
        <v>0</v>
      </c>
      <c r="B223" s="962">
        <v>223</v>
      </c>
      <c r="C223" s="954" t="s">
        <v>2003</v>
      </c>
    </row>
    <row r="224" spans="1:8">
      <c r="A224" s="963">
        <f>IF(A223=0,1,VLOOKUP(A223,MINERGIE!$N$11:$P$13,3,FALSE))-1</f>
        <v>0</v>
      </c>
      <c r="B224" s="962">
        <v>224</v>
      </c>
      <c r="C224" s="954" t="s">
        <v>2151</v>
      </c>
    </row>
    <row r="225" spans="1:3">
      <c r="A225" s="963">
        <f>MINERGIE!G19</f>
        <v>0</v>
      </c>
      <c r="B225" s="962">
        <v>225</v>
      </c>
      <c r="C225" s="954" t="s">
        <v>2004</v>
      </c>
    </row>
    <row r="226" spans="1:3">
      <c r="A226" s="963">
        <f>IF(A225=0,1,VLOOKUP(A225,MINERGIE!$N$11:$P$13,3,FALSE))-1</f>
        <v>0</v>
      </c>
      <c r="B226" s="962">
        <v>226</v>
      </c>
      <c r="C226" s="954" t="s">
        <v>2154</v>
      </c>
    </row>
    <row r="227" spans="1:3">
      <c r="A227" s="963">
        <f>MINERGIE!H19</f>
        <v>0</v>
      </c>
      <c r="B227" s="962">
        <v>227</v>
      </c>
      <c r="C227" s="954" t="s">
        <v>2005</v>
      </c>
    </row>
    <row r="228" spans="1:3">
      <c r="A228" s="963">
        <f>IF(A227=0,1,VLOOKUP(A227,MINERGIE!$N$11:$P$13,3,FALSE))-1</f>
        <v>0</v>
      </c>
      <c r="B228" s="962">
        <v>228</v>
      </c>
      <c r="C228" s="954" t="s">
        <v>2153</v>
      </c>
    </row>
    <row r="229" spans="1:3">
      <c r="A229" s="963">
        <f>MINERGIE!I19</f>
        <v>0</v>
      </c>
      <c r="B229" s="962">
        <v>229</v>
      </c>
      <c r="C229" s="954" t="s">
        <v>2006</v>
      </c>
    </row>
    <row r="230" spans="1:3">
      <c r="A230" s="963">
        <f>IF(A229=0,1,VLOOKUP(A229,MINERGIE!$N$11:$P$13,3,FALSE))-1</f>
        <v>0</v>
      </c>
      <c r="B230" s="962">
        <v>230</v>
      </c>
      <c r="C230" s="954" t="s">
        <v>2152</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2007</v>
      </c>
    </row>
    <row r="240" spans="1:3">
      <c r="A240" s="963">
        <f>MINERGIE!P25</f>
        <v>0</v>
      </c>
      <c r="B240" s="962">
        <v>240</v>
      </c>
      <c r="C240" s="954" t="s">
        <v>2009</v>
      </c>
    </row>
    <row r="241" spans="1:3">
      <c r="A241" s="963">
        <f>MINERGIE!Q25</f>
        <v>0</v>
      </c>
      <c r="B241" s="962">
        <v>241</v>
      </c>
      <c r="C241" s="954" t="s">
        <v>2010</v>
      </c>
    </row>
    <row r="242" spans="1:3">
      <c r="A242" s="963">
        <f>MINERGIE!R25</f>
        <v>0</v>
      </c>
      <c r="B242" s="962">
        <v>242</v>
      </c>
      <c r="C242" s="954" t="s">
        <v>2008</v>
      </c>
    </row>
    <row r="243" spans="1:3">
      <c r="A243" s="963">
        <f>MINERGIE!F33</f>
        <v>0</v>
      </c>
      <c r="B243" s="962">
        <v>243</v>
      </c>
      <c r="C243" s="954" t="s">
        <v>2012</v>
      </c>
    </row>
    <row r="244" spans="1:3">
      <c r="A244" s="963">
        <f>IF(A243=0,1,VLOOKUP(A243,MINERGIE!$N$11:$P$13,3,FALSE))-1</f>
        <v>0</v>
      </c>
      <c r="B244" s="962">
        <v>244</v>
      </c>
      <c r="C244" s="954" t="s">
        <v>2155</v>
      </c>
    </row>
    <row r="245" spans="1:3">
      <c r="A245" s="963">
        <f>MINERGIE!G33</f>
        <v>0</v>
      </c>
      <c r="B245" s="962">
        <v>245</v>
      </c>
      <c r="C245" s="954" t="s">
        <v>2014</v>
      </c>
    </row>
    <row r="246" spans="1:3">
      <c r="A246" s="963">
        <f>IF(A245=0,1,VLOOKUP(A245,MINERGIE!$N$11:$P$13,3,FALSE))-1</f>
        <v>0</v>
      </c>
      <c r="B246" s="962">
        <v>246</v>
      </c>
      <c r="C246" s="954" t="s">
        <v>2156</v>
      </c>
    </row>
    <row r="247" spans="1:3">
      <c r="A247" s="963">
        <f>MINERGIE!H33</f>
        <v>0</v>
      </c>
      <c r="B247" s="962">
        <v>247</v>
      </c>
      <c r="C247" s="954" t="s">
        <v>2015</v>
      </c>
    </row>
    <row r="248" spans="1:3">
      <c r="A248" s="963">
        <f>IF(A247=0,1,VLOOKUP(A247,MINERGIE!$N$11:$P$13,3,FALSE))-1</f>
        <v>0</v>
      </c>
      <c r="B248" s="962">
        <v>248</v>
      </c>
      <c r="C248" s="954" t="s">
        <v>2157</v>
      </c>
    </row>
    <row r="249" spans="1:3">
      <c r="A249" s="963">
        <f>MINERGIE!I33</f>
        <v>0</v>
      </c>
      <c r="B249" s="962">
        <v>249</v>
      </c>
      <c r="C249" s="954" t="s">
        <v>2013</v>
      </c>
    </row>
    <row r="250" spans="1:3">
      <c r="A250" s="963">
        <f>IF(A249=0,1,VLOOKUP(A249,MINERGIE!$N$11:$P$13,3,FALSE))-1</f>
        <v>0</v>
      </c>
      <c r="B250" s="962">
        <v>250</v>
      </c>
      <c r="C250" s="954" t="s">
        <v>2158</v>
      </c>
    </row>
    <row r="251" spans="1:3">
      <c r="A251" s="963">
        <f>MINERGIE!F34</f>
        <v>0</v>
      </c>
      <c r="B251" s="962">
        <v>251</v>
      </c>
      <c r="C251" s="1361" t="s">
        <v>2016</v>
      </c>
    </row>
    <row r="252" spans="1:3">
      <c r="A252" s="963">
        <f>IF(A251=0,1,VLOOKUP(A251,MINERGIE!$N$11:$P$13,3,FALSE))-1</f>
        <v>0</v>
      </c>
      <c r="B252" s="962">
        <v>252</v>
      </c>
      <c r="C252" s="1361" t="s">
        <v>2159</v>
      </c>
    </row>
    <row r="253" spans="1:3">
      <c r="A253" s="963">
        <f>MINERGIE!G34</f>
        <v>0</v>
      </c>
      <c r="B253" s="962">
        <v>253</v>
      </c>
      <c r="C253" s="1361" t="s">
        <v>2017</v>
      </c>
    </row>
    <row r="254" spans="1:3">
      <c r="A254" s="963">
        <f>IF(A253=0,1,VLOOKUP(A253,MINERGIE!$N$11:$P$13,3,FALSE))-1</f>
        <v>0</v>
      </c>
      <c r="B254" s="962">
        <v>254</v>
      </c>
      <c r="C254" s="1361" t="s">
        <v>2160</v>
      </c>
    </row>
    <row r="255" spans="1:3">
      <c r="A255" s="963">
        <f>MINERGIE!H34</f>
        <v>0</v>
      </c>
      <c r="B255" s="962">
        <v>255</v>
      </c>
      <c r="C255" s="1361" t="s">
        <v>2018</v>
      </c>
    </row>
    <row r="256" spans="1:3">
      <c r="A256" s="963">
        <f>IF(A255=0,1,VLOOKUP(A255,MINERGIE!$N$11:$P$13,3,FALSE))-1</f>
        <v>0</v>
      </c>
      <c r="B256" s="962">
        <v>256</v>
      </c>
      <c r="C256" s="1361" t="s">
        <v>2161</v>
      </c>
    </row>
    <row r="257" spans="1:4">
      <c r="A257" s="963">
        <f>MINERGIE!I34</f>
        <v>0</v>
      </c>
      <c r="B257" s="962">
        <v>257</v>
      </c>
      <c r="C257" s="1361" t="s">
        <v>2019</v>
      </c>
    </row>
    <row r="258" spans="1:4">
      <c r="A258" s="963">
        <f>IF(A257=0,1,VLOOKUP(A257,MINERGIE!$N$11:$P$13,3,FALSE))-1</f>
        <v>0</v>
      </c>
      <c r="B258" s="962">
        <v>258</v>
      </c>
      <c r="C258" s="1361" t="s">
        <v>2162</v>
      </c>
    </row>
    <row r="259" spans="1:4">
      <c r="A259" s="963">
        <f>MINERGIE!F35</f>
        <v>0</v>
      </c>
      <c r="B259" s="962">
        <v>259</v>
      </c>
      <c r="C259" s="1361" t="s">
        <v>2020</v>
      </c>
    </row>
    <row r="260" spans="1:4">
      <c r="A260" s="963">
        <f>IF(A259=0,1,VLOOKUP(A259,MINERGIE!$N$11:$P$13,3,FALSE))-1</f>
        <v>0</v>
      </c>
      <c r="B260" s="962">
        <v>260</v>
      </c>
      <c r="C260" s="1361" t="s">
        <v>2163</v>
      </c>
      <c r="D260" s="1356"/>
    </row>
    <row r="261" spans="1:4">
      <c r="A261" s="963">
        <f>MINERGIE!G35</f>
        <v>0</v>
      </c>
      <c r="B261" s="962">
        <v>261</v>
      </c>
      <c r="C261" s="1361" t="s">
        <v>2021</v>
      </c>
    </row>
    <row r="262" spans="1:4">
      <c r="A262" s="963">
        <f>IF(A261=0,1,VLOOKUP(A261,MINERGIE!$N$11:$P$13,3,FALSE))-1</f>
        <v>0</v>
      </c>
      <c r="B262" s="962">
        <v>262</v>
      </c>
      <c r="C262" s="1361" t="s">
        <v>2164</v>
      </c>
    </row>
    <row r="263" spans="1:4">
      <c r="A263" s="963">
        <f>MINERGIE!H35</f>
        <v>0</v>
      </c>
      <c r="B263" s="962">
        <v>263</v>
      </c>
      <c r="C263" s="1361" t="s">
        <v>2022</v>
      </c>
    </row>
    <row r="264" spans="1:4">
      <c r="A264" s="963">
        <f>IF(A263=0,1,VLOOKUP(A263,MINERGIE!$N$11:$P$13,3,FALSE))-1</f>
        <v>0</v>
      </c>
      <c r="B264" s="962">
        <v>264</v>
      </c>
      <c r="C264" s="1361" t="s">
        <v>2165</v>
      </c>
    </row>
    <row r="265" spans="1:4">
      <c r="A265" s="962">
        <f>MINERGIE!I35</f>
        <v>0</v>
      </c>
      <c r="B265" s="962">
        <v>265</v>
      </c>
      <c r="C265" s="1361" t="s">
        <v>2023</v>
      </c>
    </row>
    <row r="266" spans="1:4">
      <c r="A266" s="963">
        <f>IF(A265=0,1,VLOOKUP(A265,MINERGIE!$N$11:$P$13,3,FALSE))-1</f>
        <v>0</v>
      </c>
      <c r="B266" s="962">
        <v>266</v>
      </c>
      <c r="C266" s="1361" t="s">
        <v>2166</v>
      </c>
    </row>
    <row r="267" spans="1:4">
      <c r="A267" s="963">
        <f>MINERGIE!F36</f>
        <v>0</v>
      </c>
      <c r="B267" s="962">
        <v>267</v>
      </c>
      <c r="C267" s="1361" t="s">
        <v>2024</v>
      </c>
    </row>
    <row r="268" spans="1:4">
      <c r="A268" s="963">
        <f>IF(A267=0,1,VLOOKUP(A267,MINERGIE!$N$11:$P$13,3,FALSE))-1</f>
        <v>0</v>
      </c>
      <c r="B268" s="962">
        <v>268</v>
      </c>
      <c r="C268" s="1361" t="s">
        <v>2167</v>
      </c>
    </row>
    <row r="269" spans="1:4">
      <c r="A269" s="963">
        <f>MINERGIE!G36</f>
        <v>0</v>
      </c>
      <c r="B269" s="962">
        <v>269</v>
      </c>
      <c r="C269" s="1361" t="s">
        <v>2025</v>
      </c>
    </row>
    <row r="270" spans="1:4">
      <c r="A270" s="963">
        <f>IF(A269=0,1,VLOOKUP(A269,MINERGIE!$N$11:$P$13,3,FALSE))-1</f>
        <v>0</v>
      </c>
      <c r="B270" s="962">
        <v>270</v>
      </c>
      <c r="C270" s="1361" t="s">
        <v>2168</v>
      </c>
    </row>
    <row r="271" spans="1:4">
      <c r="A271" s="963">
        <f>MINERGIE!H36</f>
        <v>0</v>
      </c>
      <c r="B271" s="962">
        <v>271</v>
      </c>
      <c r="C271" s="1361" t="s">
        <v>2026</v>
      </c>
    </row>
    <row r="272" spans="1:4">
      <c r="A272" s="963">
        <f>IF(A271=0,1,VLOOKUP(A271,MINERGIE!$N$11:$P$13,3,FALSE))-1</f>
        <v>0</v>
      </c>
      <c r="B272" s="962">
        <v>272</v>
      </c>
      <c r="C272" s="1361" t="s">
        <v>2169</v>
      </c>
    </row>
    <row r="273" spans="1:4">
      <c r="A273" s="963">
        <f>MINERGIE!I36</f>
        <v>0</v>
      </c>
      <c r="B273" s="962">
        <v>273</v>
      </c>
      <c r="C273" s="1361" t="s">
        <v>2027</v>
      </c>
    </row>
    <row r="274" spans="1:4">
      <c r="A274" s="963">
        <f>IF(A273=0,1,VLOOKUP(A273,MINERGIE!$N$11:$P$13,3,FALSE))-1</f>
        <v>0</v>
      </c>
      <c r="B274" s="962">
        <v>274</v>
      </c>
      <c r="C274" s="1361" t="s">
        <v>2170</v>
      </c>
    </row>
    <row r="275" spans="1:4">
      <c r="A275" s="963">
        <f>MINERGIE!F37</f>
        <v>0</v>
      </c>
      <c r="B275" s="962">
        <v>275</v>
      </c>
      <c r="C275" s="1361" t="s">
        <v>2028</v>
      </c>
      <c r="D275" s="1356"/>
    </row>
    <row r="276" spans="1:4">
      <c r="A276" s="963">
        <f>IF(A275=0,1,VLOOKUP(A275,MINERGIE!$N$11:$P$13,3,FALSE))-1</f>
        <v>0</v>
      </c>
      <c r="B276" s="962">
        <v>276</v>
      </c>
      <c r="C276" s="1361" t="s">
        <v>2171</v>
      </c>
    </row>
    <row r="277" spans="1:4">
      <c r="A277" s="963">
        <f>MINERGIE!G37</f>
        <v>0</v>
      </c>
      <c r="B277" s="962">
        <v>277</v>
      </c>
      <c r="C277" s="1361" t="s">
        <v>2029</v>
      </c>
    </row>
    <row r="278" spans="1:4">
      <c r="A278" s="963">
        <f>IF(A277=0,1,VLOOKUP(A277,MINERGIE!$N$11:$P$13,3,FALSE))-1</f>
        <v>0</v>
      </c>
      <c r="B278" s="962">
        <v>278</v>
      </c>
      <c r="C278" s="1361" t="s">
        <v>2172</v>
      </c>
    </row>
    <row r="279" spans="1:4">
      <c r="A279" s="963">
        <f>MINERGIE!H37</f>
        <v>0</v>
      </c>
      <c r="B279" s="962">
        <v>279</v>
      </c>
      <c r="C279" s="1361" t="s">
        <v>2030</v>
      </c>
    </row>
    <row r="280" spans="1:4">
      <c r="A280" s="963">
        <f>IF(A279=0,1,VLOOKUP(A279,MINERGIE!$N$11:$P$13,3,FALSE))-1</f>
        <v>0</v>
      </c>
      <c r="B280" s="962">
        <v>280</v>
      </c>
      <c r="C280" s="1361" t="s">
        <v>2173</v>
      </c>
    </row>
    <row r="281" spans="1:4">
      <c r="A281" s="962">
        <f>MINERGIE!I37</f>
        <v>0</v>
      </c>
      <c r="B281" s="962">
        <v>281</v>
      </c>
      <c r="C281" s="1361" t="s">
        <v>2031</v>
      </c>
    </row>
    <row r="282" spans="1:4">
      <c r="A282" s="963">
        <f>IF(A281=0,1,VLOOKUP(A281,MINERGIE!$N$11:$P$13,3,FALSE))-1</f>
        <v>0</v>
      </c>
      <c r="B282" s="962">
        <v>282</v>
      </c>
      <c r="C282" s="1361" t="s">
        <v>2174</v>
      </c>
    </row>
    <row r="283" spans="1:4">
      <c r="A283" s="963">
        <f>MINERGIE!F38</f>
        <v>0</v>
      </c>
      <c r="B283" s="962">
        <v>283</v>
      </c>
      <c r="C283" s="1361" t="s">
        <v>2032</v>
      </c>
    </row>
    <row r="284" spans="1:4">
      <c r="A284" s="963">
        <f>IF(A283=0,1,VLOOKUP(A283,MINERGIE!$N$11:$P$13,3,FALSE))-1</f>
        <v>0</v>
      </c>
      <c r="B284" s="962">
        <v>284</v>
      </c>
      <c r="C284" s="1361" t="s">
        <v>2175</v>
      </c>
    </row>
    <row r="285" spans="1:4">
      <c r="A285" s="963">
        <f>MINERGIE!G38</f>
        <v>0</v>
      </c>
      <c r="B285" s="962">
        <v>285</v>
      </c>
      <c r="C285" s="1361" t="s">
        <v>2033</v>
      </c>
    </row>
    <row r="286" spans="1:4">
      <c r="A286" s="963">
        <f>IF(A285=0,1,VLOOKUP(A285,MINERGIE!$N$11:$P$13,3,FALSE))-1</f>
        <v>0</v>
      </c>
      <c r="B286" s="962">
        <v>286</v>
      </c>
      <c r="C286" s="1361" t="s">
        <v>2176</v>
      </c>
    </row>
    <row r="287" spans="1:4">
      <c r="A287" s="963">
        <f>MINERGIE!H38</f>
        <v>0</v>
      </c>
      <c r="B287" s="962">
        <v>287</v>
      </c>
      <c r="C287" s="1361" t="s">
        <v>2034</v>
      </c>
    </row>
    <row r="288" spans="1:4">
      <c r="A288" s="963">
        <f>IF(A287=0,1,VLOOKUP(A287,MINERGIE!$N$11:$P$13,3,FALSE))-1</f>
        <v>0</v>
      </c>
      <c r="B288" s="962">
        <v>288</v>
      </c>
      <c r="C288" s="1361" t="s">
        <v>2177</v>
      </c>
    </row>
    <row r="289" spans="1:5">
      <c r="A289" s="963">
        <f>MINERGIE!I38</f>
        <v>0</v>
      </c>
      <c r="B289" s="962">
        <v>289</v>
      </c>
      <c r="C289" s="1361" t="s">
        <v>2035</v>
      </c>
    </row>
    <row r="290" spans="1:5">
      <c r="A290" s="963">
        <f>IF(A289=0,1,VLOOKUP(A289,MINERGIE!$N$11:$P$13,3,FALSE))-1</f>
        <v>0</v>
      </c>
      <c r="B290" s="962">
        <v>290</v>
      </c>
      <c r="C290" s="1361" t="s">
        <v>2178</v>
      </c>
    </row>
    <row r="291" spans="1:5">
      <c r="B291" s="962">
        <v>291</v>
      </c>
      <c r="D291" s="1356"/>
    </row>
    <row r="292" spans="1:5">
      <c r="B292" s="962">
        <v>292</v>
      </c>
      <c r="D292" s="1356"/>
      <c r="E292" s="1356"/>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61" t="s">
        <v>3854</v>
      </c>
      <c r="D299" s="1356"/>
    </row>
    <row r="300" spans="1:5">
      <c r="A300" s="963">
        <f>IF(A299=0,1,VLOOKUP(A299,MINERGIE!$N$11:$P$13,3,FALSE))-1</f>
        <v>0</v>
      </c>
      <c r="B300" s="962">
        <v>300</v>
      </c>
      <c r="C300" s="1361" t="s">
        <v>3855</v>
      </c>
    </row>
    <row r="301" spans="1:5">
      <c r="A301" s="963">
        <f>MINERGIE!G40</f>
        <v>0</v>
      </c>
      <c r="B301" s="962">
        <v>301</v>
      </c>
      <c r="C301" s="1361" t="s">
        <v>3856</v>
      </c>
    </row>
    <row r="302" spans="1:5">
      <c r="A302" s="963">
        <f>IF(A301=0,1,VLOOKUP(A301,MINERGIE!$N$11:$P$13,3,FALSE))-1</f>
        <v>0</v>
      </c>
      <c r="B302" s="962">
        <v>302</v>
      </c>
      <c r="C302" s="1361" t="s">
        <v>3857</v>
      </c>
    </row>
    <row r="303" spans="1:5">
      <c r="A303" s="963">
        <f>MINERGIE!H40</f>
        <v>0</v>
      </c>
      <c r="B303" s="962">
        <v>303</v>
      </c>
      <c r="C303" s="1361" t="s">
        <v>3858</v>
      </c>
    </row>
    <row r="304" spans="1:5">
      <c r="A304" s="963">
        <f>IF(A303=0,1,VLOOKUP(A303,MINERGIE!$N$11:$P$13,3,FALSE))-1</f>
        <v>0</v>
      </c>
      <c r="B304" s="962">
        <v>304</v>
      </c>
      <c r="C304" s="1361" t="s">
        <v>3859</v>
      </c>
    </row>
    <row r="305" spans="1:5">
      <c r="A305" s="963">
        <f>MINERGIE!I40</f>
        <v>0</v>
      </c>
      <c r="B305" s="962">
        <v>305</v>
      </c>
      <c r="C305" s="1361" t="s">
        <v>3860</v>
      </c>
    </row>
    <row r="306" spans="1:5">
      <c r="A306" s="963">
        <f>IF(A305=0,1,VLOOKUP(A305,MINERGIE!$N$11:$P$13,3,FALSE))-1</f>
        <v>0</v>
      </c>
      <c r="B306" s="962">
        <v>306</v>
      </c>
      <c r="C306" s="1361" t="s">
        <v>3861</v>
      </c>
    </row>
    <row r="307" spans="1:5">
      <c r="A307" s="963">
        <f>MINERGIE!F44</f>
        <v>0</v>
      </c>
      <c r="B307" s="962">
        <v>307</v>
      </c>
      <c r="C307" s="1361" t="s">
        <v>2036</v>
      </c>
      <c r="D307" s="1356"/>
    </row>
    <row r="308" spans="1:5">
      <c r="A308" s="963">
        <f>IF(A307=0,1,VLOOKUP(A307,MINERGIE!$N$11:$P$13,3,FALSE))-1</f>
        <v>0</v>
      </c>
      <c r="B308" s="962">
        <v>308</v>
      </c>
      <c r="C308" s="1361" t="s">
        <v>2179</v>
      </c>
    </row>
    <row r="309" spans="1:5">
      <c r="A309" s="963">
        <f>MINERGIE!G44</f>
        <v>0</v>
      </c>
      <c r="B309" s="962">
        <v>309</v>
      </c>
      <c r="C309" s="1361" t="s">
        <v>2037</v>
      </c>
    </row>
    <row r="310" spans="1:5">
      <c r="A310" s="963">
        <f>IF(A309=0,1,VLOOKUP(A309,MINERGIE!$N$11:$P$13,3,FALSE))-1</f>
        <v>0</v>
      </c>
      <c r="B310" s="962">
        <v>310</v>
      </c>
      <c r="C310" s="1361" t="s">
        <v>2180</v>
      </c>
    </row>
    <row r="311" spans="1:5">
      <c r="A311" s="963">
        <f>MINERGIE!H44</f>
        <v>0</v>
      </c>
      <c r="B311" s="962">
        <v>311</v>
      </c>
      <c r="C311" s="1361" t="s">
        <v>2038</v>
      </c>
    </row>
    <row r="312" spans="1:5">
      <c r="A312" s="963">
        <f>IF(A311=0,1,VLOOKUP(A311,MINERGIE!$N$11:$P$13,3,FALSE))-1</f>
        <v>0</v>
      </c>
      <c r="B312" s="962">
        <v>312</v>
      </c>
      <c r="C312" s="1361" t="s">
        <v>2181</v>
      </c>
    </row>
    <row r="313" spans="1:5">
      <c r="A313" s="963">
        <f>MINERGIE!I44</f>
        <v>0</v>
      </c>
      <c r="B313" s="962">
        <v>313</v>
      </c>
      <c r="C313" s="1361" t="s">
        <v>2039</v>
      </c>
    </row>
    <row r="314" spans="1:5">
      <c r="A314" s="963">
        <f>IF(A313=0,1,VLOOKUP(A313,MINERGIE!$N$11:$P$13,3,FALSE))-1</f>
        <v>0</v>
      </c>
      <c r="B314" s="962">
        <v>314</v>
      </c>
      <c r="C314" s="1361" t="s">
        <v>2182</v>
      </c>
    </row>
    <row r="315" spans="1:5">
      <c r="A315" s="963">
        <f>MINERGIE!F46</f>
        <v>0</v>
      </c>
      <c r="B315" s="962">
        <v>315</v>
      </c>
      <c r="C315" s="1361" t="s">
        <v>2040</v>
      </c>
      <c r="D315" s="1356"/>
    </row>
    <row r="316" spans="1:5">
      <c r="A316" s="963">
        <f>IF(A315=0,1,VLOOKUP(A315,MINERGIE!$N$11:$P$13,3,FALSE))-1</f>
        <v>0</v>
      </c>
      <c r="B316" s="962">
        <v>316</v>
      </c>
      <c r="C316" s="1361" t="s">
        <v>2183</v>
      </c>
      <c r="D316" s="1356"/>
      <c r="E316" s="1356"/>
    </row>
    <row r="317" spans="1:5">
      <c r="A317" s="963">
        <f>MINERGIE!G46</f>
        <v>0</v>
      </c>
      <c r="B317" s="962">
        <v>317</v>
      </c>
      <c r="C317" s="1361" t="s">
        <v>2041</v>
      </c>
    </row>
    <row r="318" spans="1:5">
      <c r="A318" s="963">
        <f>IF(A317=0,1,VLOOKUP(A317,MINERGIE!$N$11:$P$13,3,FALSE))-1</f>
        <v>0</v>
      </c>
      <c r="B318" s="962">
        <v>318</v>
      </c>
      <c r="C318" s="1361" t="s">
        <v>2184</v>
      </c>
    </row>
    <row r="319" spans="1:5">
      <c r="A319" s="963">
        <f>MINERGIE!H46</f>
        <v>0</v>
      </c>
      <c r="B319" s="962">
        <v>319</v>
      </c>
      <c r="C319" s="1361" t="s">
        <v>2042</v>
      </c>
    </row>
    <row r="320" spans="1:5">
      <c r="A320" s="963">
        <f>IF(A319=0,1,VLOOKUP(A319,MINERGIE!$N$11:$P$13,3,FALSE))-1</f>
        <v>0</v>
      </c>
      <c r="B320" s="962">
        <v>320</v>
      </c>
      <c r="C320" s="1361" t="s">
        <v>2185</v>
      </c>
    </row>
    <row r="321" spans="1:4">
      <c r="A321" s="963">
        <f>MINERGIE!I46</f>
        <v>0</v>
      </c>
      <c r="B321" s="962">
        <v>321</v>
      </c>
      <c r="C321" s="1361" t="s">
        <v>2043</v>
      </c>
    </row>
    <row r="322" spans="1:4">
      <c r="A322" s="963">
        <f>IF(A321=0,1,VLOOKUP(A321,MINERGIE!$N$11:$P$13,3,FALSE))-1</f>
        <v>0</v>
      </c>
      <c r="B322" s="962">
        <v>322</v>
      </c>
      <c r="C322" s="1361" t="s">
        <v>2186</v>
      </c>
    </row>
    <row r="323" spans="1:4">
      <c r="A323" s="963">
        <f>MINERGIE!F47</f>
        <v>0</v>
      </c>
      <c r="B323" s="962">
        <v>323</v>
      </c>
      <c r="C323" s="1361" t="s">
        <v>2044</v>
      </c>
      <c r="D323" s="1356"/>
    </row>
    <row r="324" spans="1:4">
      <c r="A324" s="963">
        <f>IF(A323=0,1,VLOOKUP(A323,MINERGIE!$N$11:$P$13,3,FALSE))-1</f>
        <v>0</v>
      </c>
      <c r="B324" s="962">
        <v>324</v>
      </c>
      <c r="C324" s="1361" t="s">
        <v>2187</v>
      </c>
    </row>
    <row r="325" spans="1:4">
      <c r="A325" s="963">
        <f>MINERGIE!G47</f>
        <v>0</v>
      </c>
      <c r="B325" s="962">
        <v>325</v>
      </c>
      <c r="C325" s="1361" t="s">
        <v>2045</v>
      </c>
    </row>
    <row r="326" spans="1:4">
      <c r="A326" s="963">
        <f>IF(A325=0,1,VLOOKUP(A325,MINERGIE!$N$11:$P$13,3,FALSE))-1</f>
        <v>0</v>
      </c>
      <c r="B326" s="962">
        <v>326</v>
      </c>
      <c r="C326" s="1361" t="s">
        <v>2188</v>
      </c>
    </row>
    <row r="327" spans="1:4">
      <c r="A327" s="963">
        <f>MINERGIE!H47</f>
        <v>0</v>
      </c>
      <c r="B327" s="962">
        <v>327</v>
      </c>
      <c r="C327" s="1361" t="s">
        <v>2046</v>
      </c>
    </row>
    <row r="328" spans="1:4">
      <c r="A328" s="963">
        <f>IF(A327=0,1,VLOOKUP(A327,MINERGIE!$N$11:$P$13,3,FALSE))-1</f>
        <v>0</v>
      </c>
      <c r="B328" s="962">
        <v>328</v>
      </c>
      <c r="C328" s="1361" t="s">
        <v>2189</v>
      </c>
    </row>
    <row r="329" spans="1:4">
      <c r="A329" s="963">
        <f>MINERGIE!I47</f>
        <v>0</v>
      </c>
      <c r="B329" s="962">
        <v>329</v>
      </c>
      <c r="C329" s="1361" t="s">
        <v>2047</v>
      </c>
    </row>
    <row r="330" spans="1:4">
      <c r="A330" s="963">
        <f>IF(A329=0,1,VLOOKUP(A329,MINERGIE!$N$11:$P$13,3,FALSE))-1</f>
        <v>0</v>
      </c>
      <c r="B330" s="962">
        <v>330</v>
      </c>
      <c r="C330" s="1361" t="s">
        <v>2190</v>
      </c>
    </row>
    <row r="331" spans="1:4">
      <c r="A331" s="963">
        <f>MINERGIE!O92</f>
        <v>0</v>
      </c>
      <c r="B331" s="962">
        <v>331</v>
      </c>
      <c r="C331" s="1361" t="s">
        <v>2048</v>
      </c>
    </row>
    <row r="332" spans="1:4">
      <c r="A332" s="963">
        <f>MINERGIE!P92</f>
        <v>0</v>
      </c>
      <c r="B332" s="962">
        <v>332</v>
      </c>
      <c r="C332" s="1361" t="s">
        <v>2050</v>
      </c>
    </row>
    <row r="333" spans="1:4">
      <c r="A333" s="963">
        <f>MINERGIE!Q92</f>
        <v>0</v>
      </c>
      <c r="B333" s="962">
        <v>333</v>
      </c>
      <c r="C333" s="1361" t="s">
        <v>2051</v>
      </c>
    </row>
    <row r="334" spans="1:4">
      <c r="A334" s="963">
        <f>MINERGIE!R92</f>
        <v>0</v>
      </c>
      <c r="B334" s="962">
        <v>334</v>
      </c>
      <c r="C334" s="1361" t="s">
        <v>2052</v>
      </c>
    </row>
    <row r="335" spans="1:4">
      <c r="A335" s="963">
        <f>MINERGIE!O93</f>
        <v>0</v>
      </c>
      <c r="B335" s="962">
        <v>335</v>
      </c>
      <c r="C335" s="1361" t="s">
        <v>2049</v>
      </c>
    </row>
    <row r="336" spans="1:4">
      <c r="A336" s="963">
        <f>MINERGIE!P93</f>
        <v>0</v>
      </c>
      <c r="B336" s="962">
        <v>336</v>
      </c>
      <c r="C336" s="1361" t="s">
        <v>2053</v>
      </c>
    </row>
    <row r="337" spans="1:5">
      <c r="A337" s="963">
        <f>MINERGIE!Q93</f>
        <v>0</v>
      </c>
      <c r="B337" s="962">
        <v>337</v>
      </c>
      <c r="C337" s="1361" t="s">
        <v>2054</v>
      </c>
    </row>
    <row r="338" spans="1:5">
      <c r="A338" s="963">
        <f>MINERGIE!R93</f>
        <v>0</v>
      </c>
      <c r="B338" s="962">
        <v>338</v>
      </c>
      <c r="C338" s="1361" t="s">
        <v>2055</v>
      </c>
    </row>
    <row r="339" spans="1:5">
      <c r="A339" s="963" t="str">
        <f>MINERGIE!D50</f>
        <v/>
      </c>
      <c r="B339" s="962">
        <v>339</v>
      </c>
      <c r="C339" s="1361" t="s">
        <v>1822</v>
      </c>
      <c r="D339" s="1356"/>
    </row>
    <row r="340" spans="1:5">
      <c r="A340" s="963">
        <f>IF(OR(A339=0,A339=""),1,VLOOKUP(A339,MINERGIE!$Q$11:$S$13,3,FALSE))-1</f>
        <v>0</v>
      </c>
      <c r="B340" s="962">
        <v>340</v>
      </c>
      <c r="C340" s="1361" t="s">
        <v>2191</v>
      </c>
    </row>
    <row r="341" spans="1:5">
      <c r="A341" s="963">
        <f>MINERGIE!E55</f>
        <v>0</v>
      </c>
      <c r="B341" s="962">
        <v>341</v>
      </c>
      <c r="C341" s="1361" t="s">
        <v>2480</v>
      </c>
    </row>
    <row r="342" spans="1:5">
      <c r="A342" s="963">
        <f>MINERGIE!H55</f>
        <v>0</v>
      </c>
      <c r="B342" s="962">
        <v>342</v>
      </c>
      <c r="C342" s="1361" t="s">
        <v>2056</v>
      </c>
      <c r="D342" s="1356"/>
    </row>
    <row r="343" spans="1:5">
      <c r="A343" s="963">
        <f>MINERGIE!G55</f>
        <v>800</v>
      </c>
      <c r="B343" s="962">
        <v>343</v>
      </c>
      <c r="C343" s="1361" t="s">
        <v>2057</v>
      </c>
    </row>
    <row r="344" spans="1:5">
      <c r="A344" s="963">
        <f>MINERGIE!K55</f>
        <v>0</v>
      </c>
      <c r="B344" s="962">
        <v>344</v>
      </c>
      <c r="C344" s="1361" t="s">
        <v>2058</v>
      </c>
      <c r="D344" s="1356"/>
      <c r="E344" s="1356"/>
    </row>
    <row r="345" spans="1:5">
      <c r="A345" s="963">
        <f>MINERGIE!I55</f>
        <v>0.2</v>
      </c>
      <c r="B345" s="962">
        <v>345</v>
      </c>
      <c r="C345" s="1361" t="s">
        <v>2059</v>
      </c>
    </row>
    <row r="346" spans="1:5">
      <c r="A346" s="963">
        <f>MINERGIE!E56</f>
        <v>0</v>
      </c>
      <c r="B346" s="962">
        <v>346</v>
      </c>
      <c r="C346" s="1361" t="s">
        <v>2479</v>
      </c>
    </row>
    <row r="347" spans="1:5">
      <c r="A347" s="968">
        <f>MINERGIE!E57</f>
        <v>0</v>
      </c>
      <c r="B347" s="962">
        <v>347</v>
      </c>
      <c r="C347" s="1361" t="s">
        <v>2478</v>
      </c>
    </row>
    <row r="348" spans="1:5">
      <c r="A348" s="963" t="str">
        <f>MINERGIE!I57</f>
        <v/>
      </c>
      <c r="B348" s="962">
        <v>348</v>
      </c>
      <c r="C348" s="1361" t="s">
        <v>2481</v>
      </c>
    </row>
    <row r="349" spans="1:5">
      <c r="A349" s="963">
        <f>IF(OR(A348=0,A348=""),1,VLOOKUP(A348,MINERGIE!$N$11:$P$13,3,FALSE))-1</f>
        <v>0</v>
      </c>
      <c r="B349" s="962">
        <v>349</v>
      </c>
      <c r="C349" s="1361" t="s">
        <v>2482</v>
      </c>
    </row>
    <row r="350" spans="1:5">
      <c r="A350" s="1358">
        <f>MINERGIE!I63</f>
        <v>0</v>
      </c>
      <c r="B350" s="962">
        <v>350</v>
      </c>
      <c r="C350" s="1361" t="s">
        <v>1941</v>
      </c>
      <c r="D350" s="1356"/>
    </row>
    <row r="351" spans="1:5">
      <c r="A351" s="963">
        <f>IF(A350=0,1,VLOOKUP(A350,MINERGIE!$N$11:$P$13,3,FALSE))-1</f>
        <v>0</v>
      </c>
      <c r="B351" s="962">
        <v>351</v>
      </c>
      <c r="C351" s="1361" t="s">
        <v>2192</v>
      </c>
    </row>
    <row r="352" spans="1:5">
      <c r="A352" s="1358">
        <f>MINERGIE!J63</f>
        <v>0</v>
      </c>
      <c r="B352" s="962">
        <v>352</v>
      </c>
      <c r="C352" s="1361" t="s">
        <v>2060</v>
      </c>
    </row>
    <row r="353" spans="1:6">
      <c r="A353" s="963" t="e">
        <f>MINERGIE!#REF!</f>
        <v>#REF!</v>
      </c>
      <c r="B353" s="962">
        <v>353</v>
      </c>
      <c r="C353" s="1361" t="s">
        <v>2061</v>
      </c>
    </row>
    <row r="354" spans="1:6">
      <c r="A354" s="1358">
        <f>MINERGIE!I64</f>
        <v>0</v>
      </c>
      <c r="B354" s="962">
        <v>354</v>
      </c>
      <c r="C354" s="1361" t="s">
        <v>1942</v>
      </c>
    </row>
    <row r="355" spans="1:6">
      <c r="A355" s="963">
        <f>IF(A354=0,1,VLOOKUP(A354,MINERGIE!$N$11:$P$13,3,FALSE))-1</f>
        <v>0</v>
      </c>
      <c r="B355" s="962">
        <v>355</v>
      </c>
      <c r="C355" s="1361" t="s">
        <v>2193</v>
      </c>
    </row>
    <row r="356" spans="1:6">
      <c r="A356" s="963" t="str">
        <f>MINERGIE!K64</f>
        <v>1.6 m3/hm2</v>
      </c>
      <c r="B356" s="962">
        <v>356</v>
      </c>
      <c r="C356" s="1361" t="s">
        <v>2062</v>
      </c>
    </row>
    <row r="357" spans="1:6">
      <c r="A357" s="963">
        <f>MINERGIE!J64</f>
        <v>0</v>
      </c>
      <c r="B357" s="962">
        <v>357</v>
      </c>
      <c r="C357" s="1361" t="s">
        <v>2063</v>
      </c>
    </row>
    <row r="358" spans="1:6">
      <c r="A358" s="1358">
        <f>MINERGIE!I65</f>
        <v>0</v>
      </c>
      <c r="B358" s="962">
        <v>358</v>
      </c>
      <c r="C358" s="1361" t="s">
        <v>2064</v>
      </c>
    </row>
    <row r="359" spans="1:6">
      <c r="A359" s="963">
        <f>IF(A358=0,1,VLOOKUP(A358,MINERGIE!$N$11:$P$13,3,FALSE))-1</f>
        <v>0</v>
      </c>
      <c r="B359" s="962">
        <v>359</v>
      </c>
      <c r="C359" s="1361" t="s">
        <v>2194</v>
      </c>
    </row>
    <row r="360" spans="1:6">
      <c r="A360" s="963">
        <f>MINERGIE!J65</f>
        <v>0</v>
      </c>
      <c r="B360" s="962">
        <v>360</v>
      </c>
      <c r="C360" s="1361" t="s">
        <v>2065</v>
      </c>
    </row>
    <row r="361" spans="1:6">
      <c r="A361" s="963">
        <f>IF(A360=0,1,VLOOKUP(A360,MINERGIE!$Q$11:$S$13,3,FALSE))-1</f>
        <v>0</v>
      </c>
      <c r="B361" s="962">
        <v>361</v>
      </c>
      <c r="C361" s="1361" t="s">
        <v>2197</v>
      </c>
    </row>
    <row r="362" spans="1:6">
      <c r="A362" s="1358">
        <f>MINERGIE!I66</f>
        <v>0</v>
      </c>
      <c r="B362" s="962">
        <v>362</v>
      </c>
      <c r="C362" s="1361" t="s">
        <v>2066</v>
      </c>
    </row>
    <row r="363" spans="1:6">
      <c r="A363" s="963">
        <f>IF(A362=0,1,VLOOKUP(A362,MINERGIE!$N$11:$P$13,3,FALSE))-1</f>
        <v>0</v>
      </c>
      <c r="B363" s="962">
        <v>363</v>
      </c>
      <c r="C363" s="1361" t="s">
        <v>2196</v>
      </c>
    </row>
    <row r="364" spans="1:6">
      <c r="A364" s="963">
        <f>MINERGIE!K66</f>
        <v>0</v>
      </c>
      <c r="B364" s="962">
        <v>364</v>
      </c>
      <c r="C364" s="1361" t="s">
        <v>2067</v>
      </c>
    </row>
    <row r="365" spans="1:6">
      <c r="A365" s="963">
        <f>IF(A364=0,1,VLOOKUP(A364,MINERGIE!$Q$11:$S$13,3,FALSE))-1</f>
        <v>0</v>
      </c>
      <c r="B365" s="962">
        <v>365</v>
      </c>
      <c r="C365" s="1361" t="s">
        <v>2195</v>
      </c>
    </row>
    <row r="366" spans="1:6">
      <c r="A366" s="1358">
        <f>MINERGIE!I67</f>
        <v>0</v>
      </c>
      <c r="B366" s="962">
        <v>366</v>
      </c>
      <c r="C366" s="1361" t="s">
        <v>37</v>
      </c>
      <c r="D366" s="1356"/>
      <c r="E366" s="1356"/>
      <c r="F366" s="1356"/>
    </row>
    <row r="367" spans="1:6">
      <c r="A367" s="963">
        <f>IF(A366=0,1,VLOOKUP(A366,MINERGIE!$N$11:$P$13,3,FALSE))-1</f>
        <v>0</v>
      </c>
      <c r="B367" s="962">
        <v>367</v>
      </c>
      <c r="C367" s="1361" t="s">
        <v>2198</v>
      </c>
    </row>
    <row r="368" spans="1:6">
      <c r="A368" s="1358">
        <f>MINERGIE!I68</f>
        <v>0</v>
      </c>
      <c r="B368" s="962">
        <v>368</v>
      </c>
      <c r="C368" s="1361" t="s">
        <v>1818</v>
      </c>
      <c r="D368" s="1356"/>
      <c r="E368" s="1356"/>
      <c r="F368" s="1356"/>
    </row>
    <row r="369" spans="1:9">
      <c r="A369" s="963">
        <f>IF(A368=0,1,VLOOKUP(A368,MINERGIE!$N$11:$P$13,3,FALSE))-1</f>
        <v>0</v>
      </c>
      <c r="B369" s="962">
        <v>369</v>
      </c>
      <c r="C369" s="1361" t="s">
        <v>2199</v>
      </c>
    </row>
    <row r="370" spans="1:9">
      <c r="A370" s="1358">
        <f>MINERGIE!I69</f>
        <v>0</v>
      </c>
      <c r="B370" s="962">
        <v>370</v>
      </c>
      <c r="C370" s="1361" t="s">
        <v>2068</v>
      </c>
    </row>
    <row r="371" spans="1:9">
      <c r="A371" s="963">
        <f>IF(A370=0,1,VLOOKUP(A370,MINERGIE!$N$11:$P$13,3,FALSE))-1</f>
        <v>0</v>
      </c>
      <c r="B371" s="962">
        <v>371</v>
      </c>
      <c r="C371" s="1361" t="s">
        <v>2200</v>
      </c>
    </row>
    <row r="372" spans="1:9">
      <c r="A372" s="963">
        <f>MINERGIE!J69</f>
        <v>0</v>
      </c>
      <c r="B372" s="962">
        <v>372</v>
      </c>
      <c r="C372" s="1361" t="s">
        <v>2069</v>
      </c>
    </row>
    <row r="373" spans="1:9">
      <c r="A373" s="963">
        <f>IF(A372=0,1,VLOOKUP(A372,MINERGIE!$Q$11:$S$13,3,FALSE))-1</f>
        <v>0</v>
      </c>
      <c r="B373" s="962">
        <v>373</v>
      </c>
      <c r="C373" s="1361" t="s">
        <v>2201</v>
      </c>
    </row>
    <row r="374" spans="1:9">
      <c r="A374" s="1358">
        <f>MINERGIE!I70</f>
        <v>0</v>
      </c>
      <c r="B374" s="962">
        <v>374</v>
      </c>
      <c r="C374" s="1361" t="s">
        <v>1950</v>
      </c>
    </row>
    <row r="375" spans="1:9">
      <c r="A375" s="963">
        <f>IF(A374=0,1,VLOOKUP(A374,MINERGIE!$N$11:$P$13,3,FALSE))-1</f>
        <v>0</v>
      </c>
      <c r="B375" s="962">
        <v>375</v>
      </c>
      <c r="C375" s="1361" t="s">
        <v>2202</v>
      </c>
    </row>
    <row r="376" spans="1:9">
      <c r="A376" s="1358">
        <f>MINERGIE!I71</f>
        <v>0</v>
      </c>
      <c r="B376" s="962">
        <v>376</v>
      </c>
      <c r="C376" s="1361" t="s">
        <v>1947</v>
      </c>
    </row>
    <row r="377" spans="1:9">
      <c r="A377" s="963">
        <f>IF(A376=0,1,VLOOKUP(A376,MINERGIE!$N$11:$P$13,3,FALSE))-1</f>
        <v>0</v>
      </c>
      <c r="B377" s="962">
        <v>377</v>
      </c>
      <c r="C377" s="1361" t="s">
        <v>2203</v>
      </c>
    </row>
    <row r="378" spans="1:9">
      <c r="A378" s="963">
        <f>MINERGIE!J71</f>
        <v>0</v>
      </c>
      <c r="B378" s="962">
        <v>378</v>
      </c>
      <c r="C378" s="1361" t="s">
        <v>2070</v>
      </c>
    </row>
    <row r="379" spans="1:9">
      <c r="A379" s="965">
        <f>IF(A378=0,1,VLOOKUP(A378,MINERGIE!$Q$11:$S$13,3,FALSE))-1</f>
        <v>0</v>
      </c>
      <c r="B379" s="1365">
        <v>379</v>
      </c>
      <c r="C379" s="1362" t="s">
        <v>2204</v>
      </c>
      <c r="D379" s="966"/>
      <c r="E379" s="966"/>
      <c r="F379" s="966"/>
      <c r="G379" s="966"/>
    </row>
    <row r="380" spans="1:9">
      <c r="A380" s="963">
        <f>Eté!I19</f>
        <v>0</v>
      </c>
      <c r="B380" s="962">
        <v>380</v>
      </c>
      <c r="C380" s="1361" t="s">
        <v>2072</v>
      </c>
      <c r="D380" s="1356"/>
      <c r="E380" s="1356"/>
      <c r="F380" s="1356"/>
      <c r="G380" s="1356"/>
      <c r="H380" s="1356"/>
      <c r="I380" s="1356"/>
    </row>
    <row r="381" spans="1:9">
      <c r="A381" s="1359">
        <f>IF(A380=0,1,VLOOKUP(A380,Eté!$Q$11:$R$15,2,FALSE))-1</f>
        <v>0</v>
      </c>
      <c r="B381" s="962">
        <v>381</v>
      </c>
      <c r="C381" s="1361" t="s">
        <v>2206</v>
      </c>
    </row>
    <row r="382" spans="1:9">
      <c r="A382" s="963">
        <f>Eté!J19</f>
        <v>0</v>
      </c>
      <c r="B382" s="962">
        <v>382</v>
      </c>
      <c r="C382" s="1361" t="s">
        <v>2071</v>
      </c>
    </row>
    <row r="383" spans="1:9">
      <c r="A383" s="1359">
        <f>IF(A382=0,1,VLOOKUP(A382,Eté!$Q$11:$R$15,2,FALSE))-1</f>
        <v>0</v>
      </c>
      <c r="B383" s="962">
        <v>383</v>
      </c>
      <c r="C383" s="1361" t="s">
        <v>2207</v>
      </c>
    </row>
    <row r="384" spans="1:9">
      <c r="A384" s="963">
        <f>Eté!K19</f>
        <v>0</v>
      </c>
      <c r="B384" s="962">
        <v>384</v>
      </c>
      <c r="C384" s="1361" t="s">
        <v>2073</v>
      </c>
    </row>
    <row r="385" spans="1:3">
      <c r="A385" s="1359">
        <f>IF(A384=0,1,VLOOKUP(A384,Eté!$Q$11:$R$15,2,FALSE))-1</f>
        <v>0</v>
      </c>
      <c r="B385" s="962">
        <v>385</v>
      </c>
      <c r="C385" s="1361" t="s">
        <v>2208</v>
      </c>
    </row>
    <row r="386" spans="1:3">
      <c r="A386" s="963">
        <f>Eté!L19</f>
        <v>0</v>
      </c>
      <c r="B386" s="962">
        <v>386</v>
      </c>
      <c r="C386" s="1361" t="s">
        <v>2074</v>
      </c>
    </row>
    <row r="387" spans="1:3">
      <c r="A387" s="1359">
        <f>IF(A386=0,1,VLOOKUP(A386,Eté!$Q$11:$R$15,2,FALSE))-1</f>
        <v>0</v>
      </c>
      <c r="B387" s="962">
        <v>387</v>
      </c>
      <c r="C387" s="1361" t="s">
        <v>2205</v>
      </c>
    </row>
    <row r="388" spans="1:3">
      <c r="A388" s="963">
        <f>Eté!B20</f>
        <v>0</v>
      </c>
      <c r="B388" s="962">
        <v>388</v>
      </c>
      <c r="C388" s="1361" t="s">
        <v>2075</v>
      </c>
    </row>
    <row r="389" spans="1:3">
      <c r="A389" s="963">
        <f>Eté!I21</f>
        <v>0</v>
      </c>
      <c r="B389" s="962">
        <v>389</v>
      </c>
      <c r="C389" s="1361" t="s">
        <v>3397</v>
      </c>
    </row>
    <row r="390" spans="1:3">
      <c r="A390" s="1359">
        <f>IF(A389=0,1,VLOOKUP(A389,Eté!$P$11:$S$14,4,FALSE))-1</f>
        <v>0</v>
      </c>
      <c r="B390" s="962">
        <v>390</v>
      </c>
      <c r="C390" s="1361" t="s">
        <v>3398</v>
      </c>
    </row>
    <row r="391" spans="1:3">
      <c r="A391" s="963">
        <f>Eté!J21</f>
        <v>0</v>
      </c>
      <c r="B391" s="962">
        <v>391</v>
      </c>
      <c r="C391" s="1361" t="s">
        <v>3399</v>
      </c>
    </row>
    <row r="392" spans="1:3">
      <c r="A392" s="1359">
        <f>IF(A391=0,1,VLOOKUP(A391,Eté!$P$11:$S$14,4,FALSE))-1</f>
        <v>0</v>
      </c>
      <c r="B392" s="962">
        <v>392</v>
      </c>
      <c r="C392" s="1361" t="s">
        <v>3400</v>
      </c>
    </row>
    <row r="393" spans="1:3">
      <c r="A393" s="963">
        <f>Eté!K21</f>
        <v>0</v>
      </c>
      <c r="B393" s="962">
        <v>393</v>
      </c>
      <c r="C393" s="1361" t="s">
        <v>3401</v>
      </c>
    </row>
    <row r="394" spans="1:3">
      <c r="A394" s="1359">
        <f>IF(A393=0,1,VLOOKUP(A393,Eté!$P$11:$S$14,4,FALSE))-1</f>
        <v>0</v>
      </c>
      <c r="B394" s="962">
        <v>394</v>
      </c>
      <c r="C394" s="1361" t="s">
        <v>3402</v>
      </c>
    </row>
    <row r="395" spans="1:3">
      <c r="A395" s="963">
        <f>Eté!L21</f>
        <v>0</v>
      </c>
      <c r="B395" s="962">
        <v>395</v>
      </c>
      <c r="C395" s="1361" t="s">
        <v>3403</v>
      </c>
    </row>
    <row r="396" spans="1:3">
      <c r="A396" s="1359">
        <f>IF(A395=0,1,VLOOKUP(A395,Eté!$P$11:$S$14,4,FALSE))-1</f>
        <v>0</v>
      </c>
      <c r="B396" s="962">
        <v>396</v>
      </c>
      <c r="C396" s="1361" t="s">
        <v>3404</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Eté!I23</f>
        <v>0</v>
      </c>
      <c r="B405" s="962">
        <v>405</v>
      </c>
      <c r="C405" s="1361" t="s">
        <v>3421</v>
      </c>
    </row>
    <row r="406" spans="1:3">
      <c r="A406" s="1359">
        <f>IF(A405=0,1,VLOOKUP(A405,Eté!$P$11:$S$14,4,FALSE))-1</f>
        <v>0</v>
      </c>
      <c r="B406" s="962">
        <v>406</v>
      </c>
      <c r="C406" s="1361" t="s">
        <v>3422</v>
      </c>
    </row>
    <row r="407" spans="1:3">
      <c r="A407" s="963">
        <f>Eté!J23</f>
        <v>0</v>
      </c>
      <c r="B407" s="962">
        <v>407</v>
      </c>
      <c r="C407" s="1361" t="s">
        <v>3423</v>
      </c>
    </row>
    <row r="408" spans="1:3">
      <c r="A408" s="1359">
        <f>IF(A407=0,1,VLOOKUP(A407,Eté!$P$11:$S$14,4,FALSE))-1</f>
        <v>0</v>
      </c>
      <c r="B408" s="962">
        <v>408</v>
      </c>
      <c r="C408" s="1361" t="s">
        <v>3424</v>
      </c>
    </row>
    <row r="409" spans="1:3">
      <c r="A409" s="963">
        <f>Eté!K23</f>
        <v>0</v>
      </c>
      <c r="B409" s="962">
        <v>409</v>
      </c>
      <c r="C409" s="1361" t="s">
        <v>3425</v>
      </c>
    </row>
    <row r="410" spans="1:3">
      <c r="A410" s="1359">
        <f>IF(A409=0,1,VLOOKUP(A409,Eté!$P$11:$S$14,4,FALSE))-1</f>
        <v>0</v>
      </c>
      <c r="B410" s="962">
        <v>410</v>
      </c>
      <c r="C410" s="1361" t="s">
        <v>3426</v>
      </c>
    </row>
    <row r="411" spans="1:3">
      <c r="A411" s="963">
        <f>Eté!L23</f>
        <v>0</v>
      </c>
      <c r="B411" s="962">
        <v>411</v>
      </c>
      <c r="C411" s="1361" t="s">
        <v>3427</v>
      </c>
    </row>
    <row r="412" spans="1:3">
      <c r="A412" s="1359">
        <f>IF(A411=0,1,VLOOKUP(A411,Eté!$P$11:$S$14,4,FALSE))-1</f>
        <v>0</v>
      </c>
      <c r="B412" s="962">
        <v>412</v>
      </c>
      <c r="C412" s="1361" t="s">
        <v>3428</v>
      </c>
    </row>
    <row r="413" spans="1:3">
      <c r="A413" s="963">
        <f>Eté!I25</f>
        <v>0</v>
      </c>
      <c r="B413" s="962">
        <v>413</v>
      </c>
      <c r="C413" s="1361" t="s">
        <v>3413</v>
      </c>
    </row>
    <row r="414" spans="1:3">
      <c r="A414" s="1359">
        <f>IF(A413=0,1,VLOOKUP(A413,Eté!$P$11:$S$14,4,FALSE))-1</f>
        <v>0</v>
      </c>
      <c r="B414" s="962">
        <v>414</v>
      </c>
      <c r="C414" s="1361" t="s">
        <v>3414</v>
      </c>
    </row>
    <row r="415" spans="1:3">
      <c r="A415" s="963">
        <f>Eté!J25</f>
        <v>0</v>
      </c>
      <c r="B415" s="962">
        <v>415</v>
      </c>
      <c r="C415" s="1361" t="s">
        <v>3415</v>
      </c>
    </row>
    <row r="416" spans="1:3">
      <c r="A416" s="1359">
        <f>IF(A415=0,1,VLOOKUP(A415,Eté!$P$11:$S$14,4,FALSE))-1</f>
        <v>0</v>
      </c>
      <c r="B416" s="962">
        <v>416</v>
      </c>
      <c r="C416" s="1361" t="s">
        <v>3416</v>
      </c>
    </row>
    <row r="417" spans="1:9">
      <c r="A417" s="963">
        <f>Eté!K25</f>
        <v>0</v>
      </c>
      <c r="B417" s="962">
        <v>417</v>
      </c>
      <c r="C417" s="1361" t="s">
        <v>3417</v>
      </c>
    </row>
    <row r="418" spans="1:9">
      <c r="A418" s="1359">
        <f>IF(A417=0,1,VLOOKUP(A417,Eté!$P$11:$S$14,4,FALSE))-1</f>
        <v>0</v>
      </c>
      <c r="B418" s="962">
        <v>418</v>
      </c>
      <c r="C418" s="1361" t="s">
        <v>3418</v>
      </c>
    </row>
    <row r="419" spans="1:9">
      <c r="A419" s="963">
        <f>Eté!L25</f>
        <v>0</v>
      </c>
      <c r="B419" s="962">
        <v>419</v>
      </c>
      <c r="C419" s="1361" t="s">
        <v>3419</v>
      </c>
    </row>
    <row r="420" spans="1:9">
      <c r="A420" s="1359">
        <f>IF(A419=0,1,VLOOKUP(A419,Eté!$P$11:$S$14,4,FALSE))-1</f>
        <v>0</v>
      </c>
      <c r="B420" s="962">
        <v>420</v>
      </c>
      <c r="C420" s="1361" t="s">
        <v>3420</v>
      </c>
    </row>
    <row r="421" spans="1:9">
      <c r="A421" s="963">
        <f>Eté!I27</f>
        <v>0</v>
      </c>
      <c r="B421" s="962">
        <v>421</v>
      </c>
      <c r="C421" s="1361" t="s">
        <v>3405</v>
      </c>
      <c r="D421" s="1356"/>
      <c r="E421" s="1356"/>
      <c r="F421" s="1356"/>
      <c r="G421" s="1356"/>
      <c r="H421" s="1356"/>
      <c r="I421" s="1356"/>
    </row>
    <row r="422" spans="1:9">
      <c r="A422" s="1359">
        <f>IF(A421=0,1,VLOOKUP(A421,Eté!$P$11:$S$14,4,FALSE))-1</f>
        <v>0</v>
      </c>
      <c r="B422" s="962">
        <v>422</v>
      </c>
      <c r="C422" s="1361" t="s">
        <v>3409</v>
      </c>
    </row>
    <row r="423" spans="1:9">
      <c r="A423" s="963">
        <f>Eté!J27</f>
        <v>0</v>
      </c>
      <c r="B423" s="962">
        <v>423</v>
      </c>
      <c r="C423" s="1361" t="s">
        <v>3408</v>
      </c>
    </row>
    <row r="424" spans="1:9">
      <c r="A424" s="1359">
        <f>IF(A423=0,1,VLOOKUP(A423,Eté!$P$11:$S$14,4,FALSE))-1</f>
        <v>0</v>
      </c>
      <c r="B424" s="962">
        <v>424</v>
      </c>
      <c r="C424" s="1361" t="s">
        <v>3412</v>
      </c>
    </row>
    <row r="425" spans="1:9">
      <c r="A425" s="963">
        <f>Eté!K27</f>
        <v>0</v>
      </c>
      <c r="B425" s="962">
        <v>425</v>
      </c>
      <c r="C425" s="1361" t="s">
        <v>3407</v>
      </c>
    </row>
    <row r="426" spans="1:9">
      <c r="A426" s="1359">
        <f>IF(A425=0,1,VLOOKUP(A425,Eté!$P$11:$S$14,4,FALSE))-1</f>
        <v>0</v>
      </c>
      <c r="B426" s="962">
        <v>426</v>
      </c>
      <c r="C426" s="1361" t="s">
        <v>3411</v>
      </c>
    </row>
    <row r="427" spans="1:9">
      <c r="A427" s="963">
        <f>Eté!L27</f>
        <v>0</v>
      </c>
      <c r="B427" s="962">
        <v>427</v>
      </c>
      <c r="C427" s="1361" t="s">
        <v>3406</v>
      </c>
    </row>
    <row r="428" spans="1:9">
      <c r="A428" s="1359">
        <f>IF(A427=0,1,VLOOKUP(A427,Eté!$P$11:$S$14,4,FALSE))-1</f>
        <v>0</v>
      </c>
      <c r="B428" s="962">
        <v>428</v>
      </c>
      <c r="C428" s="1361" t="s">
        <v>3410</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Eté!I35</f>
        <v>0</v>
      </c>
      <c r="B437" s="962">
        <v>437</v>
      </c>
      <c r="C437" s="1361" t="s">
        <v>3388</v>
      </c>
      <c r="D437" s="1356"/>
      <c r="E437" s="1356"/>
      <c r="F437" s="1356"/>
      <c r="G437" s="1356"/>
      <c r="H437" s="1356"/>
    </row>
    <row r="438" spans="1:8">
      <c r="A438" s="1359">
        <f>IF(A437=0,1,VLOOKUP(A437,Eté!$P$11:$S$14,4,FALSE))-1</f>
        <v>0</v>
      </c>
      <c r="B438" s="962">
        <v>438</v>
      </c>
      <c r="C438" s="1361" t="s">
        <v>3389</v>
      </c>
    </row>
    <row r="439" spans="1:8">
      <c r="A439" s="963">
        <f>Eté!J35</f>
        <v>0</v>
      </c>
      <c r="B439" s="962">
        <v>439</v>
      </c>
      <c r="C439" s="1361" t="s">
        <v>3390</v>
      </c>
    </row>
    <row r="440" spans="1:8">
      <c r="A440" s="1359">
        <f>IF(A439=0,1,VLOOKUP(A439,Eté!$P$11:$S$14,4,FALSE))-1</f>
        <v>0</v>
      </c>
      <c r="B440" s="962">
        <v>440</v>
      </c>
      <c r="C440" s="1361" t="s">
        <v>3391</v>
      </c>
    </row>
    <row r="441" spans="1:8">
      <c r="A441" s="963">
        <f>Eté!K35</f>
        <v>0</v>
      </c>
      <c r="B441" s="962">
        <v>441</v>
      </c>
      <c r="C441" s="1361" t="s">
        <v>3392</v>
      </c>
    </row>
    <row r="442" spans="1:8">
      <c r="A442" s="1359">
        <f>IF(A441=0,1,VLOOKUP(A441,Eté!$P$11:$S$14,4,FALSE))-1</f>
        <v>0</v>
      </c>
      <c r="B442" s="962">
        <v>442</v>
      </c>
      <c r="C442" s="1361" t="s">
        <v>3393</v>
      </c>
    </row>
    <row r="443" spans="1:8">
      <c r="A443" s="963">
        <f>Eté!L35</f>
        <v>0</v>
      </c>
      <c r="B443" s="962">
        <v>443</v>
      </c>
      <c r="C443" s="1361" t="s">
        <v>3394</v>
      </c>
    </row>
    <row r="444" spans="1:8">
      <c r="A444" s="1359">
        <f>IF(A443=0,1,VLOOKUP(A443,Eté!$P$11:$S$14,4,FALSE))-1</f>
        <v>0</v>
      </c>
      <c r="B444" s="962">
        <v>444</v>
      </c>
      <c r="C444" s="1361" t="s">
        <v>3395</v>
      </c>
    </row>
    <row r="445" spans="1:8">
      <c r="A445" s="963">
        <f>Eté!B43</f>
        <v>0</v>
      </c>
      <c r="B445" s="962">
        <v>445</v>
      </c>
      <c r="C445" s="1361" t="s">
        <v>2076</v>
      </c>
    </row>
    <row r="446" spans="1:8">
      <c r="A446" s="1359">
        <f>Eté!I47</f>
        <v>0</v>
      </c>
      <c r="B446" s="962">
        <v>446</v>
      </c>
      <c r="C446" s="1361" t="s">
        <v>2077</v>
      </c>
    </row>
    <row r="447" spans="1:8">
      <c r="A447" s="1359">
        <f>IF(A446=0,1,VLOOKUP(A446,Eté!$P$11:$S$14,4,FALSE))-1</f>
        <v>0</v>
      </c>
      <c r="B447" s="962">
        <v>447</v>
      </c>
      <c r="C447" s="1361" t="s">
        <v>2214</v>
      </c>
    </row>
    <row r="448" spans="1:8">
      <c r="A448" s="963">
        <f>Eté!J47</f>
        <v>0</v>
      </c>
      <c r="B448" s="962">
        <v>448</v>
      </c>
      <c r="C448" s="1361" t="s">
        <v>2078</v>
      </c>
    </row>
    <row r="449" spans="1:3">
      <c r="A449" s="1359">
        <f>IF(A448=0,1,VLOOKUP(A448,Eté!$P$11:$S$14,4,FALSE))-1</f>
        <v>0</v>
      </c>
      <c r="B449" s="962">
        <v>449</v>
      </c>
      <c r="C449" s="1361" t="s">
        <v>2215</v>
      </c>
    </row>
    <row r="450" spans="1:3">
      <c r="A450" s="963">
        <f>Eté!K47</f>
        <v>0</v>
      </c>
      <c r="B450" s="962">
        <v>450</v>
      </c>
      <c r="C450" s="1361" t="s">
        <v>2079</v>
      </c>
    </row>
    <row r="451" spans="1:3">
      <c r="A451" s="1359">
        <f>IF(A450=0,1,VLOOKUP(A450,Eté!$P$11:$S$14,4,FALSE))-1</f>
        <v>0</v>
      </c>
      <c r="B451" s="962">
        <v>451</v>
      </c>
      <c r="C451" s="1361" t="s">
        <v>2216</v>
      </c>
    </row>
    <row r="452" spans="1:3">
      <c r="A452" s="963">
        <f>Eté!L47</f>
        <v>0</v>
      </c>
      <c r="B452" s="962">
        <v>452</v>
      </c>
      <c r="C452" s="1361" t="s">
        <v>2080</v>
      </c>
    </row>
    <row r="453" spans="1:3">
      <c r="A453" s="1359">
        <f>IF(A452=0,1,VLOOKUP(A452,Eté!$P$11:$S$14,4,FALSE))-1</f>
        <v>0</v>
      </c>
      <c r="B453" s="962">
        <v>453</v>
      </c>
      <c r="C453" s="1361" t="s">
        <v>2213</v>
      </c>
    </row>
    <row r="454" spans="1:3">
      <c r="A454" s="963">
        <f>Eté!I48</f>
        <v>0</v>
      </c>
      <c r="B454" s="962">
        <v>454</v>
      </c>
      <c r="C454" s="1361" t="s">
        <v>2081</v>
      </c>
    </row>
    <row r="455" spans="1:3">
      <c r="A455" s="1359">
        <f>IF(A454=0,1,VLOOKUP(A454,Eté!$P$11:$S$14,4,FALSE))-1</f>
        <v>0</v>
      </c>
      <c r="B455" s="962">
        <v>455</v>
      </c>
      <c r="C455" s="1361" t="s">
        <v>2212</v>
      </c>
    </row>
    <row r="456" spans="1:3">
      <c r="A456" s="963">
        <f>Eté!J48</f>
        <v>0</v>
      </c>
      <c r="B456" s="962">
        <v>456</v>
      </c>
      <c r="C456" s="1361" t="s">
        <v>2082</v>
      </c>
    </row>
    <row r="457" spans="1:3">
      <c r="A457" s="1359">
        <f>IF(A456=0,1,VLOOKUP(A456,Eté!$P$11:$S$14,4,FALSE))-1</f>
        <v>0</v>
      </c>
      <c r="B457" s="962">
        <v>457</v>
      </c>
      <c r="C457" s="1361" t="s">
        <v>2211</v>
      </c>
    </row>
    <row r="458" spans="1:3">
      <c r="A458" s="963">
        <f>Eté!K48</f>
        <v>0</v>
      </c>
      <c r="B458" s="962">
        <v>458</v>
      </c>
      <c r="C458" s="1361" t="s">
        <v>2083</v>
      </c>
    </row>
    <row r="459" spans="1:3">
      <c r="A459" s="1359">
        <f>IF(A458=0,1,VLOOKUP(A458,Eté!$P$11:$S$14,4,FALSE))-1</f>
        <v>0</v>
      </c>
      <c r="B459" s="962">
        <v>459</v>
      </c>
      <c r="C459" s="1361" t="s">
        <v>2210</v>
      </c>
    </row>
    <row r="460" spans="1:3">
      <c r="A460" s="963">
        <f>Eté!L48</f>
        <v>0</v>
      </c>
      <c r="B460" s="962">
        <v>460</v>
      </c>
      <c r="C460" s="1361" t="s">
        <v>2084</v>
      </c>
    </row>
    <row r="461" spans="1:3">
      <c r="A461" s="1359">
        <f>IF(A460=0,1,VLOOKUP(A460,Eté!$P$11:$S$14,4,FALSE))-1</f>
        <v>0</v>
      </c>
      <c r="B461" s="962">
        <v>461</v>
      </c>
      <c r="C461" s="1361" t="s">
        <v>2209</v>
      </c>
    </row>
    <row r="462" spans="1:3">
      <c r="A462" s="963">
        <f>IF(Kategorie1=1,0,Eté!I52)</f>
        <v>0</v>
      </c>
      <c r="B462" s="962">
        <v>462</v>
      </c>
      <c r="C462" s="1361" t="s">
        <v>3445</v>
      </c>
    </row>
    <row r="463" spans="1:3">
      <c r="A463" s="1359">
        <f>IF(A462=0,1,VLOOKUP(A462,Eté!$P$11:$S$14,4,FALSE))-1</f>
        <v>0</v>
      </c>
      <c r="B463" s="962">
        <v>463</v>
      </c>
      <c r="C463" s="1361" t="s">
        <v>3449</v>
      </c>
    </row>
    <row r="464" spans="1:3">
      <c r="A464" s="963">
        <f>IF(Kategorie2=1,0,Eté!J52)</f>
        <v>0</v>
      </c>
      <c r="B464" s="962">
        <v>464</v>
      </c>
      <c r="C464" s="1361" t="s">
        <v>3446</v>
      </c>
    </row>
    <row r="465" spans="1:8">
      <c r="A465" s="1359">
        <f>IF(A464=0,1,VLOOKUP(A464,Eté!$P$11:$S$14,4,FALSE))-1</f>
        <v>0</v>
      </c>
      <c r="B465" s="962">
        <v>465</v>
      </c>
      <c r="C465" s="1361" t="s">
        <v>3452</v>
      </c>
    </row>
    <row r="466" spans="1:8">
      <c r="A466" s="963">
        <f>IF(Kategorie3=1,0,Eté!K52)</f>
        <v>0</v>
      </c>
      <c r="B466" s="962">
        <v>466</v>
      </c>
      <c r="C466" s="1361" t="s">
        <v>3447</v>
      </c>
    </row>
    <row r="467" spans="1:8">
      <c r="A467" s="1359">
        <f>IF(A466=0,1,VLOOKUP(A466,Eté!$P$11:$S$14,4,FALSE))-1</f>
        <v>0</v>
      </c>
      <c r="B467" s="962">
        <v>467</v>
      </c>
      <c r="C467" s="1361" t="s">
        <v>3451</v>
      </c>
    </row>
    <row r="468" spans="1:8">
      <c r="A468" s="963">
        <f>IF(Kategorie4=1,0,Eté!L52)</f>
        <v>0</v>
      </c>
      <c r="B468" s="962">
        <v>468</v>
      </c>
      <c r="C468" s="1361" t="s">
        <v>3448</v>
      </c>
    </row>
    <row r="469" spans="1:8">
      <c r="A469" s="965">
        <f>IF(A468=0,1,VLOOKUP(A468,Eté!$P$11:$S$14,4,FALSE))-1</f>
        <v>0</v>
      </c>
      <c r="B469" s="1365">
        <v>469</v>
      </c>
      <c r="C469" s="1362" t="s">
        <v>3450</v>
      </c>
      <c r="D469" s="966"/>
      <c r="E469" s="966"/>
      <c r="F469" s="966"/>
      <c r="G469" s="966"/>
      <c r="H469" s="966"/>
    </row>
    <row r="470" spans="1:8">
      <c r="A470" s="963">
        <f>Aperçu!F30</f>
        <v>0</v>
      </c>
      <c r="B470" s="962">
        <v>470</v>
      </c>
      <c r="C470" s="1361" t="s">
        <v>2086</v>
      </c>
    </row>
    <row r="471" spans="1:8">
      <c r="A471" s="963">
        <f>Aperçu!H30</f>
        <v>0</v>
      </c>
      <c r="B471" s="962">
        <v>471</v>
      </c>
      <c r="C471" s="1361" t="s">
        <v>2092</v>
      </c>
    </row>
    <row r="472" spans="1:8">
      <c r="A472" s="968" t="str">
        <f>Aperçu!K30</f>
        <v>non</v>
      </c>
      <c r="B472" s="962">
        <v>472</v>
      </c>
      <c r="C472" s="1361" t="s">
        <v>2087</v>
      </c>
    </row>
    <row r="473" spans="1:8">
      <c r="A473" s="1359">
        <f>IF(A472=0,1,VLOOKUP(A472,Eté!$P$11:$S$14,4,FALSE))-1</f>
        <v>2</v>
      </c>
      <c r="B473" s="962">
        <v>473</v>
      </c>
      <c r="C473" s="1361" t="s">
        <v>2217</v>
      </c>
    </row>
    <row r="474" spans="1:8">
      <c r="A474" s="963" t="str">
        <f>Aperçu!F31</f>
        <v>Pas d’exigence</v>
      </c>
      <c r="B474" s="962">
        <v>474</v>
      </c>
      <c r="C474" s="1361" t="s">
        <v>2088</v>
      </c>
    </row>
    <row r="475" spans="1:8">
      <c r="A475" s="963">
        <f>Aperçu!H31</f>
        <v>0</v>
      </c>
      <c r="B475" s="962">
        <v>475</v>
      </c>
      <c r="C475" s="1361" t="s">
        <v>2089</v>
      </c>
    </row>
    <row r="476" spans="1:8">
      <c r="A476" s="963">
        <f>Aperçu!F37</f>
        <v>0</v>
      </c>
      <c r="B476" s="962">
        <v>476</v>
      </c>
      <c r="C476" s="1361" t="s">
        <v>2090</v>
      </c>
    </row>
    <row r="477" spans="1:8">
      <c r="A477" s="963">
        <f>Aperçu!H37</f>
        <v>0</v>
      </c>
      <c r="B477" s="962">
        <v>477</v>
      </c>
      <c r="C477" s="1361" t="s">
        <v>2091</v>
      </c>
    </row>
    <row r="478" spans="1:8">
      <c r="A478" s="963">
        <f>Aperçu!K37</f>
        <v>0</v>
      </c>
      <c r="B478" s="962">
        <v>478</v>
      </c>
      <c r="C478" s="1361" t="s">
        <v>2093</v>
      </c>
    </row>
    <row r="479" spans="1:8">
      <c r="A479" s="1359">
        <f>IF(A478=0,1,VLOOKUP(A478,Eté!$P$11:$S$14,4,FALSE))-1</f>
        <v>0</v>
      </c>
      <c r="B479" s="962">
        <v>479</v>
      </c>
      <c r="C479" s="1361" t="s">
        <v>2218</v>
      </c>
    </row>
    <row r="480" spans="1:8">
      <c r="A480" s="963">
        <f>Aperçu!F38</f>
        <v>0</v>
      </c>
      <c r="B480" s="962">
        <v>480</v>
      </c>
      <c r="C480" s="1361" t="s">
        <v>2094</v>
      </c>
    </row>
    <row r="481" spans="1:8">
      <c r="A481" s="963">
        <f>Aperçu!H38</f>
        <v>0</v>
      </c>
      <c r="B481" s="962">
        <v>481</v>
      </c>
      <c r="C481" s="1361" t="s">
        <v>2095</v>
      </c>
    </row>
    <row r="482" spans="1:8">
      <c r="A482" s="963" t="str">
        <f>Aperçu!K38</f>
        <v>non</v>
      </c>
      <c r="B482" s="962">
        <v>482</v>
      </c>
      <c r="C482" s="1361" t="s">
        <v>2096</v>
      </c>
    </row>
    <row r="483" spans="1:8">
      <c r="A483" s="1359">
        <f>IF(A482=0,1,VLOOKUP(A482,Eté!$P$11:$S$14,4,FALSE))-1</f>
        <v>2</v>
      </c>
      <c r="B483" s="962">
        <v>483</v>
      </c>
      <c r="C483" s="1361" t="s">
        <v>2219</v>
      </c>
    </row>
    <row r="484" spans="1:8">
      <c r="A484" s="963">
        <f>Aperçu!F39</f>
        <v>0</v>
      </c>
      <c r="B484" s="962">
        <v>484</v>
      </c>
      <c r="C484" s="1361" t="s">
        <v>2097</v>
      </c>
    </row>
    <row r="485" spans="1:8">
      <c r="A485" s="963">
        <f>Aperçu!H39</f>
        <v>0</v>
      </c>
      <c r="B485" s="962">
        <v>485</v>
      </c>
      <c r="C485" s="1361" t="s">
        <v>2098</v>
      </c>
    </row>
    <row r="486" spans="1:8">
      <c r="A486" s="963" t="str">
        <f>Aperçu!K39</f>
        <v/>
      </c>
      <c r="B486" s="962">
        <v>486</v>
      </c>
      <c r="C486" s="1361" t="s">
        <v>2099</v>
      </c>
      <c r="G486" t="str">
        <f>A486&amp;"ss"</f>
        <v>ss</v>
      </c>
    </row>
    <row r="487" spans="1:8">
      <c r="A487" s="965">
        <f>IF(OR(A486=0,A486=""),1,VLOOKUP(A486,Eté!$P$11:$S$14,4,FALSE))-1</f>
        <v>0</v>
      </c>
      <c r="B487" s="1365">
        <v>487</v>
      </c>
      <c r="C487" s="1362" t="s">
        <v>2220</v>
      </c>
      <c r="D487" s="966"/>
      <c r="E487" s="966"/>
      <c r="F487" s="966"/>
      <c r="G487" s="966"/>
      <c r="H487" s="966"/>
    </row>
    <row r="488" spans="1:8">
      <c r="A488" s="963">
        <f>Entrées!C51</f>
        <v>0</v>
      </c>
      <c r="B488" s="962">
        <v>488</v>
      </c>
      <c r="C488" s="954" t="s">
        <v>2100</v>
      </c>
    </row>
    <row r="489" spans="1:8">
      <c r="A489" s="963">
        <f>Entrées!C55</f>
        <v>0</v>
      </c>
      <c r="B489" s="962">
        <v>489</v>
      </c>
      <c r="C489" s="954" t="s">
        <v>2102</v>
      </c>
    </row>
    <row r="490" spans="1:8">
      <c r="A490" s="963">
        <f>Entrées!C57</f>
        <v>0</v>
      </c>
      <c r="B490" s="962">
        <v>490</v>
      </c>
      <c r="C490" s="954" t="s">
        <v>2105</v>
      </c>
    </row>
    <row r="491" spans="1:8">
      <c r="A491" s="963">
        <f>Entrées!G51</f>
        <v>0</v>
      </c>
      <c r="B491" s="962">
        <v>491</v>
      </c>
      <c r="C491" s="954" t="s">
        <v>2101</v>
      </c>
    </row>
    <row r="492" spans="1:8">
      <c r="A492" s="963">
        <f>Entrées!G55</f>
        <v>0</v>
      </c>
      <c r="B492" s="962">
        <v>492</v>
      </c>
      <c r="C492" s="954" t="s">
        <v>2103</v>
      </c>
    </row>
    <row r="493" spans="1:8">
      <c r="A493" s="963">
        <f>Entrées!G57</f>
        <v>0</v>
      </c>
      <c r="B493" s="962">
        <v>493</v>
      </c>
      <c r="C493" s="954" t="s">
        <v>2104</v>
      </c>
    </row>
    <row r="494" spans="1:8">
      <c r="A494" s="963">
        <f>Entrées!D60</f>
        <v>0</v>
      </c>
      <c r="B494" s="962">
        <v>494</v>
      </c>
      <c r="C494" s="954" t="s">
        <v>2106</v>
      </c>
    </row>
    <row r="495" spans="1:8">
      <c r="A495" s="1359">
        <f>IF(A494=0,1,VLOOKUP(A494,Eté!$P$11:$S$14,4,FALSE))-1</f>
        <v>0</v>
      </c>
      <c r="B495" s="962">
        <v>495</v>
      </c>
      <c r="C495" s="954" t="s">
        <v>2221</v>
      </c>
    </row>
    <row r="496" spans="1:8">
      <c r="A496" s="965">
        <f>Entrées!G60</f>
        <v>0</v>
      </c>
      <c r="B496" s="1365">
        <v>496</v>
      </c>
      <c r="C496" s="1363" t="s">
        <v>2107</v>
      </c>
      <c r="D496" s="966"/>
      <c r="E496" s="966"/>
      <c r="F496" s="966"/>
      <c r="G496" s="966"/>
      <c r="H496" s="966"/>
    </row>
    <row r="497" spans="1:3">
      <c r="A497" s="963">
        <f>Justificatif!AL45</f>
        <v>0</v>
      </c>
      <c r="B497" s="963">
        <v>497</v>
      </c>
      <c r="C497" s="954" t="s">
        <v>2240</v>
      </c>
    </row>
    <row r="498" spans="1:3">
      <c r="A498" s="963">
        <f>MINERGIE!F41</f>
        <v>0</v>
      </c>
      <c r="B498" s="963">
        <v>498</v>
      </c>
      <c r="C498" s="1361" t="s">
        <v>2469</v>
      </c>
    </row>
    <row r="499" spans="1:3">
      <c r="A499" s="1359">
        <f>IF(A498=0,1,VLOOKUP(A498,Eté!$P$11:$S$14,4,FALSE))-1</f>
        <v>0</v>
      </c>
      <c r="B499" s="963">
        <v>499</v>
      </c>
      <c r="C499" s="1361" t="s">
        <v>2470</v>
      </c>
    </row>
    <row r="500" spans="1:3">
      <c r="A500" s="963">
        <f>MINERGIE!G41</f>
        <v>0</v>
      </c>
      <c r="B500" s="963">
        <v>500</v>
      </c>
      <c r="C500" s="1361" t="s">
        <v>2471</v>
      </c>
    </row>
    <row r="501" spans="1:3">
      <c r="A501" s="1359">
        <f>IF(A500=0,1,VLOOKUP(A500,Eté!$P$11:$S$14,4,FALSE))-1</f>
        <v>0</v>
      </c>
      <c r="B501" s="963">
        <v>501</v>
      </c>
      <c r="C501" s="1361" t="s">
        <v>2472</v>
      </c>
    </row>
    <row r="502" spans="1:3">
      <c r="A502" s="963">
        <f>MINERGIE!H41</f>
        <v>0</v>
      </c>
      <c r="B502" s="963">
        <v>502</v>
      </c>
      <c r="C502" s="1361" t="s">
        <v>2473</v>
      </c>
    </row>
    <row r="503" spans="1:3">
      <c r="A503" s="1359">
        <f>IF(A502=0,1,VLOOKUP(A502,Eté!$P$11:$S$14,4,FALSE))-1</f>
        <v>0</v>
      </c>
      <c r="B503" s="963">
        <v>503</v>
      </c>
      <c r="C503" s="1361" t="s">
        <v>2474</v>
      </c>
    </row>
    <row r="504" spans="1:3">
      <c r="A504" s="963">
        <f>MINERGIE!I41</f>
        <v>0</v>
      </c>
      <c r="B504" s="963">
        <v>504</v>
      </c>
      <c r="C504" s="1361" t="s">
        <v>2475</v>
      </c>
    </row>
    <row r="505" spans="1:3">
      <c r="A505" s="1359">
        <f>IF(A504=0,1,VLOOKUP(A504,Eté!$P$11:$S$14,4,FALSE))-1</f>
        <v>0</v>
      </c>
      <c r="B505" s="963">
        <v>505</v>
      </c>
      <c r="C505" s="1361" t="s">
        <v>2476</v>
      </c>
    </row>
    <row r="506" spans="1:3">
      <c r="A506" s="963">
        <f>Entrées!F19+Entrées!G19+Entrées!H19+Entrées!I19</f>
        <v>0</v>
      </c>
      <c r="B506" s="963">
        <v>506</v>
      </c>
      <c r="C506" s="1361" t="s">
        <v>2477</v>
      </c>
    </row>
    <row r="507" spans="1:3">
      <c r="A507" s="963" t="str">
        <f>Aperçu!K41</f>
        <v>non</v>
      </c>
      <c r="B507" s="963">
        <v>507</v>
      </c>
      <c r="C507" s="1361" t="s">
        <v>2483</v>
      </c>
    </row>
    <row r="508" spans="1:3">
      <c r="A508" s="1359">
        <f>IF(A507=0,1,VLOOKUP(A507,Eté!$P$11:$S$14,4,FALSE))-1</f>
        <v>2</v>
      </c>
      <c r="B508" s="963">
        <v>508</v>
      </c>
      <c r="C508" s="1361" t="s">
        <v>2484</v>
      </c>
    </row>
    <row r="509" spans="1:3">
      <c r="A509" s="963">
        <f>MINERGIE!S15</f>
        <v>0</v>
      </c>
      <c r="B509" s="963">
        <v>509</v>
      </c>
      <c r="C509" s="1361" t="s">
        <v>2490</v>
      </c>
    </row>
    <row r="510" spans="1:3">
      <c r="A510" s="963">
        <f>Aperçu!K48</f>
        <v>0</v>
      </c>
      <c r="B510" s="963">
        <v>510</v>
      </c>
      <c r="C510" s="1361" t="s">
        <v>2491</v>
      </c>
    </row>
    <row r="511" spans="1:3">
      <c r="A511" s="963">
        <f>Aperçu!K52</f>
        <v>0</v>
      </c>
      <c r="B511" s="963">
        <v>511</v>
      </c>
      <c r="C511" s="1361" t="s">
        <v>2492</v>
      </c>
    </row>
    <row r="512" spans="1:3">
      <c r="A512" s="963">
        <f>Aperçu!K54</f>
        <v>0</v>
      </c>
      <c r="B512" s="963">
        <v>512</v>
      </c>
      <c r="C512" s="1361" t="s">
        <v>2493</v>
      </c>
    </row>
    <row r="513" spans="1:3">
      <c r="A513" s="963">
        <f>Aperçu!K56</f>
        <v>0</v>
      </c>
      <c r="B513" s="963">
        <v>513</v>
      </c>
      <c r="C513" s="1361" t="s">
        <v>2494</v>
      </c>
    </row>
    <row r="514" spans="1:3">
      <c r="A514" s="963">
        <f>Aperçu!K58</f>
        <v>0</v>
      </c>
      <c r="B514" s="963">
        <v>514</v>
      </c>
      <c r="C514" s="1361" t="s">
        <v>2495</v>
      </c>
    </row>
    <row r="515" spans="1:3">
      <c r="A515" s="963">
        <f>Aperçu!K60</f>
        <v>0</v>
      </c>
      <c r="B515" s="963">
        <v>515</v>
      </c>
      <c r="C515" s="1361" t="s">
        <v>2496</v>
      </c>
    </row>
    <row r="516" spans="1:3">
      <c r="A516" s="963">
        <f>Aperçu!K62</f>
        <v>0</v>
      </c>
      <c r="B516" s="963">
        <v>516</v>
      </c>
      <c r="C516" s="1361" t="s">
        <v>2497</v>
      </c>
    </row>
    <row r="517" spans="1:3">
      <c r="A517" s="963">
        <f>Justificatif!L39</f>
        <v>0</v>
      </c>
      <c r="B517" s="963">
        <v>517</v>
      </c>
      <c r="C517" s="1361" t="s">
        <v>2498</v>
      </c>
    </row>
    <row r="518" spans="1:3">
      <c r="A518" s="963">
        <f>Justificatif!L40</f>
        <v>0</v>
      </c>
      <c r="B518" s="963">
        <v>518</v>
      </c>
      <c r="C518" s="1361" t="s">
        <v>2499</v>
      </c>
    </row>
    <row r="519" spans="1:3">
      <c r="A519" s="963">
        <f>Justificatif!I47</f>
        <v>0</v>
      </c>
      <c r="B519" s="963">
        <v>519</v>
      </c>
      <c r="C519" s="1361" t="s">
        <v>2505</v>
      </c>
    </row>
    <row r="520" spans="1:3">
      <c r="A520" s="963">
        <f>Justificatif!I48</f>
        <v>0</v>
      </c>
      <c r="B520" s="963">
        <v>520</v>
      </c>
      <c r="C520" s="1361" t="s">
        <v>2506</v>
      </c>
    </row>
    <row r="521" spans="1:3">
      <c r="A521" s="963">
        <f>Justificatif!I49</f>
        <v>0</v>
      </c>
      <c r="B521" s="963">
        <v>521</v>
      </c>
      <c r="C521" s="1361" t="s">
        <v>2507</v>
      </c>
    </row>
    <row r="522" spans="1:3">
      <c r="A522" s="963">
        <f>Justificatif!I50</f>
        <v>0</v>
      </c>
      <c r="B522" s="963">
        <v>522</v>
      </c>
      <c r="C522" s="1361" t="s">
        <v>2508</v>
      </c>
    </row>
    <row r="523" spans="1:3">
      <c r="A523" s="963">
        <f>Justificatif!I51</f>
        <v>0</v>
      </c>
      <c r="B523" s="963">
        <v>523</v>
      </c>
      <c r="C523" s="1361" t="s">
        <v>2509</v>
      </c>
    </row>
    <row r="524" spans="1:3">
      <c r="A524" s="963">
        <f>Justificatif!J47</f>
        <v>0</v>
      </c>
      <c r="B524" s="963">
        <v>524</v>
      </c>
      <c r="C524" s="1361" t="s">
        <v>2510</v>
      </c>
    </row>
    <row r="525" spans="1:3">
      <c r="A525" s="963">
        <f>Justificatif!J48</f>
        <v>0</v>
      </c>
      <c r="B525" s="963">
        <v>525</v>
      </c>
      <c r="C525" s="1361" t="s">
        <v>2514</v>
      </c>
    </row>
    <row r="526" spans="1:3">
      <c r="A526" s="963">
        <f>Justificatif!J49</f>
        <v>0</v>
      </c>
      <c r="B526" s="963">
        <v>526</v>
      </c>
      <c r="C526" s="1361" t="s">
        <v>2513</v>
      </c>
    </row>
    <row r="527" spans="1:3">
      <c r="A527" s="963">
        <f>Justificatif!J50</f>
        <v>0</v>
      </c>
      <c r="B527" s="963">
        <v>527</v>
      </c>
      <c r="C527" s="1361" t="s">
        <v>2512</v>
      </c>
    </row>
    <row r="528" spans="1:3">
      <c r="A528" s="963">
        <f>Justificatif!J51</f>
        <v>0</v>
      </c>
      <c r="B528" s="963">
        <v>528</v>
      </c>
      <c r="C528" s="1361" t="s">
        <v>2511</v>
      </c>
    </row>
    <row r="529" spans="1:3">
      <c r="A529" s="963">
        <f>Justificatif!I52</f>
        <v>0</v>
      </c>
      <c r="B529" s="963">
        <v>529</v>
      </c>
      <c r="C529" s="1361" t="s">
        <v>2515</v>
      </c>
    </row>
    <row r="530" spans="1:3">
      <c r="A530" s="963">
        <f>Justificatif!I53</f>
        <v>0</v>
      </c>
      <c r="B530" s="963">
        <v>530</v>
      </c>
      <c r="C530" s="1361" t="s">
        <v>2516</v>
      </c>
    </row>
    <row r="531" spans="1:3">
      <c r="A531" s="963">
        <f>Aperçu!F42</f>
        <v>0</v>
      </c>
      <c r="B531" s="963">
        <v>531</v>
      </c>
      <c r="C531" s="1361" t="s">
        <v>2568</v>
      </c>
    </row>
    <row r="532" spans="1:3">
      <c r="A532" s="963">
        <f>Aperçu!H42</f>
        <v>0</v>
      </c>
      <c r="B532" s="963">
        <v>532</v>
      </c>
      <c r="C532" s="1361" t="s">
        <v>2569</v>
      </c>
    </row>
    <row r="533" spans="1:3">
      <c r="A533" s="963" t="str">
        <f>Aperçu!K42</f>
        <v>non</v>
      </c>
      <c r="B533" s="963">
        <v>533</v>
      </c>
      <c r="C533" s="1361" t="s">
        <v>2570</v>
      </c>
    </row>
    <row r="534" spans="1:3">
      <c r="A534" s="1359">
        <f>IF(A533=0,1,VLOOKUP(A533,Eté!$P$11:$S$14,4,FALSE))-1</f>
        <v>2</v>
      </c>
      <c r="B534" s="963">
        <v>534</v>
      </c>
      <c r="C534" s="1361" t="s">
        <v>2571</v>
      </c>
    </row>
    <row r="535" spans="1:3">
      <c r="A535" s="963" t="str">
        <f>Aperçu!F43</f>
        <v/>
      </c>
      <c r="B535" s="963">
        <v>535</v>
      </c>
      <c r="C535" s="1361" t="s">
        <v>2572</v>
      </c>
    </row>
    <row r="536" spans="1:3">
      <c r="A536" s="963" t="str">
        <f>Aperçu!H43</f>
        <v/>
      </c>
      <c r="B536" s="963">
        <v>536</v>
      </c>
      <c r="C536" s="1361" t="s">
        <v>2573</v>
      </c>
    </row>
    <row r="537" spans="1:3">
      <c r="A537" s="963">
        <f>Aperçu!K43</f>
        <v>0</v>
      </c>
      <c r="B537" s="963">
        <v>537</v>
      </c>
      <c r="C537" s="1361" t="s">
        <v>2574</v>
      </c>
    </row>
    <row r="538" spans="1:3">
      <c r="A538" s="1359">
        <f>IF(OR(A537="",A537=0),1,VLOOKUP(A537,Eté!$P$11:$S$14,4,FALSE))-1</f>
        <v>0</v>
      </c>
      <c r="B538" s="963">
        <v>538</v>
      </c>
      <c r="C538" s="1361" t="s">
        <v>2575</v>
      </c>
    </row>
    <row r="539" spans="1:3">
      <c r="A539" s="968">
        <f>MINERGIE!F17</f>
        <v>0</v>
      </c>
      <c r="B539" s="963">
        <v>539</v>
      </c>
      <c r="C539" s="1361" t="s">
        <v>2616</v>
      </c>
    </row>
    <row r="540" spans="1:3">
      <c r="A540" s="968">
        <f>MINERGIE!G17</f>
        <v>0</v>
      </c>
      <c r="B540" s="963">
        <v>540</v>
      </c>
      <c r="C540" s="1361" t="s">
        <v>2617</v>
      </c>
    </row>
    <row r="541" spans="1:3">
      <c r="A541" s="968">
        <f>MINERGIE!H17</f>
        <v>0</v>
      </c>
      <c r="B541" s="963">
        <v>541</v>
      </c>
      <c r="C541" s="1361" t="s">
        <v>2618</v>
      </c>
    </row>
    <row r="542" spans="1:3">
      <c r="A542" s="968">
        <f>MINERGIE!I17</f>
        <v>0</v>
      </c>
      <c r="B542" s="963">
        <v>542</v>
      </c>
      <c r="C542" s="1361" t="s">
        <v>2619</v>
      </c>
    </row>
    <row r="543" spans="1:3">
      <c r="A543" s="963">
        <f>MINERGIE!F45</f>
        <v>0</v>
      </c>
      <c r="B543" s="963">
        <v>543</v>
      </c>
      <c r="C543" s="1361" t="s">
        <v>2702</v>
      </c>
    </row>
    <row r="544" spans="1:3">
      <c r="A544" s="963">
        <f>IF(A543=0,1,VLOOKUP(A543,MINERGIE!$N$11:$P$13,3,FALSE))-1</f>
        <v>0</v>
      </c>
      <c r="B544" s="963">
        <v>544</v>
      </c>
      <c r="C544" s="1361" t="s">
        <v>2706</v>
      </c>
    </row>
    <row r="545" spans="1:3">
      <c r="A545" s="963">
        <f>MINERGIE!G45</f>
        <v>0</v>
      </c>
      <c r="B545" s="963">
        <v>545</v>
      </c>
      <c r="C545" s="1361" t="s">
        <v>2703</v>
      </c>
    </row>
    <row r="546" spans="1:3">
      <c r="A546" s="963">
        <f>IF(A545=0,1,VLOOKUP(A545,MINERGIE!$N$11:$P$13,3,FALSE))-1</f>
        <v>0</v>
      </c>
      <c r="B546" s="963">
        <v>546</v>
      </c>
      <c r="C546" s="1361" t="s">
        <v>2707</v>
      </c>
    </row>
    <row r="547" spans="1:3">
      <c r="A547" s="963">
        <f>MINERGIE!H45</f>
        <v>0</v>
      </c>
      <c r="B547" s="963">
        <v>547</v>
      </c>
      <c r="C547" s="1361" t="s">
        <v>2704</v>
      </c>
    </row>
    <row r="548" spans="1:3">
      <c r="A548" s="963">
        <f>IF(A547=0,1,VLOOKUP(A547,MINERGIE!$N$11:$P$13,3,FALSE))-1</f>
        <v>0</v>
      </c>
      <c r="B548" s="963">
        <v>548</v>
      </c>
      <c r="C548" s="1361" t="s">
        <v>2708</v>
      </c>
    </row>
    <row r="549" spans="1:3">
      <c r="A549" s="963">
        <f>MINERGIE!I45</f>
        <v>0</v>
      </c>
      <c r="B549" s="963">
        <v>549</v>
      </c>
      <c r="C549" s="1361" t="s">
        <v>2705</v>
      </c>
    </row>
    <row r="550" spans="1:3">
      <c r="A550" s="963">
        <f>IF(A549=0,1,VLOOKUP(A549,MINERGIE!$N$11:$P$13,3,FALSE))-1</f>
        <v>0</v>
      </c>
      <c r="B550" s="963">
        <v>550</v>
      </c>
      <c r="C550" s="1361" t="s">
        <v>2709</v>
      </c>
    </row>
    <row r="551" spans="1:3">
      <c r="A551" s="963">
        <f>MINERGIE!O56</f>
        <v>0</v>
      </c>
      <c r="B551" s="963">
        <v>551</v>
      </c>
      <c r="C551" s="1361" t="s">
        <v>2710</v>
      </c>
    </row>
    <row r="552" spans="1:3">
      <c r="A552" s="963">
        <f>MINERGIE!P56</f>
        <v>0</v>
      </c>
      <c r="B552" s="963">
        <v>552</v>
      </c>
      <c r="C552" s="1361" t="s">
        <v>2711</v>
      </c>
    </row>
    <row r="553" spans="1:3">
      <c r="A553" s="963">
        <f>MINERGIE!Q56</f>
        <v>0</v>
      </c>
      <c r="B553" s="963">
        <v>553</v>
      </c>
      <c r="C553" s="1361" t="s">
        <v>2712</v>
      </c>
    </row>
    <row r="554" spans="1:3">
      <c r="A554" s="963">
        <f>MINERGIE!R56</f>
        <v>0</v>
      </c>
      <c r="B554" s="963">
        <v>554</v>
      </c>
      <c r="C554" s="1361" t="s">
        <v>2713</v>
      </c>
    </row>
    <row r="555" spans="1:3">
      <c r="A555" s="963">
        <f>MINERGIE!S56</f>
        <v>0</v>
      </c>
      <c r="B555" s="963">
        <v>555</v>
      </c>
      <c r="C555" s="1361" t="s">
        <v>2714</v>
      </c>
    </row>
    <row r="556" spans="1:3">
      <c r="A556" s="963">
        <f>MINERGIE!O100</f>
        <v>0</v>
      </c>
      <c r="B556" s="963">
        <v>556</v>
      </c>
      <c r="C556" s="1361" t="s">
        <v>2715</v>
      </c>
    </row>
    <row r="557" spans="1:3">
      <c r="A557" s="963">
        <f>MINERGIE!P100</f>
        <v>0</v>
      </c>
      <c r="B557" s="963">
        <v>557</v>
      </c>
      <c r="C557" s="1361" t="s">
        <v>2716</v>
      </c>
    </row>
    <row r="558" spans="1:3">
      <c r="A558" s="963">
        <f>MINERGIE!Q100</f>
        <v>0</v>
      </c>
      <c r="B558" s="963">
        <v>558</v>
      </c>
      <c r="C558" s="1361" t="s">
        <v>2717</v>
      </c>
    </row>
    <row r="559" spans="1:3">
      <c r="A559" s="963">
        <f>MINERGIE!R100</f>
        <v>0</v>
      </c>
      <c r="B559" s="963">
        <v>559</v>
      </c>
      <c r="C559" s="1361" t="s">
        <v>2718</v>
      </c>
    </row>
    <row r="560" spans="1:3">
      <c r="A560" s="963">
        <f>MINERGIE!S100</f>
        <v>0</v>
      </c>
      <c r="B560" s="963">
        <v>560</v>
      </c>
      <c r="C560" s="1361" t="s">
        <v>2719</v>
      </c>
    </row>
    <row r="561" spans="1:3">
      <c r="A561" s="963">
        <f>MINERGIE!O94</f>
        <v>0</v>
      </c>
      <c r="B561" s="963">
        <v>561</v>
      </c>
      <c r="C561" s="1361" t="s">
        <v>2720</v>
      </c>
    </row>
    <row r="562" spans="1:3">
      <c r="A562" s="963">
        <f>MINERGIE!P94</f>
        <v>0</v>
      </c>
      <c r="B562" s="963">
        <v>562</v>
      </c>
      <c r="C562" s="1361" t="s">
        <v>2721</v>
      </c>
    </row>
    <row r="563" spans="1:3">
      <c r="A563" s="963">
        <f>MINERGIE!Q94</f>
        <v>0</v>
      </c>
      <c r="B563" s="963">
        <v>563</v>
      </c>
      <c r="C563" s="1361" t="s">
        <v>2722</v>
      </c>
    </row>
    <row r="564" spans="1:3">
      <c r="A564" s="963">
        <f>MINERGIE!R94</f>
        <v>0</v>
      </c>
      <c r="B564" s="963">
        <v>564</v>
      </c>
      <c r="C564" s="1361" t="s">
        <v>2723</v>
      </c>
    </row>
    <row r="565" spans="1:3">
      <c r="A565" s="963">
        <f>MINERGIE!S94</f>
        <v>0</v>
      </c>
      <c r="B565" s="963">
        <v>565</v>
      </c>
      <c r="C565" s="1361" t="s">
        <v>2724</v>
      </c>
    </row>
    <row r="566" spans="1:3">
      <c r="A566" s="963">
        <f>MINERGIE!O68</f>
        <v>0</v>
      </c>
      <c r="B566" s="963">
        <v>566</v>
      </c>
      <c r="C566" s="1361" t="s">
        <v>2725</v>
      </c>
    </row>
    <row r="567" spans="1:3">
      <c r="A567" s="963">
        <f>MINERGIE!P68</f>
        <v>0</v>
      </c>
      <c r="B567" s="963">
        <v>567</v>
      </c>
      <c r="C567" s="1361" t="s">
        <v>2726</v>
      </c>
    </row>
    <row r="568" spans="1:3">
      <c r="A568" s="963">
        <f>MINERGIE!Q68</f>
        <v>0</v>
      </c>
      <c r="B568" s="963">
        <v>568</v>
      </c>
      <c r="C568" s="1361" t="s">
        <v>2727</v>
      </c>
    </row>
    <row r="569" spans="1:3">
      <c r="A569" s="963">
        <f>MINERGIE!R68</f>
        <v>0</v>
      </c>
      <c r="B569" s="963">
        <v>569</v>
      </c>
      <c r="C569" s="1361" t="s">
        <v>2728</v>
      </c>
    </row>
    <row r="570" spans="1:3">
      <c r="A570" s="963">
        <f>MINERGIE!S68</f>
        <v>0</v>
      </c>
      <c r="B570" s="963">
        <v>570</v>
      </c>
      <c r="C570" s="1361" t="s">
        <v>2729</v>
      </c>
    </row>
    <row r="571" spans="1:3">
      <c r="A571" s="963">
        <f>MINERGIE!O59</f>
        <v>0</v>
      </c>
      <c r="B571" s="963">
        <v>571</v>
      </c>
      <c r="C571" s="1361" t="s">
        <v>2730</v>
      </c>
    </row>
    <row r="572" spans="1:3">
      <c r="A572" s="963">
        <f>MINERGIE!P59</f>
        <v>0</v>
      </c>
      <c r="B572" s="963">
        <v>572</v>
      </c>
      <c r="C572" s="1361" t="s">
        <v>2731</v>
      </c>
    </row>
    <row r="573" spans="1:3">
      <c r="A573" s="963">
        <f>MINERGIE!Q59</f>
        <v>0</v>
      </c>
      <c r="B573" s="963">
        <v>573</v>
      </c>
      <c r="C573" s="1361" t="s">
        <v>2732</v>
      </c>
    </row>
    <row r="574" spans="1:3">
      <c r="A574" s="963">
        <f>MINERGIE!R59</f>
        <v>0</v>
      </c>
      <c r="B574" s="963">
        <v>574</v>
      </c>
      <c r="C574" s="1361" t="s">
        <v>2733</v>
      </c>
    </row>
    <row r="575" spans="1:3">
      <c r="A575" s="963">
        <f>MINERGIE!S59</f>
        <v>0</v>
      </c>
      <c r="B575" s="963">
        <v>575</v>
      </c>
      <c r="C575" s="1361" t="s">
        <v>2734</v>
      </c>
    </row>
    <row r="576" spans="1:3">
      <c r="A576" s="963">
        <f>MINERGIE!O44</f>
        <v>0</v>
      </c>
      <c r="B576" s="963">
        <v>576</v>
      </c>
      <c r="C576" s="1361" t="s">
        <v>2735</v>
      </c>
    </row>
    <row r="577" spans="1:3">
      <c r="A577" s="963">
        <f>MINERGIE!P44</f>
        <v>0</v>
      </c>
      <c r="B577" s="963">
        <v>577</v>
      </c>
      <c r="C577" s="1361" t="s">
        <v>2736</v>
      </c>
    </row>
    <row r="578" spans="1:3">
      <c r="A578" s="963">
        <f>MINERGIE!Q44</f>
        <v>0</v>
      </c>
      <c r="B578" s="963">
        <v>578</v>
      </c>
      <c r="C578" s="1361" t="s">
        <v>2737</v>
      </c>
    </row>
    <row r="579" spans="1:3">
      <c r="A579" s="963">
        <f>MINERGIE!R44</f>
        <v>0</v>
      </c>
      <c r="B579" s="963">
        <v>579</v>
      </c>
      <c r="C579" s="1361" t="s">
        <v>2738</v>
      </c>
    </row>
    <row r="580" spans="1:3">
      <c r="A580" s="963">
        <f>MINERGIE!S44</f>
        <v>0</v>
      </c>
      <c r="B580" s="963">
        <v>580</v>
      </c>
      <c r="C580" s="1361" t="s">
        <v>2739</v>
      </c>
    </row>
    <row r="581" spans="1:3">
      <c r="A581" s="968">
        <f>MINERGIE!O15</f>
        <v>0</v>
      </c>
      <c r="B581" s="963">
        <v>581</v>
      </c>
      <c r="C581" s="1361" t="s">
        <v>2740</v>
      </c>
    </row>
    <row r="582" spans="1:3">
      <c r="A582" s="968">
        <f>MINERGIE!P15</f>
        <v>0</v>
      </c>
      <c r="B582" s="963">
        <v>582</v>
      </c>
      <c r="C582" s="1361" t="s">
        <v>2741</v>
      </c>
    </row>
    <row r="583" spans="1:3">
      <c r="A583" s="968">
        <f>MINERGIE!Q15</f>
        <v>0</v>
      </c>
      <c r="B583" s="963">
        <v>583</v>
      </c>
      <c r="C583" s="1361" t="s">
        <v>2742</v>
      </c>
    </row>
    <row r="584" spans="1:3">
      <c r="A584" s="968">
        <f>MINERGIE!R15</f>
        <v>0</v>
      </c>
      <c r="B584" s="963">
        <v>584</v>
      </c>
      <c r="C584" s="1361" t="s">
        <v>2743</v>
      </c>
    </row>
    <row r="585" spans="1:3">
      <c r="A585" s="963">
        <f>MINERGIE!S15</f>
        <v>0</v>
      </c>
      <c r="B585" s="963">
        <v>585</v>
      </c>
      <c r="C585" s="1361" t="s">
        <v>2744</v>
      </c>
    </row>
    <row r="586" spans="1:3">
      <c r="A586" s="968">
        <f>MINERGIE!O18</f>
        <v>0</v>
      </c>
      <c r="B586" s="963">
        <v>586</v>
      </c>
      <c r="C586" s="1361" t="s">
        <v>2745</v>
      </c>
    </row>
    <row r="587" spans="1:3">
      <c r="A587" s="968">
        <f>MINERGIE!P18</f>
        <v>0</v>
      </c>
      <c r="B587" s="963">
        <v>587</v>
      </c>
      <c r="C587" s="1361" t="s">
        <v>2746</v>
      </c>
    </row>
    <row r="588" spans="1:3">
      <c r="A588" s="968">
        <f>MINERGIE!Q18</f>
        <v>0</v>
      </c>
      <c r="B588" s="963">
        <v>588</v>
      </c>
      <c r="C588" s="1361" t="s">
        <v>2747</v>
      </c>
    </row>
    <row r="589" spans="1:3">
      <c r="A589" s="968">
        <f>MINERGIE!R18</f>
        <v>0</v>
      </c>
      <c r="B589" s="963">
        <v>589</v>
      </c>
      <c r="C589" s="1361" t="s">
        <v>2748</v>
      </c>
    </row>
    <row r="590" spans="1:3">
      <c r="A590" s="963">
        <f>MINERGIE!S18</f>
        <v>0</v>
      </c>
      <c r="B590" s="963">
        <v>590</v>
      </c>
      <c r="C590" s="1361" t="s">
        <v>2749</v>
      </c>
    </row>
    <row r="591" spans="1:3">
      <c r="A591" s="963">
        <f>MINERGIE!O103</f>
        <v>0</v>
      </c>
      <c r="B591" s="963">
        <v>591</v>
      </c>
      <c r="C591" s="1361" t="s">
        <v>2750</v>
      </c>
    </row>
    <row r="592" spans="1:3">
      <c r="A592" s="963">
        <f>MINERGIE!P103</f>
        <v>0</v>
      </c>
      <c r="B592" s="963">
        <v>592</v>
      </c>
      <c r="C592" s="1361" t="s">
        <v>2751</v>
      </c>
    </row>
    <row r="593" spans="1:10">
      <c r="A593" s="963">
        <f>MINERGIE!Q103</f>
        <v>0</v>
      </c>
      <c r="B593" s="963">
        <v>593</v>
      </c>
      <c r="C593" s="1361" t="s">
        <v>2752</v>
      </c>
    </row>
    <row r="594" spans="1:10">
      <c r="A594" s="963">
        <f>MINERGIE!R103</f>
        <v>0</v>
      </c>
      <c r="B594" s="963">
        <v>594</v>
      </c>
      <c r="C594" s="1361" t="s">
        <v>2753</v>
      </c>
    </row>
    <row r="595" spans="1:10">
      <c r="A595" s="963">
        <f>MINERGIE!S103</f>
        <v>0</v>
      </c>
      <c r="B595" s="963">
        <v>595</v>
      </c>
      <c r="C595" s="1361" t="s">
        <v>2754</v>
      </c>
    </row>
    <row r="596" spans="1:10">
      <c r="A596" s="963">
        <f>MINERGIE!O104</f>
        <v>0</v>
      </c>
      <c r="B596" s="963">
        <v>596</v>
      </c>
      <c r="C596" s="1361" t="s">
        <v>2755</v>
      </c>
    </row>
    <row r="597" spans="1:10">
      <c r="A597" s="963">
        <f>MINERGIE!P104</f>
        <v>0</v>
      </c>
      <c r="B597" s="963">
        <v>597</v>
      </c>
      <c r="C597" s="1361" t="s">
        <v>2756</v>
      </c>
    </row>
    <row r="598" spans="1:10">
      <c r="A598" s="963">
        <f>MINERGIE!Q104</f>
        <v>0</v>
      </c>
      <c r="B598" s="963">
        <v>598</v>
      </c>
      <c r="C598" s="1361" t="s">
        <v>2757</v>
      </c>
    </row>
    <row r="599" spans="1:10">
      <c r="A599" s="963">
        <f>MINERGIE!R104</f>
        <v>0</v>
      </c>
      <c r="B599" s="963">
        <v>599</v>
      </c>
      <c r="C599" s="1361" t="s">
        <v>2758</v>
      </c>
    </row>
    <row r="600" spans="1:10">
      <c r="A600" s="963">
        <f>MINERGIE!S104</f>
        <v>0</v>
      </c>
      <c r="B600" s="963">
        <v>600</v>
      </c>
      <c r="C600" s="1361" t="s">
        <v>2759</v>
      </c>
    </row>
    <row r="601" spans="1:10">
      <c r="A601" s="963">
        <f>MINERGIE!O109</f>
        <v>0</v>
      </c>
      <c r="B601" s="963">
        <v>601</v>
      </c>
      <c r="C601" s="1361" t="s">
        <v>2669</v>
      </c>
    </row>
    <row r="602" spans="1:10">
      <c r="A602" s="963">
        <f>MINERGIE!J56</f>
        <v>0</v>
      </c>
      <c r="B602" s="963">
        <v>602</v>
      </c>
      <c r="C602" s="1361" t="s">
        <v>2670</v>
      </c>
    </row>
    <row r="603" spans="1:10">
      <c r="A603" s="965">
        <f>MINERGIE!Z36</f>
        <v>0</v>
      </c>
      <c r="B603" s="965">
        <v>603</v>
      </c>
      <c r="C603" s="1362" t="s">
        <v>3971</v>
      </c>
      <c r="D603" s="966"/>
      <c r="E603" s="966"/>
      <c r="F603" s="966"/>
      <c r="G603" s="966"/>
      <c r="H603" s="966"/>
      <c r="I603" s="966"/>
      <c r="J603" s="966"/>
    </row>
    <row r="604" spans="1:10">
      <c r="A604" s="962">
        <f>Eté!I36</f>
        <v>0</v>
      </c>
      <c r="B604" s="962">
        <v>604</v>
      </c>
      <c r="C604" s="1361" t="s">
        <v>3381</v>
      </c>
      <c r="D604" s="1356"/>
      <c r="E604" s="1356"/>
    </row>
    <row r="605" spans="1:10">
      <c r="A605" s="1769">
        <f>IF(A604=0,1,VLOOKUP(A604,Eté!$P$11:$S$14,4,FALSE))-1</f>
        <v>0</v>
      </c>
      <c r="B605" s="962">
        <v>605</v>
      </c>
      <c r="C605" s="1361" t="s">
        <v>3380</v>
      </c>
    </row>
    <row r="606" spans="1:10">
      <c r="A606" s="962">
        <f>Eté!J36</f>
        <v>0</v>
      </c>
      <c r="B606" s="962">
        <v>606</v>
      </c>
      <c r="C606" s="1361" t="s">
        <v>3382</v>
      </c>
      <c r="D606" s="1356"/>
      <c r="E606" s="1356"/>
    </row>
    <row r="607" spans="1:10">
      <c r="A607" s="1769">
        <f>IF(A606=0,1,VLOOKUP(A606,Eté!$P$11:$S$14,4,FALSE))-1</f>
        <v>0</v>
      </c>
      <c r="B607" s="962">
        <v>607</v>
      </c>
      <c r="C607" s="1361" t="s">
        <v>3385</v>
      </c>
      <c r="D607" s="1356"/>
      <c r="E607" s="1356"/>
    </row>
    <row r="608" spans="1:10">
      <c r="A608" s="962">
        <f>Eté!K36</f>
        <v>0</v>
      </c>
      <c r="B608" s="962">
        <v>608</v>
      </c>
      <c r="C608" s="1361" t="s">
        <v>3383</v>
      </c>
    </row>
    <row r="609" spans="1:3">
      <c r="A609" s="1769">
        <f>IF(A608=0,1,VLOOKUP(A608,Eté!$P$11:$S$14,4,FALSE))-1</f>
        <v>0</v>
      </c>
      <c r="B609" s="962">
        <v>609</v>
      </c>
      <c r="C609" s="1361" t="s">
        <v>3384</v>
      </c>
    </row>
    <row r="610" spans="1:3">
      <c r="A610" s="962">
        <f>Eté!L36</f>
        <v>0</v>
      </c>
      <c r="B610" s="962">
        <v>610</v>
      </c>
      <c r="C610" s="1361" t="s">
        <v>3386</v>
      </c>
    </row>
    <row r="611" spans="1:3">
      <c r="A611" s="1769">
        <f>IF(A610=0,1,VLOOKUP(A610,Eté!$P$11:$S$14,4,FALSE))-1</f>
        <v>0</v>
      </c>
      <c r="B611" s="962">
        <v>611</v>
      </c>
      <c r="C611" s="1361" t="s">
        <v>3387</v>
      </c>
    </row>
    <row r="612" spans="1:3">
      <c r="A612" s="962" t="str">
        <f>Eté!H22</f>
        <v/>
      </c>
      <c r="B612" s="962">
        <v>612</v>
      </c>
      <c r="C612" s="1361" t="s">
        <v>3430</v>
      </c>
    </row>
    <row r="613" spans="1:3">
      <c r="A613" s="963" t="str">
        <f>Eté!H24</f>
        <v/>
      </c>
      <c r="B613" s="962">
        <v>613</v>
      </c>
      <c r="C613" s="1361" t="s">
        <v>3429</v>
      </c>
    </row>
    <row r="614" spans="1:3">
      <c r="A614" s="963" t="str">
        <f>Eté!H26</f>
        <v/>
      </c>
      <c r="B614" s="962">
        <v>614</v>
      </c>
      <c r="C614" s="1361" t="s">
        <v>3431</v>
      </c>
    </row>
    <row r="615" spans="1:3">
      <c r="A615" s="963" t="str">
        <f>Eté!H28</f>
        <v/>
      </c>
      <c r="B615" s="962">
        <v>615</v>
      </c>
      <c r="C615" s="1361" t="s">
        <v>3432</v>
      </c>
    </row>
    <row r="616" spans="1:3">
      <c r="A616" s="963">
        <f>Eté!I29</f>
        <v>0</v>
      </c>
      <c r="B616" s="962">
        <v>616</v>
      </c>
      <c r="C616" s="1361" t="s">
        <v>3433</v>
      </c>
    </row>
    <row r="617" spans="1:3">
      <c r="A617" s="1359">
        <f>IF(A616=0,1,VLOOKUP(A616,Eté!$P$11:$S$14,4,FALSE))-1</f>
        <v>0</v>
      </c>
      <c r="B617" s="962">
        <v>617</v>
      </c>
      <c r="C617" s="1361" t="s">
        <v>3434</v>
      </c>
    </row>
    <row r="618" spans="1:3">
      <c r="A618" s="963">
        <f>Eté!J29</f>
        <v>0</v>
      </c>
      <c r="B618" s="962">
        <v>618</v>
      </c>
      <c r="C618" s="1361" t="s">
        <v>3435</v>
      </c>
    </row>
    <row r="619" spans="1:3">
      <c r="A619" s="1359">
        <f>IF(A618=0,1,VLOOKUP(A618,Eté!$P$11:$S$14,4,FALSE))-1</f>
        <v>0</v>
      </c>
      <c r="B619" s="962">
        <v>619</v>
      </c>
      <c r="C619" s="1361" t="s">
        <v>3436</v>
      </c>
    </row>
    <row r="620" spans="1:3">
      <c r="A620" s="963">
        <f>Eté!K29</f>
        <v>0</v>
      </c>
      <c r="B620" s="962">
        <v>620</v>
      </c>
      <c r="C620" s="1361" t="s">
        <v>3437</v>
      </c>
    </row>
    <row r="621" spans="1:3">
      <c r="A621" s="1359">
        <f>IF(A620=0,1,VLOOKUP(A620,Eté!$P$11:$S$14,4,FALSE))-1</f>
        <v>0</v>
      </c>
      <c r="B621" s="962">
        <v>621</v>
      </c>
      <c r="C621" s="1361" t="s">
        <v>3438</v>
      </c>
    </row>
    <row r="622" spans="1:3">
      <c r="A622" s="963">
        <f>Eté!L29</f>
        <v>0</v>
      </c>
      <c r="B622" s="962">
        <v>622</v>
      </c>
      <c r="C622" s="1361" t="s">
        <v>3439</v>
      </c>
    </row>
    <row r="623" spans="1:3">
      <c r="A623" s="1359">
        <f>IF(A622=0,1,VLOOKUP(A622,Eté!$P$11:$S$14,4,FALSE))-1</f>
        <v>0</v>
      </c>
      <c r="B623" s="962">
        <v>623</v>
      </c>
      <c r="C623" s="1361" t="s">
        <v>3440</v>
      </c>
    </row>
    <row r="624" spans="1:3">
      <c r="A624" s="963" t="str">
        <f>Eté!U47</f>
        <v/>
      </c>
      <c r="B624" s="962">
        <v>624</v>
      </c>
      <c r="C624" s="1361" t="s">
        <v>3454</v>
      </c>
    </row>
    <row r="625" spans="1:3">
      <c r="A625" s="963" t="str">
        <f>Eté!V47</f>
        <v/>
      </c>
      <c r="B625" s="962">
        <v>625</v>
      </c>
      <c r="C625" s="1361" t="s">
        <v>3455</v>
      </c>
    </row>
    <row r="626" spans="1:3">
      <c r="A626" s="963" t="str">
        <f>Eté!W47</f>
        <v/>
      </c>
      <c r="B626" s="962">
        <v>626</v>
      </c>
      <c r="C626" s="1361" t="s">
        <v>3456</v>
      </c>
    </row>
    <row r="627" spans="1:3">
      <c r="A627" s="963" t="str">
        <f>Eté!X47</f>
        <v/>
      </c>
      <c r="B627" s="962">
        <v>627</v>
      </c>
      <c r="C627" s="1361" t="s">
        <v>3457</v>
      </c>
    </row>
    <row r="628" spans="1:3">
      <c r="A628" s="963" t="b">
        <f>Eté!S52</f>
        <v>0</v>
      </c>
      <c r="B628" s="962">
        <v>628</v>
      </c>
      <c r="C628" s="1361" t="s">
        <v>2483</v>
      </c>
    </row>
    <row r="629" spans="1:3">
      <c r="A629" s="963">
        <f>IF(A628,1,2)</f>
        <v>2</v>
      </c>
      <c r="B629" s="962">
        <v>629</v>
      </c>
      <c r="C629" s="1361" t="s">
        <v>3514</v>
      </c>
    </row>
    <row r="630" spans="1:3">
      <c r="A630" s="963">
        <f>IF(_SIA2009,2,1)</f>
        <v>1</v>
      </c>
      <c r="B630" s="962">
        <v>630</v>
      </c>
      <c r="C630" s="1361" t="s">
        <v>3633</v>
      </c>
    </row>
    <row r="631" spans="1:3">
      <c r="A631" s="963" t="str">
        <f>Entrées!F37</f>
        <v/>
      </c>
      <c r="B631" s="962">
        <v>631</v>
      </c>
      <c r="C631" s="1361" t="s">
        <v>3907</v>
      </c>
    </row>
    <row r="632" spans="1:3">
      <c r="A632" s="963" t="str">
        <f>Entrées!G37</f>
        <v/>
      </c>
      <c r="B632" s="962">
        <v>632</v>
      </c>
      <c r="C632" s="1361" t="s">
        <v>3908</v>
      </c>
    </row>
    <row r="633" spans="1:3">
      <c r="A633" s="963" t="str">
        <f>Entrées!H37</f>
        <v/>
      </c>
      <c r="B633" s="962">
        <v>633</v>
      </c>
      <c r="C633" s="1361" t="s">
        <v>3909</v>
      </c>
    </row>
    <row r="634" spans="1:3">
      <c r="A634" s="963" t="str">
        <f>Entrées!I37</f>
        <v/>
      </c>
      <c r="B634" s="962">
        <v>634</v>
      </c>
      <c r="C634" s="1361" t="s">
        <v>3910</v>
      </c>
    </row>
    <row r="635" spans="1:3">
      <c r="A635" s="1358">
        <f>MINERGIE!F21</f>
        <v>0</v>
      </c>
      <c r="B635" s="962">
        <v>635</v>
      </c>
      <c r="C635" s="1361" t="s">
        <v>3915</v>
      </c>
    </row>
    <row r="636" spans="1:3">
      <c r="A636" s="1358">
        <f>MINERGIE!G21</f>
        <v>0</v>
      </c>
      <c r="B636" s="962">
        <v>636</v>
      </c>
      <c r="C636" s="1361" t="s">
        <v>3916</v>
      </c>
    </row>
    <row r="637" spans="1:3">
      <c r="A637" s="1358">
        <f>MINERGIE!H21</f>
        <v>0</v>
      </c>
      <c r="B637" s="962">
        <v>637</v>
      </c>
      <c r="C637" s="1361" t="s">
        <v>3917</v>
      </c>
    </row>
    <row r="638" spans="1:3">
      <c r="A638" s="1358">
        <f>MINERGIE!I21</f>
        <v>0</v>
      </c>
      <c r="B638" s="962">
        <v>638</v>
      </c>
      <c r="C638" s="1361" t="s">
        <v>3918</v>
      </c>
    </row>
    <row r="639" spans="1:3">
      <c r="A639" s="963">
        <f>MINERGIE!F25</f>
        <v>0</v>
      </c>
      <c r="B639" s="962">
        <v>639</v>
      </c>
      <c r="C639" s="1361" t="s">
        <v>3911</v>
      </c>
    </row>
    <row r="640" spans="1:3">
      <c r="A640" s="963">
        <f>MINERGIE!G25</f>
        <v>0</v>
      </c>
      <c r="B640" s="962">
        <v>640</v>
      </c>
      <c r="C640" s="1361" t="s">
        <v>3912</v>
      </c>
    </row>
    <row r="641" spans="1:3">
      <c r="A641" s="963">
        <f>MINERGIE!H25</f>
        <v>0</v>
      </c>
      <c r="B641" s="962">
        <v>641</v>
      </c>
      <c r="C641" s="1361" t="s">
        <v>3913</v>
      </c>
    </row>
    <row r="642" spans="1:3">
      <c r="A642" s="963">
        <f>MINERGIE!I25</f>
        <v>0</v>
      </c>
      <c r="B642" s="962">
        <v>642</v>
      </c>
      <c r="C642" s="1361" t="s">
        <v>3914</v>
      </c>
    </row>
    <row r="643" spans="1:3">
      <c r="A643" s="963">
        <f>MINERGIE!F41</f>
        <v>0</v>
      </c>
      <c r="B643" s="962">
        <v>643</v>
      </c>
      <c r="C643" s="1361" t="s">
        <v>3919</v>
      </c>
    </row>
    <row r="644" spans="1:3">
      <c r="A644" s="963">
        <f>IF(A643=0,1,VLOOKUP(A643,MINERGIE!$N$11:$T$13,6,FALSE))-1</f>
        <v>0</v>
      </c>
      <c r="B644" s="962">
        <v>644</v>
      </c>
      <c r="C644" s="1361" t="s">
        <v>3930</v>
      </c>
    </row>
    <row r="645" spans="1:3">
      <c r="A645" s="963">
        <f>MINERGIE!G41</f>
        <v>0</v>
      </c>
      <c r="B645" s="962">
        <v>645</v>
      </c>
      <c r="C645" s="1361" t="s">
        <v>3920</v>
      </c>
    </row>
    <row r="646" spans="1:3">
      <c r="A646" s="963">
        <f>IF(A645=0,1,VLOOKUP(A645,MINERGIE!$N$11:$T$13,6,FALSE))-1</f>
        <v>0</v>
      </c>
      <c r="B646" s="962">
        <v>646</v>
      </c>
      <c r="C646" s="1361" t="s">
        <v>3929</v>
      </c>
    </row>
    <row r="647" spans="1:3">
      <c r="A647" s="963">
        <f>MINERGIE!H41</f>
        <v>0</v>
      </c>
      <c r="B647" s="962">
        <v>647</v>
      </c>
      <c r="C647" s="1361" t="s">
        <v>3921</v>
      </c>
    </row>
    <row r="648" spans="1:3">
      <c r="A648" s="963">
        <f>IF(A647=0,1,VLOOKUP(A647,MINERGIE!$N$11:$T$13,6,FALSE))-1</f>
        <v>0</v>
      </c>
      <c r="B648" s="962">
        <v>648</v>
      </c>
      <c r="C648" s="1361" t="s">
        <v>3928</v>
      </c>
    </row>
    <row r="649" spans="1:3">
      <c r="A649" s="963">
        <f>MINERGIE!I41</f>
        <v>0</v>
      </c>
      <c r="B649" s="962">
        <v>649</v>
      </c>
      <c r="C649" s="1361" t="s">
        <v>3922</v>
      </c>
    </row>
    <row r="650" spans="1:3">
      <c r="A650" s="963">
        <f>IF(A649=0,1,VLOOKUP(A649,MINERGIE!$N$11:$T$13,6,FALSE))-1</f>
        <v>0</v>
      </c>
      <c r="B650" s="962">
        <v>650</v>
      </c>
      <c r="C650" s="1361" t="s">
        <v>3927</v>
      </c>
    </row>
    <row r="651" spans="1:3">
      <c r="A651" s="963">
        <f>MINERGIE!F45</f>
        <v>0</v>
      </c>
      <c r="B651" s="962">
        <v>651</v>
      </c>
      <c r="C651" s="1361" t="s">
        <v>3938</v>
      </c>
    </row>
    <row r="652" spans="1:3">
      <c r="A652" s="963">
        <f>IF(A651=0,1,VLOOKUP(A651,MINERGIE!$N$11:$T$13,6,FALSE))-1</f>
        <v>0</v>
      </c>
      <c r="B652" s="962">
        <v>652</v>
      </c>
      <c r="C652" s="1361" t="s">
        <v>3931</v>
      </c>
    </row>
    <row r="653" spans="1:3">
      <c r="A653" s="963">
        <f>MINERGIE!G45</f>
        <v>0</v>
      </c>
      <c r="B653" s="962">
        <v>653</v>
      </c>
      <c r="C653" s="1361" t="s">
        <v>3937</v>
      </c>
    </row>
    <row r="654" spans="1:3">
      <c r="A654" s="963">
        <f>IF(A653=0,1,VLOOKUP(A653,MINERGIE!$N$11:$T$13,6,FALSE))-1</f>
        <v>0</v>
      </c>
      <c r="B654" s="962">
        <v>654</v>
      </c>
      <c r="C654" s="1361" t="s">
        <v>3936</v>
      </c>
    </row>
    <row r="655" spans="1:3">
      <c r="A655" s="963">
        <f>MINERGIE!H45</f>
        <v>0</v>
      </c>
      <c r="B655" s="962">
        <v>655</v>
      </c>
      <c r="C655" s="1361" t="s">
        <v>3934</v>
      </c>
    </row>
    <row r="656" spans="1:3">
      <c r="A656" s="963">
        <f>IF(A655=0,1,VLOOKUP(A655,MINERGIE!$N$11:$T$13,6,FALSE))-1</f>
        <v>0</v>
      </c>
      <c r="B656" s="962">
        <v>656</v>
      </c>
      <c r="C656" s="1361" t="s">
        <v>3933</v>
      </c>
    </row>
    <row r="657" spans="1:3">
      <c r="A657" s="963">
        <f>MINERGIE!I45</f>
        <v>0</v>
      </c>
      <c r="B657" s="962">
        <v>657</v>
      </c>
      <c r="C657" s="1361" t="s">
        <v>3935</v>
      </c>
    </row>
    <row r="658" spans="1:3">
      <c r="A658" s="963">
        <f>IF(A657=0,1,VLOOKUP(A657,MINERGIE!$N$11:$T$13,6,FALSE))-1</f>
        <v>0</v>
      </c>
      <c r="B658" s="962">
        <v>658</v>
      </c>
      <c r="C658" s="1361" t="s">
        <v>3932</v>
      </c>
    </row>
    <row r="659" spans="1:3">
      <c r="A659" s="963">
        <f>MINERGIE!F48</f>
        <v>0</v>
      </c>
      <c r="B659" s="962">
        <v>659</v>
      </c>
      <c r="C659" s="1361" t="s">
        <v>3923</v>
      </c>
    </row>
    <row r="660" spans="1:3">
      <c r="A660" s="963">
        <f>MINERGIE!G48</f>
        <v>0</v>
      </c>
      <c r="B660" s="962">
        <v>660</v>
      </c>
      <c r="C660" s="1361" t="s">
        <v>3926</v>
      </c>
    </row>
    <row r="661" spans="1:3">
      <c r="A661" s="963">
        <f>MINERGIE!H48</f>
        <v>0</v>
      </c>
      <c r="B661" s="962">
        <v>661</v>
      </c>
      <c r="C661" s="1361" t="s">
        <v>3925</v>
      </c>
    </row>
    <row r="662" spans="1:3">
      <c r="A662" s="963">
        <f>MINERGIE!I48</f>
        <v>0</v>
      </c>
      <c r="B662" s="962">
        <v>662</v>
      </c>
      <c r="C662" s="1361" t="s">
        <v>3924</v>
      </c>
    </row>
    <row r="663" spans="1:3">
      <c r="A663" s="963">
        <f>MINERGIE!E55</f>
        <v>0</v>
      </c>
      <c r="B663" s="962">
        <v>663</v>
      </c>
      <c r="C663" s="1361" t="s">
        <v>2667</v>
      </c>
    </row>
    <row r="664" spans="1:3">
      <c r="A664" s="1358">
        <f>MINERGIE!I63</f>
        <v>0</v>
      </c>
      <c r="B664" s="962">
        <v>664</v>
      </c>
      <c r="C664" s="1361" t="s">
        <v>3939</v>
      </c>
    </row>
    <row r="665" spans="1:3">
      <c r="A665" s="963">
        <f>IF(A664=0,1,VLOOKUP(A664,MINERGIE!$N$11:$T$13,6,FALSE))-1</f>
        <v>0</v>
      </c>
      <c r="B665" s="962">
        <v>665</v>
      </c>
      <c r="C665" s="1361" t="s">
        <v>3940</v>
      </c>
    </row>
    <row r="666" spans="1:3">
      <c r="A666" s="1358">
        <f>MINERGIE!I72</f>
        <v>0</v>
      </c>
      <c r="B666" s="962">
        <v>666</v>
      </c>
      <c r="C666" s="1361" t="s">
        <v>3443</v>
      </c>
    </row>
    <row r="667" spans="1:3">
      <c r="A667" s="963">
        <f>IF(A666=0,1,VLOOKUP(A666,MINERGIE!$N$11:$T$14,7,FALSE))-1</f>
        <v>0</v>
      </c>
      <c r="B667" s="962">
        <v>667</v>
      </c>
      <c r="C667" s="1361" t="s">
        <v>3941</v>
      </c>
    </row>
    <row r="668" spans="1:3">
      <c r="A668" s="963">
        <f>Eté!I35</f>
        <v>0</v>
      </c>
      <c r="B668" s="962">
        <v>668</v>
      </c>
      <c r="C668" s="1361" t="s">
        <v>3942</v>
      </c>
    </row>
    <row r="669" spans="1:3">
      <c r="A669" s="1359">
        <f>IF(A668=0,1,VLOOKUP(A668,Eté!$P$11:$S$14,4,FALSE))-1</f>
        <v>0</v>
      </c>
      <c r="B669" s="962">
        <v>669</v>
      </c>
      <c r="C669" s="1361" t="s">
        <v>3943</v>
      </c>
    </row>
    <row r="670" spans="1:3">
      <c r="A670" s="963">
        <f>Eté!J35</f>
        <v>0</v>
      </c>
      <c r="B670" s="962">
        <v>670</v>
      </c>
      <c r="C670" s="1361" t="s">
        <v>3947</v>
      </c>
    </row>
    <row r="671" spans="1:3">
      <c r="A671" s="1359">
        <f>IF(A670=0,1,VLOOKUP(A670,Eté!$P$11:$S$14,4,FALSE))-1</f>
        <v>0</v>
      </c>
      <c r="B671" s="962">
        <v>671</v>
      </c>
      <c r="C671" s="1361" t="s">
        <v>3946</v>
      </c>
    </row>
    <row r="672" spans="1:3">
      <c r="A672" s="963">
        <f>Eté!K35</f>
        <v>0</v>
      </c>
      <c r="B672" s="962">
        <v>672</v>
      </c>
      <c r="C672" s="1361" t="s">
        <v>3948</v>
      </c>
    </row>
    <row r="673" spans="1:3">
      <c r="A673" s="1359">
        <f>IF(A672=0,1,VLOOKUP(A672,Eté!$P$11:$S$14,4,FALSE))-1</f>
        <v>0</v>
      </c>
      <c r="B673" s="962">
        <v>673</v>
      </c>
      <c r="C673" s="1361" t="s">
        <v>3945</v>
      </c>
    </row>
    <row r="674" spans="1:3">
      <c r="A674" s="963">
        <f>Eté!L35</f>
        <v>0</v>
      </c>
      <c r="B674" s="962">
        <v>674</v>
      </c>
      <c r="C674" s="1361" t="s">
        <v>3949</v>
      </c>
    </row>
    <row r="675" spans="1:3">
      <c r="A675" s="1359">
        <f>IF(A674=0,1,VLOOKUP(A674,Eté!$P$11:$S$14,4,FALSE))-1</f>
        <v>0</v>
      </c>
      <c r="B675" s="962">
        <v>675</v>
      </c>
      <c r="C675" s="1361" t="s">
        <v>3944</v>
      </c>
    </row>
    <row r="676" spans="1:3">
      <c r="A676" s="963">
        <f>Eté!I36</f>
        <v>0</v>
      </c>
      <c r="B676" s="962">
        <v>676</v>
      </c>
      <c r="C676" s="1361" t="s">
        <v>3950</v>
      </c>
    </row>
    <row r="677" spans="1:3">
      <c r="A677" s="1359">
        <f>IF(A676=0,1,VLOOKUP(A676,Eté!$P$11:$S$14,4,FALSE))-1</f>
        <v>0</v>
      </c>
      <c r="B677" s="962">
        <v>677</v>
      </c>
      <c r="C677" s="1361" t="s">
        <v>3951</v>
      </c>
    </row>
    <row r="678" spans="1:3">
      <c r="A678" s="963">
        <f>Eté!J36</f>
        <v>0</v>
      </c>
      <c r="B678" s="962">
        <v>678</v>
      </c>
      <c r="C678" s="1361" t="s">
        <v>3952</v>
      </c>
    </row>
    <row r="679" spans="1:3">
      <c r="A679" s="1359">
        <f>IF(A678=0,1,VLOOKUP(A678,Eté!$P$11:$S$14,4,FALSE))-1</f>
        <v>0</v>
      </c>
      <c r="B679" s="962">
        <v>679</v>
      </c>
      <c r="C679" s="1361" t="s">
        <v>3953</v>
      </c>
    </row>
    <row r="680" spans="1:3">
      <c r="A680" s="963">
        <f>Eté!K36</f>
        <v>0</v>
      </c>
      <c r="B680" s="962">
        <v>680</v>
      </c>
      <c r="C680" s="1361" t="s">
        <v>3954</v>
      </c>
    </row>
    <row r="681" spans="1:3">
      <c r="A681" s="1359">
        <f>IF(A680=0,1,VLOOKUP(A680,Eté!$P$11:$S$14,4,FALSE))-1</f>
        <v>0</v>
      </c>
      <c r="B681" s="962">
        <v>681</v>
      </c>
      <c r="C681" s="1361" t="s">
        <v>3955</v>
      </c>
    </row>
    <row r="682" spans="1:3">
      <c r="A682" s="963">
        <f>Eté!L36</f>
        <v>0</v>
      </c>
      <c r="B682" s="962">
        <v>682</v>
      </c>
      <c r="C682" s="1361" t="s">
        <v>3956</v>
      </c>
    </row>
    <row r="683" spans="1:3">
      <c r="A683" s="1359">
        <f>IF(A682=0,1,VLOOKUP(A682,Eté!$P$11:$S$14,4,FALSE))-1</f>
        <v>0</v>
      </c>
      <c r="B683" s="962">
        <v>683</v>
      </c>
      <c r="C683" s="1361" t="s">
        <v>3957</v>
      </c>
    </row>
    <row r="684" spans="1:3">
      <c r="A684" s="963">
        <f>Eté!B43</f>
        <v>0</v>
      </c>
      <c r="B684" s="962">
        <v>684</v>
      </c>
      <c r="C684" s="1361" t="s">
        <v>3958</v>
      </c>
    </row>
    <row r="685" spans="1:3">
      <c r="A685" s="963">
        <f>Eté!I47</f>
        <v>0</v>
      </c>
      <c r="B685" s="962">
        <v>685</v>
      </c>
      <c r="C685" s="1361" t="s">
        <v>3959</v>
      </c>
    </row>
    <row r="686" spans="1:3">
      <c r="A686" s="1359">
        <f>IF(A685=0,1,VLOOKUP(A685,Eté!$P$11:$S$14,4,FALSE))-1</f>
        <v>0</v>
      </c>
      <c r="B686" s="962">
        <v>686</v>
      </c>
      <c r="C686" s="1361" t="s">
        <v>3960</v>
      </c>
    </row>
    <row r="687" spans="1:3">
      <c r="A687" s="963">
        <f>Eté!J47</f>
        <v>0</v>
      </c>
      <c r="B687" s="962">
        <v>687</v>
      </c>
      <c r="C687" s="1361" t="s">
        <v>3961</v>
      </c>
    </row>
    <row r="688" spans="1:3">
      <c r="A688" s="1359">
        <f>IF(A687=0,1,VLOOKUP(A687,Eté!$P$11:$S$14,4,FALSE))-1</f>
        <v>0</v>
      </c>
      <c r="B688" s="962">
        <v>688</v>
      </c>
      <c r="C688" s="1361" t="s">
        <v>3962</v>
      </c>
    </row>
    <row r="689" spans="1:3">
      <c r="A689" s="963">
        <f>Eté!K47</f>
        <v>0</v>
      </c>
      <c r="B689" s="962">
        <v>689</v>
      </c>
      <c r="C689" s="1361" t="s">
        <v>3963</v>
      </c>
    </row>
    <row r="690" spans="1:3">
      <c r="A690" s="1359">
        <f>IF(A689=0,1,VLOOKUP(A689,Eté!$P$11:$S$14,4,FALSE))-1</f>
        <v>0</v>
      </c>
      <c r="B690" s="962">
        <v>690</v>
      </c>
      <c r="C690" s="1361" t="s">
        <v>3964</v>
      </c>
    </row>
    <row r="691" spans="1:3">
      <c r="A691" s="963">
        <f>Eté!L47</f>
        <v>0</v>
      </c>
      <c r="B691" s="962">
        <v>691</v>
      </c>
      <c r="C691" s="1361" t="s">
        <v>3965</v>
      </c>
    </row>
    <row r="692" spans="1:3">
      <c r="A692" s="1359">
        <f>IF(A691=0,1,VLOOKUP(A691,Eté!$P$11:$S$14,4,FALSE))-1</f>
        <v>0</v>
      </c>
      <c r="B692" s="962">
        <v>692</v>
      </c>
      <c r="C692" s="1361" t="s">
        <v>3966</v>
      </c>
    </row>
    <row r="693" spans="1:3">
      <c r="A693" s="963">
        <f>Aperçu!F42</f>
        <v>0</v>
      </c>
      <c r="B693" s="962">
        <v>693</v>
      </c>
      <c r="C693" s="1361" t="s">
        <v>3967</v>
      </c>
    </row>
    <row r="694" spans="1:3">
      <c r="A694" s="963">
        <f>Aperçu!H42</f>
        <v>0</v>
      </c>
      <c r="B694" s="962">
        <v>694</v>
      </c>
      <c r="C694" s="1361" t="s">
        <v>3968</v>
      </c>
    </row>
    <row r="695" spans="1:3">
      <c r="A695" s="963" t="str">
        <f>IF(A693&lt;&gt;"",Aperçu!K42,"")</f>
        <v>non</v>
      </c>
      <c r="B695" s="962">
        <v>695</v>
      </c>
      <c r="C695" s="1361" t="s">
        <v>3969</v>
      </c>
    </row>
    <row r="696" spans="1:3">
      <c r="A696" s="1359">
        <f>IF(A695="",1,VLOOKUP(A695,Eté!$P$11:$S$14,4,FALSE))-1</f>
        <v>2</v>
      </c>
      <c r="B696" s="962">
        <v>696</v>
      </c>
      <c r="C696" s="1361" t="s">
        <v>3970</v>
      </c>
    </row>
  </sheetData>
  <sheetProtection algorithmName="SHA-512" hashValue="qT+mnHwo7aqt7bqKdZ3jLhzlGzcriPHH5FRATPjQULr9ZQirA7tKgz4wLSj/I2G8+gTftB7IRYC/Pjyx0oI5wg==" saltValue="IUAInxbT2lXKzYenW0SlF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6" t="str">
        <f>Uebersetzung!D489</f>
        <v>A reporter dans PVOpti</v>
      </c>
    </row>
    <row r="2" spans="1:18" ht="15" customHeight="1"/>
    <row r="3" spans="1:18" ht="15" customHeight="1" thickBot="1">
      <c r="C3" s="1627" t="str">
        <f>Uebersetzung!D490</f>
        <v>Veuillez copier la cellule jaune et la reporter dans PVOpti :</v>
      </c>
      <c r="L3" s="156">
        <v>1</v>
      </c>
    </row>
    <row r="4" spans="1:18" ht="15" customHeight="1">
      <c r="A4" s="596" t="str">
        <f>Uebersetzung!D491</f>
        <v>N° MOP: / Nom du projet : / Adresse du bâtiment :</v>
      </c>
      <c r="C4" s="1618" t="str">
        <f>IF(Projekt3&lt;&gt;"",Projekt3,"")</f>
        <v/>
      </c>
      <c r="D4" s="1614" t="str">
        <f>IF(Entrées!C7&lt;&gt;"",Entrées!C7,"")</f>
        <v/>
      </c>
      <c r="E4" s="1614"/>
      <c r="F4" s="1614"/>
      <c r="G4" s="1614" t="str">
        <f>IF(Entrées!C8&lt;&gt;"",Entrées!C8,"")</f>
        <v/>
      </c>
      <c r="H4" s="1614"/>
      <c r="I4" s="1605"/>
      <c r="L4" s="156">
        <v>2</v>
      </c>
      <c r="M4" s="596" t="s">
        <v>203</v>
      </c>
      <c r="P4" s="596" t="s">
        <v>332</v>
      </c>
      <c r="Q4" s="596" t="s">
        <v>1535</v>
      </c>
      <c r="R4" s="596" t="s">
        <v>3026</v>
      </c>
    </row>
    <row r="5" spans="1:18" ht="15" customHeight="1">
      <c r="A5" s="596" t="str">
        <f>Uebersetzung!D492</f>
        <v xml:space="preserve">N° de la parcelle : / Station météorologique : / LiebeLieu : </v>
      </c>
      <c r="C5" s="1606" t="str">
        <f>IF(Projekt2&lt;&gt;"",Projekt2,"")</f>
        <v/>
      </c>
      <c r="D5" s="1615" t="str">
        <f>IF(Entrées!I14&lt;&gt;"",Entrées!I14,"")</f>
        <v xml:space="preserve"> </v>
      </c>
      <c r="E5" s="1615"/>
      <c r="F5" s="1615"/>
      <c r="G5" s="1615" t="str">
        <f>IF(Entrées!E13&lt;&gt;"",Entrées!E13,"")</f>
        <v/>
      </c>
      <c r="H5" s="1615"/>
      <c r="I5" s="1607"/>
      <c r="L5" s="156">
        <v>3</v>
      </c>
      <c r="M5" s="596" t="s">
        <v>471</v>
      </c>
      <c r="P5" s="596" t="s">
        <v>333</v>
      </c>
      <c r="Q5" s="596" t="s">
        <v>1536</v>
      </c>
      <c r="R5" s="596" t="s">
        <v>3027</v>
      </c>
    </row>
    <row r="6" spans="1:18" ht="15" customHeight="1">
      <c r="C6" s="1606"/>
      <c r="D6" s="1608"/>
      <c r="E6" s="1608"/>
      <c r="F6" s="1608"/>
      <c r="G6" s="1608"/>
      <c r="H6" s="1608"/>
      <c r="I6" s="1609"/>
      <c r="L6" s="156">
        <v>4</v>
      </c>
      <c r="M6" s="596" t="s">
        <v>472</v>
      </c>
      <c r="P6" s="596" t="s">
        <v>1</v>
      </c>
      <c r="Q6" s="596" t="s">
        <v>1537</v>
      </c>
      <c r="R6" s="596" t="s">
        <v>3028</v>
      </c>
    </row>
    <row r="7" spans="1:18" ht="15" customHeight="1">
      <c r="C7" s="1606"/>
      <c r="D7" s="1616"/>
      <c r="E7" s="1616"/>
      <c r="F7" s="1616"/>
      <c r="G7" s="1616"/>
      <c r="H7" s="1616"/>
      <c r="I7" s="1617"/>
      <c r="L7" s="156">
        <v>5</v>
      </c>
      <c r="M7" s="596" t="s">
        <v>204</v>
      </c>
      <c r="P7" s="596" t="s">
        <v>340</v>
      </c>
      <c r="Q7" s="596" t="s">
        <v>1538</v>
      </c>
      <c r="R7" s="596" t="s">
        <v>3029</v>
      </c>
    </row>
    <row r="8" spans="1:18" ht="15" customHeight="1">
      <c r="A8" s="1512" t="str">
        <f>Uebersetzung!D493</f>
        <v>Installation de production de chaleur</v>
      </c>
      <c r="C8" s="1606"/>
      <c r="D8" s="1608"/>
      <c r="E8" s="1608"/>
      <c r="F8" s="1608"/>
      <c r="G8" s="1608"/>
      <c r="H8" s="1608"/>
      <c r="I8" s="1609"/>
      <c r="L8" s="156">
        <v>6</v>
      </c>
      <c r="M8" s="596" t="s">
        <v>473</v>
      </c>
      <c r="P8" s="596" t="s">
        <v>237</v>
      </c>
      <c r="Q8" s="596" t="s">
        <v>1539</v>
      </c>
      <c r="R8" s="596" t="s">
        <v>3030</v>
      </c>
    </row>
    <row r="9" spans="1:18" ht="15" customHeight="1">
      <c r="A9" s="596" t="str">
        <f>Uebersetzung!D494</f>
        <v>Prod.  A</v>
      </c>
      <c r="B9" s="1629"/>
      <c r="C9" s="1628" t="str">
        <f>IF(Justificatif!M8&gt;1,INDEX($L$3:$M$50,Justificatif!M8,2),"")</f>
        <v/>
      </c>
      <c r="D9" s="1616">
        <f>IF(Justificatif!J8&gt;0,Justificatif!J8/100,0)</f>
        <v>0</v>
      </c>
      <c r="E9" s="1616">
        <f>IF(Justificatif!L8&gt;0,Justificatif!L8/100,0)</f>
        <v>0</v>
      </c>
      <c r="F9" s="1616">
        <f>IF(AND(WirkungsgradA&gt;0,Justificatif!S8=1),WirkungsgradA,0)</f>
        <v>0</v>
      </c>
      <c r="G9" s="1616">
        <f>IF(AND(WirkungsgradA&gt;0,qw&gt;0,Justificatif!T8=1),WirkungsgradA,0)</f>
        <v>0</v>
      </c>
      <c r="H9" s="1616">
        <f>IF(Justificatif!AD8,IF(Justificatif!G9&gt;0,Justificatif!G9,0),0)</f>
        <v>0</v>
      </c>
      <c r="I9" s="1617">
        <f>IF(Justificatif!AD8,IF(AND(Justificatif!G9&gt;0,qw&gt;0),Justificatif!G9,0),0)</f>
        <v>0</v>
      </c>
      <c r="L9" s="156">
        <v>7</v>
      </c>
      <c r="M9" s="596" t="s">
        <v>474</v>
      </c>
      <c r="P9" s="596" t="s">
        <v>832</v>
      </c>
      <c r="Q9" s="596" t="s">
        <v>832</v>
      </c>
      <c r="R9" s="596" t="s">
        <v>3031</v>
      </c>
    </row>
    <row r="10" spans="1:18" ht="15" customHeight="1">
      <c r="A10" s="596" t="str">
        <f>Uebersetzung!D495</f>
        <v>Prod. B</v>
      </c>
      <c r="C10" s="1628" t="str">
        <f>IF(Justificatif!M12&gt;1,INDEX($L$3:$M$50,Justificatif!M12,2),"")</f>
        <v/>
      </c>
      <c r="D10" s="1616">
        <f>IF(Justificatif!J12&gt;0,Justificatif!J12/100,0)</f>
        <v>0</v>
      </c>
      <c r="E10" s="1616">
        <f>IF(Justificatif!L12&gt;0,Justificatif!L12/100,0)</f>
        <v>0</v>
      </c>
      <c r="F10" s="1616">
        <f>IF(AND(WirkungsgradB&gt;0,Justificatif!S12=1),WirkungsgradB,0)</f>
        <v>0</v>
      </c>
      <c r="G10" s="1616">
        <f>IF(AND(WirkungsgradB&gt;0,qw&gt;0,Justificatif!T12=1),WirkungsgradB,0)</f>
        <v>0</v>
      </c>
      <c r="H10" s="1616">
        <f>IF(Justificatif!AD12,IF(Justificatif!G13&gt;0,Justificatif!G13,0),0)</f>
        <v>0</v>
      </c>
      <c r="I10" s="1617">
        <f>IF(Justificatif!AD12,IF(AND(Justificatif!G13&gt;0,qw&gt;0),Justificatif!G13,0),0)</f>
        <v>0</v>
      </c>
      <c r="L10" s="156">
        <v>8</v>
      </c>
      <c r="M10" s="596" t="s">
        <v>205</v>
      </c>
      <c r="P10" s="596" t="s">
        <v>833</v>
      </c>
      <c r="Q10" s="596" t="s">
        <v>1540</v>
      </c>
      <c r="R10" s="596" t="s">
        <v>3032</v>
      </c>
    </row>
    <row r="11" spans="1:18" ht="15" customHeight="1">
      <c r="A11" s="596" t="str">
        <f>Uebersetzung!D496</f>
        <v>Prod. C</v>
      </c>
      <c r="C11" s="1628" t="str">
        <f>IF(Justificatif!M16&gt;1,INDEX($L$3:$M$50,Justificatif!M16,2),"")</f>
        <v/>
      </c>
      <c r="D11" s="1616">
        <f>IF(Justificatif!J16&gt;0,Justificatif!J16/100,0)</f>
        <v>0</v>
      </c>
      <c r="E11" s="1616">
        <f>IF(Justificatif!L16&gt;0,Justificatif!L16/100,0)</f>
        <v>0</v>
      </c>
      <c r="F11" s="1616">
        <f>IF(AND(WirkungsgradC&gt;0,Justificatif!S16=1),WirkungsgradC,0)</f>
        <v>0</v>
      </c>
      <c r="G11" s="1616">
        <f>IF(AND(WirkungsgradC&gt;0,qw&gt;0,Justificatif!T16=1),WirkungsgradC,0)</f>
        <v>0</v>
      </c>
      <c r="H11" s="1616">
        <f>IF(Justificatif!AD16,IF(Justificatif!G17&gt;0,Justificatif!G17,0),0)</f>
        <v>0</v>
      </c>
      <c r="I11" s="1617">
        <f>IF(Justificatif!AD16,IF(AND(Justificatif!G17&gt;0,qw&gt;0),Justificatif!G17,0),0)</f>
        <v>0</v>
      </c>
      <c r="L11" s="156">
        <v>9</v>
      </c>
      <c r="M11" s="596" t="s">
        <v>318</v>
      </c>
      <c r="P11" s="596" t="s">
        <v>238</v>
      </c>
      <c r="Q11" s="596" t="s">
        <v>1541</v>
      </c>
      <c r="R11" s="596" t="s">
        <v>3033</v>
      </c>
    </row>
    <row r="12" spans="1:18" ht="15" customHeight="1">
      <c r="A12" s="596" t="str">
        <f>Uebersetzung!D497</f>
        <v>Prod. D</v>
      </c>
      <c r="C12" s="1628" t="str">
        <f>IF(Justificatif!M20&gt;1,INDEX($L$3:$M$50,Justificatif!M20,2),"")</f>
        <v/>
      </c>
      <c r="D12" s="1616">
        <f>IF(Justificatif!J20&gt;0,Justificatif!J20/100,0)</f>
        <v>0</v>
      </c>
      <c r="E12" s="1616">
        <f>IF(Justificatif!L20&gt;0,Justificatif!L20/100,0)</f>
        <v>0</v>
      </c>
      <c r="F12" s="1616">
        <f>IF(AND(WirkungsgradD&gt;0,Justificatif!S20=1),WirkungsgradD,0)</f>
        <v>0</v>
      </c>
      <c r="G12" s="1616">
        <f>IF(AND(WirkungsgradD&gt;0,qw&gt;0,Justificatif!T20=1),WirkungsgradD,0)</f>
        <v>0</v>
      </c>
      <c r="H12" s="1616">
        <f>IF(Justificatif!AD20,IF(Justificatif!G21&gt;0,Justificatif!G21,0),0)</f>
        <v>0</v>
      </c>
      <c r="I12" s="1617">
        <f>IF(Justificatif!AD20,IF(AND(Justificatif!G21&gt;0,qw&gt;0),Justificatif!G21,0),0)</f>
        <v>0</v>
      </c>
      <c r="L12" s="156">
        <v>10</v>
      </c>
      <c r="M12" s="596" t="s">
        <v>22</v>
      </c>
      <c r="P12" s="596" t="s">
        <v>491</v>
      </c>
      <c r="Q12" s="596" t="s">
        <v>491</v>
      </c>
      <c r="R12" s="596" t="s">
        <v>3034</v>
      </c>
    </row>
    <row r="13" spans="1:18" ht="15" customHeight="1">
      <c r="C13" s="1628" t="str">
        <f>IF(Justificatif!B24&lt;&gt;"",Justificatif!B24,"")</f>
        <v/>
      </c>
      <c r="D13" s="1616" t="str">
        <f>IF(Justificatif!J24&gt;0,Justificatif!J24/100,"")</f>
        <v/>
      </c>
      <c r="E13" s="1616" t="str">
        <f>IF(Justificatif!L24&gt;0,Justificatif!L24/100,"")</f>
        <v/>
      </c>
      <c r="F13" s="1616"/>
      <c r="G13" s="1616"/>
      <c r="H13" s="1608"/>
      <c r="I13" s="1609"/>
      <c r="L13" s="156">
        <v>11</v>
      </c>
      <c r="M13" s="596" t="s">
        <v>1226</v>
      </c>
      <c r="P13" s="596" t="s">
        <v>239</v>
      </c>
      <c r="Q13" s="596" t="s">
        <v>1542</v>
      </c>
      <c r="R13" s="596" t="s">
        <v>3035</v>
      </c>
    </row>
    <row r="14" spans="1:18" ht="15" customHeight="1">
      <c r="A14" s="596" t="str">
        <f>Uebersetzung!D498</f>
        <v>Capacité utile (kWh)</v>
      </c>
      <c r="B14" s="596" t="s">
        <v>672</v>
      </c>
      <c r="C14" s="1619" t="str">
        <f>IF(MINERGIE!O109&gt;0,MINERGIE!O109,"")</f>
        <v/>
      </c>
      <c r="D14" s="1608"/>
      <c r="E14" s="1608"/>
      <c r="F14" s="1608"/>
      <c r="G14" s="1608"/>
      <c r="H14" s="1608"/>
      <c r="I14" s="1609"/>
      <c r="L14" s="156">
        <v>12</v>
      </c>
      <c r="M14" s="596" t="s">
        <v>186</v>
      </c>
      <c r="P14" s="596" t="s">
        <v>240</v>
      </c>
      <c r="Q14" s="596" t="s">
        <v>1543</v>
      </c>
      <c r="R14" s="596" t="s">
        <v>3036</v>
      </c>
    </row>
    <row r="15" spans="1:18" ht="15" customHeight="1">
      <c r="C15" s="1606"/>
      <c r="D15" s="1608"/>
      <c r="E15" s="1608"/>
      <c r="F15" s="1608"/>
      <c r="G15" s="1608"/>
      <c r="H15" s="1608"/>
      <c r="I15" s="1609"/>
      <c r="L15" s="156">
        <v>13</v>
      </c>
      <c r="M15" s="596" t="s">
        <v>45</v>
      </c>
    </row>
    <row r="16" spans="1:18" ht="15" customHeight="1">
      <c r="A16" s="1512" t="str">
        <f>Uebersetzung!D499</f>
        <v>Zone</v>
      </c>
      <c r="C16" s="1610">
        <v>1</v>
      </c>
      <c r="D16" s="1611">
        <v>2</v>
      </c>
      <c r="E16" s="1611">
        <v>3</v>
      </c>
      <c r="F16" s="1611">
        <v>4</v>
      </c>
      <c r="G16" s="1608"/>
      <c r="H16" s="1608"/>
      <c r="I16" s="1609"/>
      <c r="L16" s="156">
        <v>14</v>
      </c>
      <c r="M16" s="596" t="s">
        <v>145</v>
      </c>
    </row>
    <row r="17" spans="1:13" ht="15" customHeight="1">
      <c r="A17" s="596" t="str">
        <f>Uebersetzung!D500</f>
        <v>Catégorie de bâtiments</v>
      </c>
      <c r="B17" s="596" t="s">
        <v>3004</v>
      </c>
      <c r="C17" s="1619" t="str">
        <f>IF(Entrées!F16&lt;&gt;"",INDEX(P3:R15,Kategorie1,Uebersetzung!$A$1),"")</f>
        <v/>
      </c>
      <c r="D17" s="1616" t="str">
        <f>IF(Entrées!G16&lt;&gt;"",INDEX(P3:R15,Kategorie2,Uebersetzung!$A$1),"")</f>
        <v/>
      </c>
      <c r="E17" s="1616" t="str">
        <f>IF(Entrées!H16&lt;&gt;"",INDEX(P3:R15,Kategorie3,Uebersetzung!$A$1),"")</f>
        <v/>
      </c>
      <c r="F17" s="1616" t="str">
        <f>IF(Entrées!I16&lt;&gt;"",INDEX(P3:R15,Kategorie4,Uebersetzung!$A$1),"")</f>
        <v/>
      </c>
      <c r="G17" s="1608"/>
      <c r="H17" s="1608"/>
      <c r="I17" s="1609"/>
      <c r="L17" s="156">
        <v>15</v>
      </c>
      <c r="M17" s="596" t="s">
        <v>383</v>
      </c>
    </row>
    <row r="18" spans="1:13" ht="15" customHeight="1">
      <c r="A18" s="596" t="str">
        <f>Uebersetzung!D501</f>
        <v>Surface de référence énergétique SRE (m2)</v>
      </c>
      <c r="C18" s="1619">
        <f>IF(Entrées!F19&lt;&gt;"",Entrées!F19,0)</f>
        <v>0</v>
      </c>
      <c r="D18" s="1616">
        <f>IF(Entrées!G19&lt;&gt;"",Entrées!G19,0)</f>
        <v>0</v>
      </c>
      <c r="E18" s="1616">
        <f>IF(Entrées!H19&lt;&gt;"",Entrées!H19,0)</f>
        <v>0</v>
      </c>
      <c r="F18" s="1616">
        <f>IF(Entrées!I19&lt;&gt;"",Entrées!I19,0)</f>
        <v>0</v>
      </c>
      <c r="G18" s="1608"/>
      <c r="H18" s="1608"/>
      <c r="I18" s="1609"/>
      <c r="L18" s="156">
        <v>16</v>
      </c>
      <c r="M18" s="596" t="s">
        <v>459</v>
      </c>
    </row>
    <row r="19" spans="1:13" ht="15" customHeight="1">
      <c r="A19" s="596" t="str">
        <f>Uebersetzung!D502</f>
        <v>Nouvelle construction</v>
      </c>
      <c r="C19" s="1619" t="str">
        <f>IF(Entrées!F21&lt;&gt;"",IF(Neubau1=2,1,IF(Neubau1=3,0,"")),"")</f>
        <v/>
      </c>
      <c r="D19" s="1616" t="str">
        <f>IF(Entrées!G21&lt;&gt;"",IF(Neubau2=2,1,IF(Neubau2=3,0,"")),"")</f>
        <v/>
      </c>
      <c r="E19" s="1616" t="str">
        <f>IF(Entrées!H21&lt;&gt;"",IF(Neubau3=2,1,IF(Neubau3=3,0,"")),"")</f>
        <v/>
      </c>
      <c r="F19" s="1616" t="str">
        <f>IF(Entrées!I21&lt;&gt;"",IF(Neubau4=2,1,IF(Neubau4=3,0,"")),"")</f>
        <v/>
      </c>
      <c r="G19" s="1608"/>
      <c r="H19" s="1608"/>
      <c r="I19" s="1609"/>
      <c r="L19" s="156">
        <v>17</v>
      </c>
      <c r="M19" s="596" t="s">
        <v>475</v>
      </c>
    </row>
    <row r="20" spans="1:13" ht="15" customHeight="1">
      <c r="A20" s="596" t="str">
        <f>Uebersetzung!D503</f>
        <v>Eau chaude, valeur calculée</v>
      </c>
      <c r="B20" s="596" t="s">
        <v>524</v>
      </c>
      <c r="C20" s="1620">
        <f>IF(MINERGIE!F17&lt;&gt;0,MINERGIE!F17,0)</f>
        <v>0</v>
      </c>
      <c r="D20" s="1621">
        <f>IF(MINERGIE!G17&lt;&gt;0,MINERGIE!G17,0)</f>
        <v>0</v>
      </c>
      <c r="E20" s="1621">
        <f>IF(MINERGIE!H17&lt;&gt;0,MINERGIE!H17,0)</f>
        <v>0</v>
      </c>
      <c r="F20" s="1621">
        <f>IF(MINERGIE!I17&lt;&gt;0,MINERGIE!I17,0)</f>
        <v>0</v>
      </c>
      <c r="G20" s="1608"/>
      <c r="H20" s="1608"/>
      <c r="I20" s="1609"/>
      <c r="L20" s="156">
        <v>18</v>
      </c>
      <c r="M20" s="596" t="s">
        <v>476</v>
      </c>
    </row>
    <row r="21" spans="1:13" ht="15" customHeight="1">
      <c r="A21" s="596">
        <f>Uebersetzung!D504</f>
        <v>0</v>
      </c>
      <c r="C21" s="1606"/>
      <c r="D21" s="1608"/>
      <c r="E21" s="1608"/>
      <c r="F21" s="1608"/>
      <c r="G21" s="1608"/>
      <c r="H21" s="1608"/>
      <c r="I21" s="1609"/>
      <c r="L21" s="156">
        <v>19</v>
      </c>
      <c r="M21" s="596" t="s">
        <v>148</v>
      </c>
    </row>
    <row r="22" spans="1:13" ht="15" customHeight="1">
      <c r="A22" s="596" t="str">
        <f>Uebersetzung!D505</f>
        <v>Climatisation</v>
      </c>
      <c r="B22" s="596" t="s">
        <v>524</v>
      </c>
      <c r="C22" s="1620">
        <f>IF(Justificatif!G40&lt;&gt;0,Justificatif!G40,0)</f>
        <v>0</v>
      </c>
      <c r="D22" s="1621">
        <f>IF(Justificatif!H40&lt;&gt;0,Justificatif!H40,0)</f>
        <v>0</v>
      </c>
      <c r="E22" s="1621">
        <f>IF(Justificatif!I40&lt;&gt;0,Justificatif!I40,0)</f>
        <v>0</v>
      </c>
      <c r="F22" s="1621">
        <f>IF(Justificatif!J40&lt;&gt;0,Justificatif!J40,0)</f>
        <v>0</v>
      </c>
      <c r="G22" s="1608"/>
      <c r="H22" s="1608"/>
      <c r="I22" s="1609"/>
      <c r="L22" s="156">
        <v>20</v>
      </c>
      <c r="M22" s="596" t="s">
        <v>149</v>
      </c>
    </row>
    <row r="23" spans="1:13" ht="15" customHeight="1">
      <c r="A23" s="596" t="str">
        <f>Uebersetzung!D506</f>
        <v>Ventilation</v>
      </c>
      <c r="B23" s="596" t="s">
        <v>524</v>
      </c>
      <c r="C23" s="1620">
        <f>IF(Justificatif!G39&lt;&gt;0,Justificatif!G39,0)</f>
        <v>0</v>
      </c>
      <c r="D23" s="1621">
        <f>IF(Justificatif!H39&lt;&gt;0,Justificatif!H39,0)</f>
        <v>0</v>
      </c>
      <c r="E23" s="1621">
        <f>IF(Justificatif!I39&lt;&gt;0,Justificatif!I39,0)</f>
        <v>0</v>
      </c>
      <c r="F23" s="1621">
        <f>IF(Justificatif!J39&lt;&gt;0,Justificatif!J39,0)</f>
        <v>0</v>
      </c>
      <c r="G23" s="1608"/>
      <c r="H23" s="1608"/>
      <c r="I23" s="1609"/>
      <c r="L23" s="156">
        <v>21</v>
      </c>
      <c r="M23" s="596" t="s">
        <v>150</v>
      </c>
    </row>
    <row r="24" spans="1:13" ht="15" customHeight="1">
      <c r="A24" s="596" t="str">
        <f>Uebersetzung!D507</f>
        <v>Nombre d'unités d'habitation</v>
      </c>
      <c r="C24" s="1619">
        <f>IF(AND(MINERGIE!O25&gt;0,wohnen1),MINERGIE!O25,0)</f>
        <v>0</v>
      </c>
      <c r="D24" s="1616">
        <f>IF(AND(MINERGIE!P25&gt;0,wohnen2),MINERGIE!P25,0)</f>
        <v>0</v>
      </c>
      <c r="E24" s="1616">
        <f>IF(AND(MINERGIE!Q25&gt;0,wohnen3),MINERGIE!Q25,0)</f>
        <v>0</v>
      </c>
      <c r="F24" s="1616">
        <f>IF(AND(MINERGIE!R25&gt;0,wohnen4),MINERGIE!R25,0)</f>
        <v>0</v>
      </c>
      <c r="G24" s="1608"/>
      <c r="H24" s="1608"/>
      <c r="I24" s="1609"/>
      <c r="L24" s="156">
        <v>22</v>
      </c>
      <c r="M24" s="596" t="s">
        <v>151</v>
      </c>
    </row>
    <row r="25" spans="1:13" ht="15" customHeight="1">
      <c r="A25" s="596" t="str">
        <f>Uebersetzung!D508</f>
        <v>Cons. ascenseur</v>
      </c>
      <c r="B25" s="596" t="s">
        <v>524</v>
      </c>
      <c r="C25" s="1630">
        <f>IF(AND(Entrées!F19&gt;0,MINERGIE!O33&gt;0),MINERGIE!O33/Entrées!F19,0)</f>
        <v>0</v>
      </c>
      <c r="D25" s="1631">
        <f>IF(AND(Entrées!G19&gt;0,MINERGIE!P33&gt;0),MINERGIE!P33/Entrées!G19,0)</f>
        <v>0</v>
      </c>
      <c r="E25" s="1631">
        <f>IF(AND(Entrées!H19&gt;0,MINERGIE!Q33&gt;0),MINERGIE!Q33/Entrées!H19,0)</f>
        <v>0</v>
      </c>
      <c r="F25" s="1631">
        <f>IF(AND(Entrées!I19&gt;0,MINERGIE!R33&gt;0),MINERGIE!R33/Entrées!I19,0)</f>
        <v>0</v>
      </c>
      <c r="G25" s="1608"/>
      <c r="H25" s="1608"/>
      <c r="I25" s="1609"/>
      <c r="L25" s="156">
        <v>23</v>
      </c>
      <c r="M25" s="596" t="s">
        <v>146</v>
      </c>
    </row>
    <row r="26" spans="1:13" ht="15" customHeight="1">
      <c r="A26" s="596" t="str">
        <f>Uebersetzung!D509</f>
        <v>Cons. des bandes de chauffage</v>
      </c>
      <c r="B26" s="596" t="s">
        <v>524</v>
      </c>
      <c r="C26" s="1619">
        <v>0</v>
      </c>
      <c r="D26" s="1616">
        <v>0</v>
      </c>
      <c r="E26" s="1616">
        <v>0</v>
      </c>
      <c r="F26" s="1616">
        <v>0</v>
      </c>
      <c r="G26" s="1608"/>
      <c r="H26" s="1608"/>
      <c r="I26" s="1609"/>
      <c r="L26" s="156">
        <v>24</v>
      </c>
      <c r="M26" s="596" t="s">
        <v>152</v>
      </c>
    </row>
    <row r="27" spans="1:13" ht="15" customHeight="1">
      <c r="A27" s="596" t="str">
        <f>Uebersetzung!D510</f>
        <v>Réduction pour le lave-vaisselle</v>
      </c>
      <c r="B27" s="596" t="s">
        <v>2541</v>
      </c>
      <c r="C27" s="1619">
        <f>1-MINERGIE!O34</f>
        <v>1</v>
      </c>
      <c r="D27" s="1616">
        <f>IF(D$18&lt;&gt;"",1-MINERGIE!P34,1)</f>
        <v>1</v>
      </c>
      <c r="E27" s="1616">
        <f>IF(E$18&lt;&gt;"",1-MINERGIE!Q34,1)</f>
        <v>1</v>
      </c>
      <c r="F27" s="1616">
        <f>IF(F$18&lt;&gt;"",1-MINERGIE!R34,1)</f>
        <v>1</v>
      </c>
      <c r="G27" s="1608"/>
      <c r="H27" s="1608"/>
      <c r="I27" s="1609"/>
      <c r="L27" s="156">
        <v>25</v>
      </c>
      <c r="M27" s="596" t="s">
        <v>520</v>
      </c>
    </row>
    <row r="28" spans="1:13" ht="15" customHeight="1">
      <c r="A28" s="596" t="str">
        <f>Uebersetzung!D511</f>
        <v>Réduction pour le frigo et le congélateur</v>
      </c>
      <c r="B28" s="596" t="s">
        <v>2541</v>
      </c>
      <c r="C28" s="1619">
        <f>1-MINERGIE!O35</f>
        <v>1</v>
      </c>
      <c r="D28" s="1616">
        <f>IF(D$18&lt;&gt;"",1-MINERGIE!P35,1)</f>
        <v>1</v>
      </c>
      <c r="E28" s="1616">
        <f>IF(E$18&lt;&gt;"",1-MINERGIE!Q35,1)</f>
        <v>1</v>
      </c>
      <c r="F28" s="1616">
        <f>IF(F$18&lt;&gt;"",1-MINERGIE!R35,1)</f>
        <v>1</v>
      </c>
      <c r="G28" s="1608"/>
      <c r="H28" s="1608"/>
      <c r="I28" s="1609"/>
      <c r="L28" s="156">
        <v>26</v>
      </c>
      <c r="M28" s="596" t="s">
        <v>521</v>
      </c>
    </row>
    <row r="29" spans="1:13" ht="15" customHeight="1">
      <c r="A29" s="596" t="str">
        <f>Uebersetzung!D512</f>
        <v>Réduction pour le lave-linge</v>
      </c>
      <c r="B29" s="596" t="s">
        <v>2541</v>
      </c>
      <c r="C29" s="1619">
        <f>1-MINERGIE!O36</f>
        <v>1</v>
      </c>
      <c r="D29" s="1616">
        <f>IF(D$18&lt;&gt;"",1-MINERGIE!P36,1)</f>
        <v>1</v>
      </c>
      <c r="E29" s="1616">
        <f>IF(E$18&lt;&gt;"",1-MINERGIE!Q36,1)</f>
        <v>1</v>
      </c>
      <c r="F29" s="1616">
        <f>IF(F$18&lt;&gt;"",1-MINERGIE!R36,1)</f>
        <v>1</v>
      </c>
      <c r="G29" s="1608"/>
      <c r="H29" s="1608"/>
      <c r="I29" s="1609"/>
      <c r="L29" s="156">
        <v>27</v>
      </c>
      <c r="M29" s="596" t="s">
        <v>261</v>
      </c>
    </row>
    <row r="30" spans="1:13" ht="15" customHeight="1">
      <c r="A30" s="596" t="str">
        <f>Uebersetzung!D513</f>
        <v>Réduction pour le sèche-linge</v>
      </c>
      <c r="B30" s="596" t="s">
        <v>2541</v>
      </c>
      <c r="C30" s="1619">
        <f>1-MINERGIE!O37</f>
        <v>1</v>
      </c>
      <c r="D30" s="1616">
        <f>IF(D$18&lt;&gt;"",1-MINERGIE!P37,1)</f>
        <v>1</v>
      </c>
      <c r="E30" s="1616">
        <f>IF(E$18&lt;&gt;"",1-MINERGIE!Q37,1)</f>
        <v>1</v>
      </c>
      <c r="F30" s="1616">
        <f>IF(F$18&lt;&gt;"",1-MINERGIE!R37,1)</f>
        <v>1</v>
      </c>
      <c r="G30" s="1608"/>
      <c r="H30" s="1608"/>
      <c r="I30" s="1609"/>
      <c r="L30" s="156">
        <v>28</v>
      </c>
      <c r="M30" s="596" t="s">
        <v>437</v>
      </c>
    </row>
    <row r="31" spans="1:13" ht="15" customHeight="1">
      <c r="A31" s="596" t="str">
        <f>Uebersetzung!D514</f>
        <v>Réduction pour la cuisinières à induction</v>
      </c>
      <c r="B31" s="596" t="s">
        <v>2541</v>
      </c>
      <c r="C31" s="1619">
        <f>1-MINERGIE!O38</f>
        <v>1</v>
      </c>
      <c r="D31" s="1616">
        <f>IF(D$18&lt;&gt;"",1-MINERGIE!P38,1)</f>
        <v>1</v>
      </c>
      <c r="E31" s="1616">
        <f>IF(E$18&lt;&gt;"",1-MINERGIE!Q38,1)</f>
        <v>1</v>
      </c>
      <c r="F31" s="1616">
        <f>IF(F$18&lt;&gt;"",1-MINERGIE!R38,1)</f>
        <v>1</v>
      </c>
      <c r="G31" s="1608"/>
      <c r="H31" s="1608"/>
      <c r="I31" s="1609"/>
      <c r="L31" s="156">
        <v>29</v>
      </c>
      <c r="M31" s="596" t="s">
        <v>259</v>
      </c>
    </row>
    <row r="32" spans="1:13" ht="15" customHeight="1">
      <c r="A32" s="596" t="str">
        <f>Uebersetzung!D515</f>
        <v>Réduction pour l'éclairage</v>
      </c>
      <c r="B32" s="596" t="s">
        <v>2541</v>
      </c>
      <c r="C32" s="1619">
        <f>1-MINERGIE!O39</f>
        <v>1</v>
      </c>
      <c r="D32" s="1616">
        <f>IF(D$18&lt;&gt;"",1-MINERGIE!P39,1)</f>
        <v>1</v>
      </c>
      <c r="E32" s="1616">
        <f>IF(E$18&lt;&gt;"",1-MINERGIE!Q39,1)</f>
        <v>1</v>
      </c>
      <c r="F32" s="1616">
        <f>IF(F$18&lt;&gt;"",1-MINERGIE!R39,1)</f>
        <v>1</v>
      </c>
      <c r="G32" s="1608"/>
      <c r="H32" s="1608"/>
      <c r="I32" s="1609"/>
      <c r="L32" s="156">
        <v>30</v>
      </c>
      <c r="M32" s="596" t="s">
        <v>260</v>
      </c>
    </row>
    <row r="33" spans="1:13" ht="15" customHeight="1">
      <c r="A33" s="596" t="str">
        <f>Uebersetzung!D516</f>
        <v>Réduction pour l'éclairage commun</v>
      </c>
      <c r="B33" s="596" t="s">
        <v>2541</v>
      </c>
      <c r="C33" s="1619">
        <f>1-MINERGIE!O40</f>
        <v>1</v>
      </c>
      <c r="D33" s="1616">
        <f>IF(D$18&lt;&gt;"",1-MINERGIE!P40,1)</f>
        <v>1</v>
      </c>
      <c r="E33" s="1616">
        <f>IF(E$18&lt;&gt;"",1-MINERGIE!Q40,1)</f>
        <v>1</v>
      </c>
      <c r="F33" s="1616">
        <f>IF(F$18&lt;&gt;"",1-MINERGIE!R40,1)</f>
        <v>1</v>
      </c>
      <c r="G33" s="1608"/>
      <c r="H33" s="1608"/>
      <c r="I33" s="1609"/>
      <c r="L33" s="156">
        <v>31</v>
      </c>
      <c r="M33" s="596" t="s">
        <v>322</v>
      </c>
    </row>
    <row r="34" spans="1:13" ht="15" customHeight="1">
      <c r="A34" s="596" t="str">
        <f>Uebersetzung!D517</f>
        <v>Réduction pour les équipements techniques</v>
      </c>
      <c r="B34" s="596" t="s">
        <v>2541</v>
      </c>
      <c r="C34" s="1619">
        <f>1-MINERGIE!O41</f>
        <v>1</v>
      </c>
      <c r="D34" s="1616">
        <f>IF(D$18&lt;&gt;"",1-MINERGIE!P41,1)</f>
        <v>1</v>
      </c>
      <c r="E34" s="1616">
        <f>IF(E$18&lt;&gt;"",1-MINERGIE!Q41,1)</f>
        <v>1</v>
      </c>
      <c r="F34" s="1616">
        <f>IF(F$18&lt;&gt;"",1-MINERGIE!R41,1)</f>
        <v>1</v>
      </c>
      <c r="G34" s="1608"/>
      <c r="H34" s="1608"/>
      <c r="I34" s="1609"/>
      <c r="L34" s="156">
        <v>32</v>
      </c>
      <c r="M34" s="596" t="s">
        <v>522</v>
      </c>
    </row>
    <row r="35" spans="1:13" ht="15" customHeight="1">
      <c r="A35" s="596" t="str">
        <f>Uebersetzung!D518</f>
        <v>Besoin calculé pour l'éclairage des bâtiments du tertiaire</v>
      </c>
      <c r="B35" s="596" t="s">
        <v>524</v>
      </c>
      <c r="C35" s="1622">
        <f>IF(AND(MINERGIE!F50&gt;0,wohnen1=FALSE),MINERGIE!F50,0)</f>
        <v>0</v>
      </c>
      <c r="D35" s="1623">
        <f>IF(AND(MINERGIE!G50&gt;0,wohnen2=FALSE),MINERGIE!G50,0)</f>
        <v>0</v>
      </c>
      <c r="E35" s="1623">
        <f>IF(AND(MINERGIE!H50&gt;0,wohnen3=FALSE),MINERGIE!H50,0)</f>
        <v>0</v>
      </c>
      <c r="F35" s="1623">
        <f>IF(AND(MINERGIE!I50&gt;0,wohnen4=FALSE),MINERGIE!I50,0)</f>
        <v>0</v>
      </c>
      <c r="G35" s="1608"/>
      <c r="H35" s="1608"/>
      <c r="I35" s="1609"/>
      <c r="L35" s="156">
        <v>33</v>
      </c>
      <c r="M35" s="596" t="s">
        <v>523</v>
      </c>
    </row>
    <row r="36" spans="1:13" ht="15" customHeight="1">
      <c r="A36" s="596" t="str">
        <f>Uebersetzung!D519</f>
        <v>Besoin calculé pour les appareils des bâtiments du tertiaire</v>
      </c>
      <c r="B36" s="596" t="s">
        <v>524</v>
      </c>
      <c r="C36" s="1622">
        <f>IF(AND(MINERGIE!O59&gt;0,wohnen1=FALSE),MINERGIE!O59/2,0)</f>
        <v>0</v>
      </c>
      <c r="D36" s="1623">
        <f>IF(AND(MINERGIE!P59&gt;0,wohnen2=FALSE),MINERGIE!P59/2,0)</f>
        <v>0</v>
      </c>
      <c r="E36" s="1623">
        <f>IF(AND(MINERGIE!Q59&gt;0,wohnen3=FALSE),MINERGIE!Q59/2,0)</f>
        <v>0</v>
      </c>
      <c r="F36" s="1623">
        <f>IF(AND(MINERGIE!R59&gt;0,wohnen4=FALSE),MINERGIE!R59/2,0)</f>
        <v>0</v>
      </c>
      <c r="G36" s="1608"/>
      <c r="H36" s="1608"/>
      <c r="I36" s="1609"/>
      <c r="L36" s="156">
        <v>34</v>
      </c>
      <c r="M36" s="596" t="s">
        <v>2593</v>
      </c>
    </row>
    <row r="37" spans="1:13" ht="15" customHeight="1" thickBot="1">
      <c r="A37" s="596" t="str">
        <f>Uebersetzung!D520</f>
        <v>Besoin calculé pour l'équipement commun des bâtiments du tertiaire</v>
      </c>
      <c r="B37" s="596" t="s">
        <v>524</v>
      </c>
      <c r="C37" s="1624">
        <f>IF(AND(MINERGIE!O68&gt;0,wohnen1=FALSE),MINERGIE!O68/2,0)</f>
        <v>0</v>
      </c>
      <c r="D37" s="1625">
        <f>IF(AND(MINERGIE!P68&gt;0,wohnen2=FALSE),MINERGIE!P68/2,0)</f>
        <v>0</v>
      </c>
      <c r="E37" s="1625">
        <f>IF(AND(MINERGIE!Q68&gt;0,wohnen3=FALSE),MINERGIE!Q68/2,0)</f>
        <v>0</v>
      </c>
      <c r="F37" s="1625">
        <f>IF(AND(MINERGIE!R68&gt;0,wohnen4=FALSE),MINERGIE!R68/2,0)</f>
        <v>0</v>
      </c>
      <c r="G37" s="1612"/>
      <c r="H37" s="1612"/>
      <c r="I37" s="1613"/>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PAC compacte avec air fourni/repris sans récup. de chaleur (qu'eau chaude)</v>
      </c>
    </row>
    <row r="50" spans="12:13">
      <c r="L50" s="156">
        <v>48</v>
      </c>
      <c r="M50" s="596" t="str">
        <f>Standardwerte!T153</f>
        <v>Biomasse, connectée au réseau hydraulique</v>
      </c>
    </row>
    <row r="51" spans="12:13">
      <c r="L51" s="156"/>
    </row>
  </sheetData>
  <sheetProtection algorithmName="SHA-512" hashValue="XEBeXNX4Wc1Rs0HM4uU18LAB6itG8rWdfLKZe+qnlPfDWxtBIeUheb8uRM9PTro7lgrxGZftm7weWOMWBzrzpg==" saltValue="JOGLsWznxc6WU3pQ7L3ov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Entrées</vt:lpstr>
      <vt:lpstr>MINERGIE</vt:lpstr>
      <vt:lpstr>Eté</vt:lpstr>
      <vt:lpstr>Justificatif</vt:lpstr>
      <vt:lpstr>Aperçu</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Aperçu!Druckbereich</vt:lpstr>
      <vt:lpstr>Entrées!Druckbereich</vt:lpstr>
      <vt:lpstr>Eté!Druckbereich</vt:lpstr>
      <vt:lpstr>Justificatif!Druckbereich</vt:lpstr>
      <vt:lpstr>MINERGIE!Druckbereich</vt:lpstr>
      <vt:lpstr>Standardwerte!Druckbereich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2020-12-21T14:47:46Z</cp:lastPrinted>
  <dcterms:created xsi:type="dcterms:W3CDTF">1998-04-16T12:19:12Z</dcterms:created>
  <dcterms:modified xsi:type="dcterms:W3CDTF">2020-12-22T15:47:23Z</dcterms:modified>
  <cp:category>Energienachweis MUKEN 2014 / MINERGIE-Nachweis 2020</cp:category>
</cp:coreProperties>
</file>