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4_Zertifizierung\41_Dokumente\428_Berechnungshilfen\01_Lüftung\01_Gültig\"/>
    </mc:Choice>
  </mc:AlternateContent>
  <xr:revisionPtr revIDLastSave="0" documentId="8_{600F074B-0A13-49A4-B486-6DB4D5EE3B52}" xr6:coauthVersionLast="45" xr6:coauthVersionMax="45" xr10:uidLastSave="{00000000-0000-0000-0000-000000000000}"/>
  <bookViews>
    <workbookView xWindow="-120" yWindow="-120" windowWidth="29040" windowHeight="17640" tabRatio="854" xr2:uid="{00000000-000D-0000-FFFF-FFFF00000000}"/>
  </bookViews>
  <sheets>
    <sheet name="Lüftung" sheetId="20" r:id="rId1"/>
    <sheet name="Log" sheetId="24" state="hidden" r:id="rId2"/>
    <sheet name="Uebersetzung" sheetId="23" state="hidden" r:id="rId3"/>
    <sheet name="Berechnung" sheetId="22" state="hidden" r:id="rId4"/>
  </sheets>
  <externalReferences>
    <externalReference r:id="rId5"/>
  </externalReferences>
  <definedNames>
    <definedName name="_xlnm.Print_Area" localSheetId="0">Lüftung!$B$1:$S$40</definedName>
    <definedName name="ECAC">Berechnung!$I$106:$I$107</definedName>
    <definedName name="JaNein">Berechnung!$I$97:$I$99</definedName>
    <definedName name="Lüftungsart">Berechnung!$B$45:$B$68</definedName>
    <definedName name="Min_Druck">Berechnung!$J$3</definedName>
    <definedName name="Min_Vollast">Berechnung!$F$3</definedName>
    <definedName name="MUKEN">Uebersetzung!$I$8</definedName>
    <definedName name="Nachweistyp">[1]Standardwerte!$Y$47:$Y$50</definedName>
    <definedName name="Nutzung">Berechnung!$L$44:$L$101</definedName>
    <definedName name="Regelungsart">Berechnung!$B$75:$B$90</definedName>
    <definedName name="WRG">Berechnung!$B$97:$B$112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99" i="22" l="1"/>
  <c r="V99" i="22" s="1"/>
  <c r="U98" i="22"/>
  <c r="V98" i="22" s="1"/>
  <c r="U97" i="22"/>
  <c r="V97" i="22" s="1"/>
  <c r="U92" i="22"/>
  <c r="V92" i="22" s="1"/>
  <c r="U91" i="22"/>
  <c r="V91" i="22" s="1"/>
  <c r="U90" i="22"/>
  <c r="V90" i="22" s="1"/>
  <c r="E90" i="22"/>
  <c r="V89" i="22"/>
  <c r="N89" i="22" s="1"/>
  <c r="U89" i="22"/>
  <c r="E89" i="22"/>
  <c r="E88" i="22"/>
  <c r="U87" i="22"/>
  <c r="V87" i="22" s="1"/>
  <c r="E87" i="22"/>
  <c r="U86" i="22"/>
  <c r="V86" i="22" s="1"/>
  <c r="E86" i="22"/>
  <c r="E85" i="22"/>
  <c r="E84" i="22"/>
  <c r="E83" i="22"/>
  <c r="E82" i="22"/>
  <c r="E81" i="22"/>
  <c r="U80" i="22"/>
  <c r="V80" i="22" s="1"/>
  <c r="E80" i="22"/>
  <c r="E79" i="22"/>
  <c r="E78" i="22"/>
  <c r="E77" i="22"/>
  <c r="E76" i="22"/>
  <c r="U72" i="22"/>
  <c r="V72" i="22" s="1"/>
  <c r="U71" i="22"/>
  <c r="V71" i="22" s="1"/>
  <c r="U70" i="22"/>
  <c r="V70" i="22" s="1"/>
  <c r="U64" i="22"/>
  <c r="V64" i="22" s="1"/>
  <c r="U62" i="22"/>
  <c r="V62" i="22" s="1"/>
  <c r="U61" i="22"/>
  <c r="V61" i="22" s="1"/>
  <c r="H60" i="22"/>
  <c r="Y59" i="22"/>
  <c r="U79" i="22" s="1"/>
  <c r="V79" i="22" s="1"/>
  <c r="U59" i="22"/>
  <c r="V59" i="22" s="1"/>
  <c r="H59" i="22"/>
  <c r="Y58" i="22"/>
  <c r="U83" i="22" s="1"/>
  <c r="V83" i="22" s="1"/>
  <c r="U58" i="22"/>
  <c r="V58" i="22" s="1"/>
  <c r="H58" i="22"/>
  <c r="U57" i="22"/>
  <c r="V57" i="22" s="1"/>
  <c r="H57" i="22"/>
  <c r="V56" i="22"/>
  <c r="R56" i="22" s="1"/>
  <c r="P56" i="22"/>
  <c r="O56" i="22"/>
  <c r="H56" i="22"/>
  <c r="V55" i="22"/>
  <c r="R55" i="22"/>
  <c r="P55" i="22"/>
  <c r="O55" i="22"/>
  <c r="H55" i="22"/>
  <c r="V54" i="22"/>
  <c r="R54" i="22" s="1"/>
  <c r="H54" i="22"/>
  <c r="V53" i="22"/>
  <c r="R53" i="22" s="1"/>
  <c r="P53" i="22"/>
  <c r="O53" i="22"/>
  <c r="H53" i="22"/>
  <c r="V52" i="22"/>
  <c r="R52" i="22" s="1"/>
  <c r="P52" i="22"/>
  <c r="O52" i="22"/>
  <c r="H52" i="22"/>
  <c r="V51" i="22"/>
  <c r="R51" i="22"/>
  <c r="P51" i="22"/>
  <c r="O51" i="22"/>
  <c r="H51" i="22"/>
  <c r="V50" i="22"/>
  <c r="R50" i="22" s="1"/>
  <c r="P50" i="22"/>
  <c r="O50" i="22"/>
  <c r="H50" i="22"/>
  <c r="V49" i="22"/>
  <c r="R49" i="22" s="1"/>
  <c r="P49" i="22"/>
  <c r="O49" i="22"/>
  <c r="H49" i="22"/>
  <c r="V48" i="22"/>
  <c r="R48" i="22" s="1"/>
  <c r="P48" i="22"/>
  <c r="O48" i="22"/>
  <c r="H48" i="22"/>
  <c r="V47" i="22"/>
  <c r="R47" i="22"/>
  <c r="P47" i="22"/>
  <c r="O47" i="22"/>
  <c r="H47" i="22"/>
  <c r="V46" i="22"/>
  <c r="R46" i="22" s="1"/>
  <c r="H46" i="22"/>
  <c r="V45" i="22"/>
  <c r="R45" i="22" s="1"/>
  <c r="H45" i="22"/>
  <c r="T31" i="22"/>
  <c r="R31" i="22"/>
  <c r="N31" i="22"/>
  <c r="I31" i="22"/>
  <c r="L31" i="22" s="1"/>
  <c r="H31" i="22"/>
  <c r="G31" i="22"/>
  <c r="F31" i="22"/>
  <c r="E31" i="22"/>
  <c r="J31" i="22" s="1"/>
  <c r="C31" i="22"/>
  <c r="D31" i="22" s="1"/>
  <c r="B31" i="22"/>
  <c r="T30" i="22"/>
  <c r="R30" i="22"/>
  <c r="N30" i="22"/>
  <c r="I30" i="22"/>
  <c r="L30" i="22" s="1"/>
  <c r="H30" i="22"/>
  <c r="G30" i="22"/>
  <c r="F30" i="22"/>
  <c r="E30" i="22"/>
  <c r="J30" i="22" s="1"/>
  <c r="C30" i="22"/>
  <c r="D30" i="22" s="1"/>
  <c r="B30" i="22"/>
  <c r="T29" i="22"/>
  <c r="R29" i="22"/>
  <c r="N29" i="22"/>
  <c r="Q29" i="22" s="1"/>
  <c r="I29" i="22"/>
  <c r="L29" i="22" s="1"/>
  <c r="H29" i="22"/>
  <c r="G29" i="22"/>
  <c r="F29" i="22"/>
  <c r="E29" i="22"/>
  <c r="J29" i="22" s="1"/>
  <c r="C29" i="22"/>
  <c r="D29" i="22" s="1"/>
  <c r="B29" i="22"/>
  <c r="T28" i="22"/>
  <c r="R28" i="22"/>
  <c r="N28" i="22"/>
  <c r="I28" i="22"/>
  <c r="L28" i="22" s="1"/>
  <c r="H28" i="22"/>
  <c r="G28" i="22"/>
  <c r="F28" i="22"/>
  <c r="E28" i="22"/>
  <c r="J28" i="22" s="1"/>
  <c r="C28" i="22"/>
  <c r="D28" i="22" s="1"/>
  <c r="B28" i="22"/>
  <c r="T27" i="22"/>
  <c r="R27" i="22"/>
  <c r="N27" i="22"/>
  <c r="I27" i="22"/>
  <c r="L27" i="22" s="1"/>
  <c r="H27" i="22"/>
  <c r="G27" i="22"/>
  <c r="F27" i="22"/>
  <c r="E27" i="22"/>
  <c r="J27" i="22" s="1"/>
  <c r="C27" i="22"/>
  <c r="D27" i="22" s="1"/>
  <c r="B27" i="22"/>
  <c r="T26" i="22"/>
  <c r="R26" i="22"/>
  <c r="N26" i="22"/>
  <c r="I26" i="22"/>
  <c r="L26" i="22" s="1"/>
  <c r="H26" i="22"/>
  <c r="G26" i="22"/>
  <c r="F26" i="22"/>
  <c r="E26" i="22"/>
  <c r="J26" i="22" s="1"/>
  <c r="C26" i="22"/>
  <c r="D26" i="22" s="1"/>
  <c r="B26" i="22"/>
  <c r="T25" i="22"/>
  <c r="R25" i="22"/>
  <c r="N25" i="22"/>
  <c r="Q25" i="22" s="1"/>
  <c r="I25" i="22"/>
  <c r="L25" i="22" s="1"/>
  <c r="H25" i="22"/>
  <c r="G25" i="22"/>
  <c r="F25" i="22"/>
  <c r="E25" i="22"/>
  <c r="J25" i="22" s="1"/>
  <c r="C25" i="22"/>
  <c r="D25" i="22" s="1"/>
  <c r="B25" i="22"/>
  <c r="T24" i="22"/>
  <c r="R24" i="22"/>
  <c r="N24" i="22"/>
  <c r="I24" i="22"/>
  <c r="L24" i="22" s="1"/>
  <c r="H24" i="22"/>
  <c r="G24" i="22"/>
  <c r="F24" i="22"/>
  <c r="E24" i="22"/>
  <c r="J24" i="22" s="1"/>
  <c r="C24" i="22"/>
  <c r="D24" i="22" s="1"/>
  <c r="B24" i="22"/>
  <c r="T23" i="22"/>
  <c r="R23" i="22"/>
  <c r="N23" i="22"/>
  <c r="I23" i="22"/>
  <c r="L23" i="22" s="1"/>
  <c r="H23" i="22"/>
  <c r="G23" i="22"/>
  <c r="F23" i="22"/>
  <c r="E23" i="22"/>
  <c r="J23" i="22" s="1"/>
  <c r="C23" i="22"/>
  <c r="D23" i="22" s="1"/>
  <c r="B23" i="22"/>
  <c r="T22" i="22"/>
  <c r="R22" i="22"/>
  <c r="N22" i="22"/>
  <c r="Q22" i="22" s="1"/>
  <c r="I22" i="22"/>
  <c r="L22" i="22" s="1"/>
  <c r="H22" i="22"/>
  <c r="G22" i="22"/>
  <c r="F22" i="22"/>
  <c r="E22" i="22"/>
  <c r="J22" i="22" s="1"/>
  <c r="C22" i="22"/>
  <c r="D22" i="22" s="1"/>
  <c r="B22" i="22"/>
  <c r="T21" i="22"/>
  <c r="R21" i="22"/>
  <c r="N21" i="22"/>
  <c r="Q21" i="22" s="1"/>
  <c r="I21" i="22"/>
  <c r="L21" i="22" s="1"/>
  <c r="H21" i="22"/>
  <c r="G21" i="22"/>
  <c r="F21" i="22"/>
  <c r="E21" i="22"/>
  <c r="J21" i="22" s="1"/>
  <c r="C21" i="22"/>
  <c r="D21" i="22" s="1"/>
  <c r="B21" i="22"/>
  <c r="T20" i="22"/>
  <c r="R20" i="22"/>
  <c r="N20" i="22"/>
  <c r="I20" i="22"/>
  <c r="L20" i="22" s="1"/>
  <c r="H20" i="22"/>
  <c r="G20" i="22"/>
  <c r="F20" i="22"/>
  <c r="E20" i="22"/>
  <c r="J20" i="22" s="1"/>
  <c r="C20" i="22"/>
  <c r="D20" i="22" s="1"/>
  <c r="B20" i="22"/>
  <c r="T19" i="22"/>
  <c r="R19" i="22"/>
  <c r="N19" i="22"/>
  <c r="I19" i="22"/>
  <c r="L19" i="22" s="1"/>
  <c r="H19" i="22"/>
  <c r="G19" i="22"/>
  <c r="F19" i="22"/>
  <c r="E19" i="22"/>
  <c r="J19" i="22" s="1"/>
  <c r="C19" i="22"/>
  <c r="D19" i="22" s="1"/>
  <c r="B19" i="22"/>
  <c r="T18" i="22"/>
  <c r="R18" i="22"/>
  <c r="N18" i="22"/>
  <c r="Q18" i="22" s="1"/>
  <c r="I18" i="22"/>
  <c r="L18" i="22" s="1"/>
  <c r="H18" i="22"/>
  <c r="G18" i="22"/>
  <c r="F18" i="22"/>
  <c r="E18" i="22"/>
  <c r="J18" i="22" s="1"/>
  <c r="C18" i="22"/>
  <c r="D18" i="22" s="1"/>
  <c r="B18" i="22"/>
  <c r="T17" i="22"/>
  <c r="R17" i="22"/>
  <c r="N17" i="22"/>
  <c r="Q17" i="22" s="1"/>
  <c r="I17" i="22"/>
  <c r="L17" i="22" s="1"/>
  <c r="H17" i="22"/>
  <c r="G17" i="22"/>
  <c r="F17" i="22"/>
  <c r="E17" i="22"/>
  <c r="J17" i="22" s="1"/>
  <c r="C17" i="22"/>
  <c r="D17" i="22" s="1"/>
  <c r="B17" i="22"/>
  <c r="T16" i="22"/>
  <c r="R16" i="22"/>
  <c r="N16" i="22"/>
  <c r="Q16" i="22" s="1"/>
  <c r="I16" i="22"/>
  <c r="L16" i="22" s="1"/>
  <c r="H16" i="22"/>
  <c r="G16" i="22"/>
  <c r="F16" i="22"/>
  <c r="E16" i="22"/>
  <c r="J16" i="22" s="1"/>
  <c r="C16" i="22"/>
  <c r="D16" i="22" s="1"/>
  <c r="B16" i="22"/>
  <c r="T15" i="22"/>
  <c r="R15" i="22"/>
  <c r="N15" i="22"/>
  <c r="I15" i="22"/>
  <c r="L15" i="22" s="1"/>
  <c r="H15" i="22"/>
  <c r="G15" i="22"/>
  <c r="F15" i="22"/>
  <c r="E15" i="22"/>
  <c r="J15" i="22" s="1"/>
  <c r="C15" i="22"/>
  <c r="D15" i="22" s="1"/>
  <c r="B15" i="22"/>
  <c r="T14" i="22"/>
  <c r="R14" i="22"/>
  <c r="N14" i="22"/>
  <c r="Q14" i="22" s="1"/>
  <c r="I14" i="22"/>
  <c r="L14" i="22" s="1"/>
  <c r="H14" i="22"/>
  <c r="G14" i="22"/>
  <c r="F14" i="22"/>
  <c r="E14" i="22"/>
  <c r="J14" i="22" s="1"/>
  <c r="C14" i="22"/>
  <c r="D14" i="22" s="1"/>
  <c r="B14" i="22"/>
  <c r="T13" i="22"/>
  <c r="R13" i="22"/>
  <c r="N13" i="22"/>
  <c r="Q13" i="22" s="1"/>
  <c r="I13" i="22"/>
  <c r="L13" i="22" s="1"/>
  <c r="H13" i="22"/>
  <c r="G13" i="22"/>
  <c r="F13" i="22"/>
  <c r="E13" i="22"/>
  <c r="J13" i="22" s="1"/>
  <c r="C13" i="22"/>
  <c r="D13" i="22" s="1"/>
  <c r="B13" i="22"/>
  <c r="T12" i="22"/>
  <c r="R12" i="22"/>
  <c r="N12" i="22"/>
  <c r="I12" i="22"/>
  <c r="L12" i="22" s="1"/>
  <c r="H12" i="22"/>
  <c r="G12" i="22"/>
  <c r="F12" i="22"/>
  <c r="E12" i="22"/>
  <c r="J12" i="22" s="1"/>
  <c r="C12" i="22"/>
  <c r="D12" i="22" s="1"/>
  <c r="B12" i="22"/>
  <c r="T11" i="22"/>
  <c r="R11" i="22"/>
  <c r="N11" i="22"/>
  <c r="I11" i="22"/>
  <c r="L11" i="22" s="1"/>
  <c r="H11" i="22"/>
  <c r="G11" i="22"/>
  <c r="F11" i="22"/>
  <c r="E11" i="22"/>
  <c r="J11" i="22" s="1"/>
  <c r="C11" i="22"/>
  <c r="D11" i="22" s="1"/>
  <c r="B11" i="22"/>
  <c r="T10" i="22"/>
  <c r="R10" i="22"/>
  <c r="N10" i="22"/>
  <c r="Q10" i="22" s="1"/>
  <c r="I10" i="22"/>
  <c r="L10" i="22" s="1"/>
  <c r="H10" i="22"/>
  <c r="G10" i="22"/>
  <c r="F10" i="22"/>
  <c r="E10" i="22"/>
  <c r="J10" i="22" s="1"/>
  <c r="C10" i="22"/>
  <c r="D10" i="22" s="1"/>
  <c r="B10" i="22"/>
  <c r="T9" i="22"/>
  <c r="R9" i="22"/>
  <c r="N9" i="22"/>
  <c r="Q9" i="22" s="1"/>
  <c r="I9" i="22"/>
  <c r="L9" i="22" s="1"/>
  <c r="H9" i="22"/>
  <c r="G9" i="22"/>
  <c r="F9" i="22"/>
  <c r="E9" i="22"/>
  <c r="J9" i="22" s="1"/>
  <c r="C9" i="22"/>
  <c r="D9" i="22" s="1"/>
  <c r="B9" i="22"/>
  <c r="T8" i="22"/>
  <c r="R8" i="22"/>
  <c r="N8" i="22"/>
  <c r="I8" i="22"/>
  <c r="L8" i="22" s="1"/>
  <c r="H8" i="22"/>
  <c r="G8" i="22"/>
  <c r="F8" i="22"/>
  <c r="E8" i="22"/>
  <c r="J8" i="22" s="1"/>
  <c r="C8" i="22"/>
  <c r="D8" i="22" s="1"/>
  <c r="B8" i="22"/>
  <c r="T7" i="22"/>
  <c r="R7" i="22"/>
  <c r="N7" i="22"/>
  <c r="Q7" i="22" s="1"/>
  <c r="I7" i="22"/>
  <c r="L7" i="22" s="1"/>
  <c r="H7" i="22"/>
  <c r="G7" i="22"/>
  <c r="F7" i="22"/>
  <c r="N15" i="20" s="1"/>
  <c r="E7" i="22"/>
  <c r="J7" i="22" s="1"/>
  <c r="C7" i="22"/>
  <c r="D7" i="22" s="1"/>
  <c r="B7" i="22"/>
  <c r="T6" i="22"/>
  <c r="R6" i="22"/>
  <c r="N6" i="22"/>
  <c r="Q6" i="22" s="1"/>
  <c r="I6" i="22"/>
  <c r="L6" i="22" s="1"/>
  <c r="H6" i="22"/>
  <c r="G6" i="22"/>
  <c r="F6" i="22"/>
  <c r="E6" i="22"/>
  <c r="J6" i="22" s="1"/>
  <c r="C6" i="22"/>
  <c r="D6" i="22" s="1"/>
  <c r="B6" i="22"/>
  <c r="I7" i="23"/>
  <c r="I8" i="23" s="1"/>
  <c r="U8" i="20" s="1"/>
  <c r="U9" i="20" s="1"/>
  <c r="G4" i="23"/>
  <c r="F4" i="23"/>
  <c r="H3" i="23"/>
  <c r="H2" i="23"/>
  <c r="A1" i="23" s="1"/>
  <c r="H1" i="23"/>
  <c r="S40" i="20"/>
  <c r="R40" i="20"/>
  <c r="S39" i="20"/>
  <c r="R39" i="20"/>
  <c r="N39" i="20"/>
  <c r="U31" i="22" s="1"/>
  <c r="H39" i="20"/>
  <c r="V31" i="22" s="1"/>
  <c r="W31" i="22" s="1"/>
  <c r="M31" i="22" s="1"/>
  <c r="S38" i="20"/>
  <c r="R38" i="20"/>
  <c r="N38" i="20"/>
  <c r="U30" i="22" s="1"/>
  <c r="H38" i="20"/>
  <c r="S37" i="20"/>
  <c r="R37" i="20"/>
  <c r="N37" i="20"/>
  <c r="U29" i="22" s="1"/>
  <c r="H37" i="20"/>
  <c r="S36" i="20"/>
  <c r="R36" i="20"/>
  <c r="N36" i="20"/>
  <c r="U28" i="22" s="1"/>
  <c r="H36" i="20"/>
  <c r="S35" i="20"/>
  <c r="R35" i="20"/>
  <c r="N35" i="20"/>
  <c r="U27" i="22" s="1"/>
  <c r="H35" i="20"/>
  <c r="V27" i="22" s="1"/>
  <c r="W27" i="22" s="1"/>
  <c r="M27" i="22" s="1"/>
  <c r="S34" i="20"/>
  <c r="R34" i="20"/>
  <c r="N34" i="20"/>
  <c r="U26" i="22" s="1"/>
  <c r="H34" i="20"/>
  <c r="S33" i="20"/>
  <c r="R33" i="20"/>
  <c r="N33" i="20"/>
  <c r="U25" i="22" s="1"/>
  <c r="H33" i="20"/>
  <c r="S32" i="20"/>
  <c r="R32" i="20"/>
  <c r="N32" i="20"/>
  <c r="U24" i="22" s="1"/>
  <c r="H32" i="20"/>
  <c r="S31" i="20"/>
  <c r="R31" i="20"/>
  <c r="N31" i="20"/>
  <c r="U23" i="22" s="1"/>
  <c r="H31" i="20"/>
  <c r="S30" i="20"/>
  <c r="R30" i="20"/>
  <c r="N30" i="20"/>
  <c r="U22" i="22" s="1"/>
  <c r="H30" i="20"/>
  <c r="S29" i="20"/>
  <c r="R29" i="20"/>
  <c r="N29" i="20"/>
  <c r="U21" i="22" s="1"/>
  <c r="H29" i="20"/>
  <c r="S28" i="20"/>
  <c r="R28" i="20"/>
  <c r="N28" i="20"/>
  <c r="U20" i="22" s="1"/>
  <c r="H28" i="20"/>
  <c r="S27" i="20"/>
  <c r="R27" i="20"/>
  <c r="N27" i="20"/>
  <c r="U19" i="22" s="1"/>
  <c r="H27" i="20"/>
  <c r="V19" i="22" s="1"/>
  <c r="W19" i="22" s="1"/>
  <c r="M19" i="22" s="1"/>
  <c r="S26" i="20"/>
  <c r="R26" i="20"/>
  <c r="N26" i="20"/>
  <c r="U18" i="22" s="1"/>
  <c r="H26" i="20"/>
  <c r="S25" i="20"/>
  <c r="R25" i="20"/>
  <c r="N25" i="20"/>
  <c r="U17" i="22" s="1"/>
  <c r="H25" i="20"/>
  <c r="S24" i="20"/>
  <c r="R24" i="20"/>
  <c r="N24" i="20"/>
  <c r="U16" i="22" s="1"/>
  <c r="H24" i="20"/>
  <c r="S23" i="20"/>
  <c r="R23" i="20"/>
  <c r="N23" i="20"/>
  <c r="U15" i="22" s="1"/>
  <c r="H23" i="20"/>
  <c r="V15" i="22" s="1"/>
  <c r="W15" i="22" s="1"/>
  <c r="M15" i="22" s="1"/>
  <c r="S22" i="20"/>
  <c r="R22" i="20"/>
  <c r="N22" i="20"/>
  <c r="U14" i="22" s="1"/>
  <c r="H22" i="20"/>
  <c r="S21" i="20"/>
  <c r="R21" i="20"/>
  <c r="N21" i="20"/>
  <c r="U13" i="22" s="1"/>
  <c r="H21" i="20"/>
  <c r="S20" i="20"/>
  <c r="R20" i="20"/>
  <c r="N20" i="20"/>
  <c r="U12" i="22" s="1"/>
  <c r="H20" i="20"/>
  <c r="S19" i="20"/>
  <c r="R19" i="20"/>
  <c r="N19" i="20"/>
  <c r="U11" i="22" s="1"/>
  <c r="H19" i="20"/>
  <c r="S18" i="20"/>
  <c r="R18" i="20"/>
  <c r="N18" i="20"/>
  <c r="U10" i="22" s="1"/>
  <c r="H18" i="20"/>
  <c r="S17" i="20"/>
  <c r="R17" i="20"/>
  <c r="N17" i="20"/>
  <c r="U9" i="22" s="1"/>
  <c r="H17" i="20"/>
  <c r="S16" i="20"/>
  <c r="R16" i="20"/>
  <c r="N16" i="20"/>
  <c r="U8" i="22" s="1"/>
  <c r="H16" i="20"/>
  <c r="V8" i="22" s="1"/>
  <c r="W8" i="22" s="1"/>
  <c r="M8" i="22" s="1"/>
  <c r="R15" i="20"/>
  <c r="H15" i="20"/>
  <c r="V7" i="22" s="1"/>
  <c r="W7" i="22" s="1"/>
  <c r="M7" i="22" s="1"/>
  <c r="S14" i="20"/>
  <c r="R14" i="20"/>
  <c r="N14" i="20"/>
  <c r="U6" i="22" s="1"/>
  <c r="H14" i="20"/>
  <c r="G13" i="20"/>
  <c r="N59" i="22" l="1"/>
  <c r="R59" i="22"/>
  <c r="U60" i="22"/>
  <c r="V60" i="22" s="1"/>
  <c r="R60" i="22" s="1"/>
  <c r="U65" i="22"/>
  <c r="V65" i="22" s="1"/>
  <c r="R65" i="22" s="1"/>
  <c r="S24" i="22"/>
  <c r="Q32" i="20" s="1"/>
  <c r="S30" i="22"/>
  <c r="Q38" i="20" s="1"/>
  <c r="S26" i="22"/>
  <c r="Q34" i="20" s="1"/>
  <c r="K14" i="22"/>
  <c r="K18" i="22"/>
  <c r="K22" i="22"/>
  <c r="K30" i="22"/>
  <c r="S10" i="22"/>
  <c r="Q18" i="20" s="1"/>
  <c r="K11" i="22"/>
  <c r="K9" i="22"/>
  <c r="K13" i="22"/>
  <c r="S14" i="22"/>
  <c r="Q22" i="20" s="1"/>
  <c r="K17" i="22"/>
  <c r="N1" i="22"/>
  <c r="S7" i="22"/>
  <c r="Q15" i="20" s="1"/>
  <c r="S9" i="22"/>
  <c r="Q17" i="20" s="1"/>
  <c r="R79" i="22"/>
  <c r="N79" i="22"/>
  <c r="R62" i="22"/>
  <c r="N62" i="22"/>
  <c r="R71" i="22"/>
  <c r="N71" i="22"/>
  <c r="R87" i="22"/>
  <c r="N87" i="22"/>
  <c r="R92" i="22"/>
  <c r="N92" i="22"/>
  <c r="R58" i="22"/>
  <c r="N58" i="22"/>
  <c r="R64" i="22"/>
  <c r="N64" i="22"/>
  <c r="R72" i="22"/>
  <c r="N72" i="22"/>
  <c r="R97" i="22"/>
  <c r="N97" i="22"/>
  <c r="R83" i="22"/>
  <c r="N83" i="22"/>
  <c r="N65" i="22"/>
  <c r="R86" i="22"/>
  <c r="N86" i="22"/>
  <c r="R90" i="22"/>
  <c r="N90" i="22"/>
  <c r="R98" i="22"/>
  <c r="N98" i="22"/>
  <c r="R57" i="22"/>
  <c r="N57" i="22"/>
  <c r="R61" i="22"/>
  <c r="N61" i="22"/>
  <c r="R70" i="22"/>
  <c r="N70" i="22"/>
  <c r="R80" i="22"/>
  <c r="N80" i="22"/>
  <c r="R91" i="22"/>
  <c r="N91" i="22"/>
  <c r="R99" i="22"/>
  <c r="N99" i="22"/>
  <c r="U76" i="22"/>
  <c r="V76" i="22" s="1"/>
  <c r="U84" i="22"/>
  <c r="V84" i="22" s="1"/>
  <c r="U88" i="22"/>
  <c r="V88" i="22" s="1"/>
  <c r="R89" i="22"/>
  <c r="K6" i="22"/>
  <c r="S8" i="22"/>
  <c r="Q16" i="20" s="1"/>
  <c r="S22" i="22"/>
  <c r="Q30" i="20" s="1"/>
  <c r="K23" i="22"/>
  <c r="Q24" i="22"/>
  <c r="K26" i="22"/>
  <c r="U77" i="22"/>
  <c r="V77" i="22" s="1"/>
  <c r="U81" i="22"/>
  <c r="V81" i="22" s="1"/>
  <c r="U85" i="22"/>
  <c r="V85" i="22" s="1"/>
  <c r="S28" i="22"/>
  <c r="Q36" i="20" s="1"/>
  <c r="U78" i="22"/>
  <c r="V78" i="22" s="1"/>
  <c r="U82" i="22"/>
  <c r="V82" i="22" s="1"/>
  <c r="U93" i="22"/>
  <c r="V93" i="22" s="1"/>
  <c r="U94" i="22"/>
  <c r="V94" i="22" s="1"/>
  <c r="U95" i="22"/>
  <c r="V95" i="22" s="1"/>
  <c r="U96" i="22"/>
  <c r="V96" i="22" s="1"/>
  <c r="K8" i="22"/>
  <c r="S12" i="22"/>
  <c r="Q20" i="20" s="1"/>
  <c r="Q28" i="22"/>
  <c r="U63" i="22"/>
  <c r="V63" i="22" s="1"/>
  <c r="U66" i="22"/>
  <c r="V66" i="22" s="1"/>
  <c r="U67" i="22"/>
  <c r="V67" i="22" s="1"/>
  <c r="U68" i="22"/>
  <c r="V68" i="22" s="1"/>
  <c r="U69" i="22"/>
  <c r="V69" i="22" s="1"/>
  <c r="U73" i="22"/>
  <c r="V73" i="22" s="1"/>
  <c r="U74" i="22"/>
  <c r="V74" i="22" s="1"/>
  <c r="U75" i="22"/>
  <c r="V75" i="22" s="1"/>
  <c r="R13" i="20"/>
  <c r="M8" i="20" s="1"/>
  <c r="K12" i="22"/>
  <c r="S13" i="22"/>
  <c r="Q21" i="20" s="1"/>
  <c r="S18" i="22"/>
  <c r="Q26" i="20" s="1"/>
  <c r="K21" i="22"/>
  <c r="Q26" i="22"/>
  <c r="Q30" i="22"/>
  <c r="K25" i="22"/>
  <c r="K29" i="22"/>
  <c r="Q8" i="22"/>
  <c r="K15" i="22"/>
  <c r="K16" i="22"/>
  <c r="S17" i="22"/>
  <c r="Q25" i="20" s="1"/>
  <c r="K31" i="22"/>
  <c r="Q12" i="22"/>
  <c r="K20" i="22"/>
  <c r="S21" i="22"/>
  <c r="Q29" i="20" s="1"/>
  <c r="S6" i="22"/>
  <c r="Q14" i="20" s="1"/>
  <c r="K10" i="22"/>
  <c r="S16" i="22"/>
  <c r="Q24" i="20" s="1"/>
  <c r="K19" i="22"/>
  <c r="S25" i="22"/>
  <c r="Q33" i="20" s="1"/>
  <c r="S29" i="22"/>
  <c r="Q37" i="20" s="1"/>
  <c r="S20" i="22"/>
  <c r="Q28" i="20" s="1"/>
  <c r="Q20" i="22"/>
  <c r="K27" i="22"/>
  <c r="D193" i="23"/>
  <c r="D185" i="23"/>
  <c r="D177" i="23"/>
  <c r="D169" i="23"/>
  <c r="G9" i="20" s="1"/>
  <c r="D200" i="23"/>
  <c r="D192" i="23"/>
  <c r="D184" i="23"/>
  <c r="D176" i="23"/>
  <c r="D168" i="23"/>
  <c r="G8" i="20" s="1"/>
  <c r="D199" i="23"/>
  <c r="D191" i="23"/>
  <c r="D183" i="23"/>
  <c r="D175" i="23"/>
  <c r="D167" i="23"/>
  <c r="D159" i="23"/>
  <c r="B62" i="22" s="1"/>
  <c r="D151" i="23"/>
  <c r="B54" i="22" s="1"/>
  <c r="D143" i="23"/>
  <c r="B46" i="22" s="1"/>
  <c r="D135" i="23"/>
  <c r="D127" i="23"/>
  <c r="D198" i="23"/>
  <c r="D190" i="23"/>
  <c r="D182" i="23"/>
  <c r="D174" i="23"/>
  <c r="D166" i="23"/>
  <c r="D158" i="23"/>
  <c r="B61" i="22" s="1"/>
  <c r="D150" i="23"/>
  <c r="B53" i="22" s="1"/>
  <c r="D142" i="23"/>
  <c r="D134" i="23"/>
  <c r="D126" i="23"/>
  <c r="D118" i="23"/>
  <c r="L95" i="22" s="1"/>
  <c r="D110" i="23"/>
  <c r="L87" i="22" s="1"/>
  <c r="D102" i="23"/>
  <c r="L79" i="22" s="1"/>
  <c r="D94" i="23"/>
  <c r="L71" i="22" s="1"/>
  <c r="D86" i="23"/>
  <c r="L63" i="22" s="1"/>
  <c r="D78" i="23"/>
  <c r="L55" i="22" s="1"/>
  <c r="D70" i="23"/>
  <c r="L47" i="22" s="1"/>
  <c r="D62" i="23"/>
  <c r="B107" i="22" s="1"/>
  <c r="D54" i="23"/>
  <c r="B99" i="22" s="1"/>
  <c r="D46" i="23"/>
  <c r="B84" i="22" s="1"/>
  <c r="D38" i="23"/>
  <c r="B76" i="22" s="1"/>
  <c r="D30" i="23"/>
  <c r="B6" i="20" s="1"/>
  <c r="D22" i="23"/>
  <c r="D14" i="23"/>
  <c r="L11" i="20" s="1"/>
  <c r="D197" i="23"/>
  <c r="D189" i="23"/>
  <c r="D181" i="23"/>
  <c r="D173" i="23"/>
  <c r="D165" i="23"/>
  <c r="B68" i="22" s="1"/>
  <c r="D157" i="23"/>
  <c r="B60" i="22" s="1"/>
  <c r="D149" i="23"/>
  <c r="B52" i="22" s="1"/>
  <c r="D141" i="23"/>
  <c r="D133" i="23"/>
  <c r="D125" i="23"/>
  <c r="D117" i="23"/>
  <c r="L94" i="22" s="1"/>
  <c r="D109" i="23"/>
  <c r="L86" i="22" s="1"/>
  <c r="D101" i="23"/>
  <c r="L78" i="22" s="1"/>
  <c r="D93" i="23"/>
  <c r="L70" i="22" s="1"/>
  <c r="D85" i="23"/>
  <c r="L62" i="22" s="1"/>
  <c r="D77" i="23"/>
  <c r="L54" i="22" s="1"/>
  <c r="D69" i="23"/>
  <c r="L46" i="22" s="1"/>
  <c r="D61" i="23"/>
  <c r="B106" i="22" s="1"/>
  <c r="D53" i="23"/>
  <c r="B98" i="22" s="1"/>
  <c r="D45" i="23"/>
  <c r="B83" i="22" s="1"/>
  <c r="D37" i="23"/>
  <c r="D29" i="23"/>
  <c r="S3" i="20" s="1"/>
  <c r="D21" i="23"/>
  <c r="D13" i="23"/>
  <c r="I11" i="20" s="1"/>
  <c r="D7" i="23"/>
  <c r="B11" i="20" s="1"/>
  <c r="D196" i="23"/>
  <c r="D188" i="23"/>
  <c r="D180" i="23"/>
  <c r="D172" i="23"/>
  <c r="D35" i="23"/>
  <c r="D13" i="20" s="1"/>
  <c r="D89" i="23"/>
  <c r="L66" i="22" s="1"/>
  <c r="S19" i="22"/>
  <c r="Q27" i="20" s="1"/>
  <c r="Q19" i="22"/>
  <c r="V6" i="22"/>
  <c r="W6" i="22" s="1"/>
  <c r="M6" i="22" s="1"/>
  <c r="O6" i="22" s="1"/>
  <c r="P6" i="22" s="1"/>
  <c r="K14" i="20" s="1"/>
  <c r="V24" i="22"/>
  <c r="W24" i="22" s="1"/>
  <c r="M24" i="22" s="1"/>
  <c r="O24" i="22" s="1"/>
  <c r="P24" i="22" s="1"/>
  <c r="K32" i="20" s="1"/>
  <c r="D16" i="23"/>
  <c r="O11" i="20" s="1"/>
  <c r="D26" i="23"/>
  <c r="I99" i="22" s="1"/>
  <c r="D36" i="23"/>
  <c r="D48" i="23"/>
  <c r="B86" i="22" s="1"/>
  <c r="D58" i="23"/>
  <c r="B103" i="22" s="1"/>
  <c r="D68" i="23"/>
  <c r="L45" i="22" s="1"/>
  <c r="D80" i="23"/>
  <c r="L57" i="22" s="1"/>
  <c r="D90" i="23"/>
  <c r="L67" i="22" s="1"/>
  <c r="D100" i="23"/>
  <c r="L77" i="22" s="1"/>
  <c r="D112" i="23"/>
  <c r="L89" i="22" s="1"/>
  <c r="D122" i="23"/>
  <c r="L99" i="22" s="1"/>
  <c r="D136" i="23"/>
  <c r="D147" i="23"/>
  <c r="B50" i="22" s="1"/>
  <c r="D161" i="23"/>
  <c r="B64" i="22" s="1"/>
  <c r="D186" i="23"/>
  <c r="S31" i="22"/>
  <c r="Q39" i="20" s="1"/>
  <c r="Q31" i="22"/>
  <c r="V9" i="22"/>
  <c r="W9" i="22" s="1"/>
  <c r="M9" i="22" s="1"/>
  <c r="O9" i="22" s="1"/>
  <c r="P9" i="22" s="1"/>
  <c r="K17" i="20" s="1"/>
  <c r="D15" i="23"/>
  <c r="M11" i="20" s="1"/>
  <c r="D57" i="23"/>
  <c r="B102" i="22" s="1"/>
  <c r="D121" i="23"/>
  <c r="L98" i="22" s="1"/>
  <c r="V12" i="22"/>
  <c r="W12" i="22" s="1"/>
  <c r="M12" i="22" s="1"/>
  <c r="O12" i="22" s="1"/>
  <c r="P12" i="22" s="1"/>
  <c r="K20" i="20" s="1"/>
  <c r="V16" i="22"/>
  <c r="W16" i="22" s="1"/>
  <c r="M16" i="22" s="1"/>
  <c r="O16" i="22" s="1"/>
  <c r="P16" i="22" s="1"/>
  <c r="K24" i="20" s="1"/>
  <c r="O27" i="22"/>
  <c r="P27" i="22" s="1"/>
  <c r="K35" i="20" s="1"/>
  <c r="D8" i="23"/>
  <c r="C11" i="20" s="1"/>
  <c r="D17" i="23"/>
  <c r="P11" i="20" s="1"/>
  <c r="D27" i="23"/>
  <c r="D39" i="23"/>
  <c r="B77" i="22" s="1"/>
  <c r="D49" i="23"/>
  <c r="B87" i="22" s="1"/>
  <c r="D59" i="23"/>
  <c r="B104" i="22" s="1"/>
  <c r="D71" i="23"/>
  <c r="L48" i="22" s="1"/>
  <c r="D81" i="23"/>
  <c r="L58" i="22" s="1"/>
  <c r="D91" i="23"/>
  <c r="L68" i="22" s="1"/>
  <c r="D103" i="23"/>
  <c r="L80" i="22" s="1"/>
  <c r="D113" i="23"/>
  <c r="L90" i="22" s="1"/>
  <c r="D123" i="23"/>
  <c r="D137" i="23"/>
  <c r="D148" i="23"/>
  <c r="B51" i="22" s="1"/>
  <c r="D162" i="23"/>
  <c r="B65" i="22" s="1"/>
  <c r="D187" i="23"/>
  <c r="O8" i="22"/>
  <c r="P8" i="22" s="1"/>
  <c r="K16" i="20" s="1"/>
  <c r="S11" i="22"/>
  <c r="Q19" i="20" s="1"/>
  <c r="Q11" i="22"/>
  <c r="D25" i="23"/>
  <c r="I98" i="22" s="1"/>
  <c r="D79" i="23"/>
  <c r="L56" i="22" s="1"/>
  <c r="D111" i="23"/>
  <c r="L88" i="22" s="1"/>
  <c r="D160" i="23"/>
  <c r="B63" i="22" s="1"/>
  <c r="D18" i="23"/>
  <c r="R11" i="20" s="1"/>
  <c r="D28" i="23"/>
  <c r="B4" i="20" s="1"/>
  <c r="D40" i="23"/>
  <c r="B78" i="22" s="1"/>
  <c r="D50" i="23"/>
  <c r="B88" i="22" s="1"/>
  <c r="D60" i="23"/>
  <c r="B105" i="22" s="1"/>
  <c r="D72" i="23"/>
  <c r="L49" i="22" s="1"/>
  <c r="D82" i="23"/>
  <c r="L59" i="22" s="1"/>
  <c r="D92" i="23"/>
  <c r="L69" i="22" s="1"/>
  <c r="D104" i="23"/>
  <c r="L81" i="22" s="1"/>
  <c r="D114" i="23"/>
  <c r="L91" i="22" s="1"/>
  <c r="D124" i="23"/>
  <c r="D138" i="23"/>
  <c r="D152" i="23"/>
  <c r="B55" i="22" s="1"/>
  <c r="D163" i="23"/>
  <c r="B66" i="22" s="1"/>
  <c r="D194" i="23"/>
  <c r="S23" i="22"/>
  <c r="Q31" i="20" s="1"/>
  <c r="Q23" i="22"/>
  <c r="V13" i="22"/>
  <c r="W13" i="22" s="1"/>
  <c r="M13" i="22" s="1"/>
  <c r="O13" i="22" s="1"/>
  <c r="P13" i="22" s="1"/>
  <c r="K21" i="20" s="1"/>
  <c r="V17" i="22"/>
  <c r="W17" i="22" s="1"/>
  <c r="M17" i="22" s="1"/>
  <c r="O17" i="22" s="1"/>
  <c r="P17" i="22" s="1"/>
  <c r="K25" i="20" s="1"/>
  <c r="V21" i="22"/>
  <c r="W21" i="22" s="1"/>
  <c r="M21" i="22" s="1"/>
  <c r="O21" i="22" s="1"/>
  <c r="P21" i="22" s="1"/>
  <c r="K29" i="20" s="1"/>
  <c r="D6" i="23"/>
  <c r="E2" i="20" s="1"/>
  <c r="D67" i="23"/>
  <c r="B112" i="22" s="1"/>
  <c r="D146" i="23"/>
  <c r="B49" i="22" s="1"/>
  <c r="O15" i="22"/>
  <c r="P15" i="22" s="1"/>
  <c r="K23" i="20" s="1"/>
  <c r="D4" i="23"/>
  <c r="D9" i="23"/>
  <c r="D11" i="20" s="1"/>
  <c r="D19" i="23"/>
  <c r="S11" i="20" s="1"/>
  <c r="D31" i="23"/>
  <c r="B8" i="20" s="1"/>
  <c r="D41" i="23"/>
  <c r="B79" i="22" s="1"/>
  <c r="D51" i="23"/>
  <c r="B89" i="22" s="1"/>
  <c r="D63" i="23"/>
  <c r="B108" i="22" s="1"/>
  <c r="D73" i="23"/>
  <c r="L50" i="22" s="1"/>
  <c r="D83" i="23"/>
  <c r="L60" i="22" s="1"/>
  <c r="D95" i="23"/>
  <c r="L72" i="22" s="1"/>
  <c r="D105" i="23"/>
  <c r="L82" i="22" s="1"/>
  <c r="D115" i="23"/>
  <c r="L92" i="22" s="1"/>
  <c r="D128" i="23"/>
  <c r="D139" i="23"/>
  <c r="D153" i="23"/>
  <c r="B56" i="22" s="1"/>
  <c r="D164" i="23"/>
  <c r="B67" i="22" s="1"/>
  <c r="D195" i="23"/>
  <c r="V10" i="22"/>
  <c r="W10" i="22" s="1"/>
  <c r="M10" i="22" s="1"/>
  <c r="O10" i="22" s="1"/>
  <c r="P10" i="22" s="1"/>
  <c r="K18" i="20" s="1"/>
  <c r="O31" i="22"/>
  <c r="P31" i="22" s="1"/>
  <c r="K39" i="20" s="1"/>
  <c r="D47" i="23"/>
  <c r="B85" i="22" s="1"/>
  <c r="D99" i="23"/>
  <c r="L76" i="22" s="1"/>
  <c r="D132" i="23"/>
  <c r="D179" i="23"/>
  <c r="V20" i="22"/>
  <c r="W20" i="22" s="1"/>
  <c r="M20" i="22" s="1"/>
  <c r="O20" i="22" s="1"/>
  <c r="P20" i="22" s="1"/>
  <c r="K28" i="20" s="1"/>
  <c r="O19" i="22"/>
  <c r="P19" i="22" s="1"/>
  <c r="K27" i="20" s="1"/>
  <c r="V29" i="22"/>
  <c r="W29" i="22" s="1"/>
  <c r="M29" i="22" s="1"/>
  <c r="O29" i="22" s="1"/>
  <c r="P29" i="22" s="1"/>
  <c r="K37" i="20" s="1"/>
  <c r="D10" i="23"/>
  <c r="E11" i="20" s="1"/>
  <c r="D20" i="23"/>
  <c r="D32" i="23"/>
  <c r="B9" i="20" s="1"/>
  <c r="D42" i="23"/>
  <c r="B80" i="22" s="1"/>
  <c r="D52" i="23"/>
  <c r="B90" i="22" s="1"/>
  <c r="D64" i="23"/>
  <c r="B109" i="22" s="1"/>
  <c r="D74" i="23"/>
  <c r="L51" i="22" s="1"/>
  <c r="D84" i="23"/>
  <c r="L61" i="22" s="1"/>
  <c r="D96" i="23"/>
  <c r="L73" i="22" s="1"/>
  <c r="D106" i="23"/>
  <c r="L83" i="22" s="1"/>
  <c r="D116" i="23"/>
  <c r="L93" i="22" s="1"/>
  <c r="D129" i="23"/>
  <c r="D140" i="23"/>
  <c r="D154" i="23"/>
  <c r="B57" i="22" s="1"/>
  <c r="D170" i="23"/>
  <c r="V11" i="22"/>
  <c r="W11" i="22" s="1"/>
  <c r="M11" i="22" s="1"/>
  <c r="O11" i="22" s="1"/>
  <c r="P11" i="22" s="1"/>
  <c r="K19" i="20" s="1"/>
  <c r="S15" i="22"/>
  <c r="Q23" i="20" s="1"/>
  <c r="Q15" i="22"/>
  <c r="K24" i="22"/>
  <c r="D11" i="23"/>
  <c r="F11" i="20" s="1"/>
  <c r="D23" i="23"/>
  <c r="D33" i="23"/>
  <c r="O8" i="20" s="1"/>
  <c r="D43" i="23"/>
  <c r="B81" i="22" s="1"/>
  <c r="D55" i="23"/>
  <c r="B100" i="22" s="1"/>
  <c r="D65" i="23"/>
  <c r="B110" i="22" s="1"/>
  <c r="D75" i="23"/>
  <c r="L52" i="22" s="1"/>
  <c r="D87" i="23"/>
  <c r="L64" i="22" s="1"/>
  <c r="D97" i="23"/>
  <c r="L74" i="22" s="1"/>
  <c r="D107" i="23"/>
  <c r="L84" i="22" s="1"/>
  <c r="D119" i="23"/>
  <c r="L96" i="22" s="1"/>
  <c r="D130" i="23"/>
  <c r="D144" i="23"/>
  <c r="B47" i="22" s="1"/>
  <c r="D155" i="23"/>
  <c r="B58" i="22" s="1"/>
  <c r="D171" i="23"/>
  <c r="V23" i="22"/>
  <c r="W23" i="22" s="1"/>
  <c r="M23" i="22" s="1"/>
  <c r="O23" i="22" s="1"/>
  <c r="P23" i="22" s="1"/>
  <c r="K31" i="20" s="1"/>
  <c r="S27" i="22"/>
  <c r="Q35" i="20" s="1"/>
  <c r="Q27" i="22"/>
  <c r="V14" i="22"/>
  <c r="W14" i="22" s="1"/>
  <c r="M14" i="22" s="1"/>
  <c r="O14" i="22" s="1"/>
  <c r="P14" i="22" s="1"/>
  <c r="K22" i="20" s="1"/>
  <c r="V18" i="22"/>
  <c r="W18" i="22" s="1"/>
  <c r="M18" i="22" s="1"/>
  <c r="O18" i="22" s="1"/>
  <c r="P18" i="22" s="1"/>
  <c r="K26" i="20" s="1"/>
  <c r="V25" i="22"/>
  <c r="W25" i="22" s="1"/>
  <c r="M25" i="22" s="1"/>
  <c r="O25" i="22" s="1"/>
  <c r="P25" i="22" s="1"/>
  <c r="K33" i="20" s="1"/>
  <c r="V28" i="22"/>
  <c r="W28" i="22" s="1"/>
  <c r="M28" i="22" s="1"/>
  <c r="O28" i="22" s="1"/>
  <c r="P28" i="22" s="1"/>
  <c r="K36" i="20" s="1"/>
  <c r="D5" i="23"/>
  <c r="B40" i="20" s="1"/>
  <c r="D12" i="23"/>
  <c r="G11" i="20" s="1"/>
  <c r="D24" i="23"/>
  <c r="D34" i="23"/>
  <c r="O9" i="20" s="1"/>
  <c r="D44" i="23"/>
  <c r="B82" i="22" s="1"/>
  <c r="D56" i="23"/>
  <c r="B101" i="22" s="1"/>
  <c r="D66" i="23"/>
  <c r="B111" i="22" s="1"/>
  <c r="D76" i="23"/>
  <c r="L53" i="22" s="1"/>
  <c r="D88" i="23"/>
  <c r="L65" i="22" s="1"/>
  <c r="D98" i="23"/>
  <c r="L75" i="22" s="1"/>
  <c r="D108" i="23"/>
  <c r="L85" i="22" s="1"/>
  <c r="D120" i="23"/>
  <c r="L97" i="22" s="1"/>
  <c r="D131" i="23"/>
  <c r="D145" i="23"/>
  <c r="B48" i="22" s="1"/>
  <c r="D156" i="23"/>
  <c r="B59" i="22" s="1"/>
  <c r="D178" i="23"/>
  <c r="D32" i="22"/>
  <c r="E13" i="20" s="1"/>
  <c r="K28" i="22"/>
  <c r="V22" i="22"/>
  <c r="W22" i="22" s="1"/>
  <c r="M22" i="22" s="1"/>
  <c r="O22" i="22" s="1"/>
  <c r="P22" i="22" s="1"/>
  <c r="K30" i="20" s="1"/>
  <c r="V26" i="22"/>
  <c r="W26" i="22" s="1"/>
  <c r="M26" i="22" s="1"/>
  <c r="O26" i="22" s="1"/>
  <c r="P26" i="22" s="1"/>
  <c r="K34" i="20" s="1"/>
  <c r="V30" i="22"/>
  <c r="W30" i="22" s="1"/>
  <c r="M30" i="22" s="1"/>
  <c r="O30" i="22" s="1"/>
  <c r="P30" i="22" s="1"/>
  <c r="K38" i="20" s="1"/>
  <c r="U7" i="22"/>
  <c r="K7" i="22"/>
  <c r="O7" i="22"/>
  <c r="N60" i="22" l="1"/>
  <c r="R74" i="22"/>
  <c r="N74" i="22"/>
  <c r="R67" i="22"/>
  <c r="N67" i="22"/>
  <c r="R94" i="22"/>
  <c r="N94" i="22"/>
  <c r="R84" i="22"/>
  <c r="N84" i="22"/>
  <c r="R73" i="22"/>
  <c r="N73" i="22"/>
  <c r="R66" i="22"/>
  <c r="N66" i="22"/>
  <c r="R93" i="22"/>
  <c r="N93" i="22"/>
  <c r="N85" i="22"/>
  <c r="R85" i="22"/>
  <c r="R76" i="22"/>
  <c r="N76" i="22"/>
  <c r="R69" i="22"/>
  <c r="N69" i="22"/>
  <c r="R63" i="22"/>
  <c r="N63" i="22"/>
  <c r="R96" i="22"/>
  <c r="N96" i="22"/>
  <c r="R82" i="22"/>
  <c r="N82" i="22"/>
  <c r="N81" i="22"/>
  <c r="R81" i="22"/>
  <c r="R75" i="22"/>
  <c r="N75" i="22"/>
  <c r="R68" i="22"/>
  <c r="N68" i="22"/>
  <c r="R95" i="22"/>
  <c r="N95" i="22"/>
  <c r="R78" i="22"/>
  <c r="N78" i="22"/>
  <c r="N77" i="22"/>
  <c r="R77" i="22"/>
  <c r="R88" i="22"/>
  <c r="N88" i="22"/>
  <c r="Q13" i="20"/>
  <c r="N13" i="20"/>
  <c r="K13" i="20"/>
  <c r="H13" i="20"/>
  <c r="P13" i="20"/>
  <c r="M13" i="20"/>
  <c r="J13" i="20"/>
  <c r="P7" i="22"/>
  <c r="K15" i="20" s="1"/>
  <c r="S15" i="20" s="1"/>
  <c r="S13" i="20" s="1"/>
  <c r="M9" i="20" s="1"/>
</calcChain>
</file>

<file path=xl/sharedStrings.xml><?xml version="1.0" encoding="utf-8"?>
<sst xmlns="http://schemas.openxmlformats.org/spreadsheetml/2006/main" count="895" uniqueCount="637">
  <si>
    <t>kWh/a</t>
  </si>
  <si>
    <t>m3/h</t>
  </si>
  <si>
    <t>h/a</t>
  </si>
  <si>
    <t>kW</t>
  </si>
  <si>
    <t>m2</t>
  </si>
  <si>
    <t>Projektdaten:</t>
  </si>
  <si>
    <t>Eta-WRG</t>
  </si>
  <si>
    <t>Strombedarf Lüftung</t>
  </si>
  <si>
    <t>Lüftungsart</t>
  </si>
  <si>
    <t>Einfache Zuluftanlage</t>
  </si>
  <si>
    <t>Einfache Abluftanlage</t>
  </si>
  <si>
    <t>Rotationswärmetauscher</t>
  </si>
  <si>
    <t>Gebäudenutzung</t>
  </si>
  <si>
    <t xml:space="preserve">Hotelzimmer </t>
  </si>
  <si>
    <t>Empfang, Lobby</t>
  </si>
  <si>
    <t>Einzel-, Gruppenbüro</t>
  </si>
  <si>
    <t>Grossraumbüro</t>
  </si>
  <si>
    <t>Sitzungszimmer</t>
  </si>
  <si>
    <t>Schalterhalle, Empfang</t>
  </si>
  <si>
    <t>Schulzimmer</t>
  </si>
  <si>
    <t>Lehrerzimmer, Aufenthaltsraum</t>
  </si>
  <si>
    <t>Bibliothek</t>
  </si>
  <si>
    <t>Hörsaal</t>
  </si>
  <si>
    <t>Lebensmittelverkauf</t>
  </si>
  <si>
    <t>Restaurant</t>
  </si>
  <si>
    <t>Selbstbedienungsrestaurant</t>
  </si>
  <si>
    <t>Küche zu Restaurant</t>
  </si>
  <si>
    <t>Küche zu Selbstbedienungsrest.</t>
  </si>
  <si>
    <t>Vorstellungsraum</t>
  </si>
  <si>
    <t>Mehrzweckhalle</t>
  </si>
  <si>
    <t>Ausstellungshalle</t>
  </si>
  <si>
    <t xml:space="preserve">Bettenzimmer </t>
  </si>
  <si>
    <t xml:space="preserve">Stationszimmer </t>
  </si>
  <si>
    <t>Behandlungsräume</t>
  </si>
  <si>
    <t>Produktion (grobe Arbeit)</t>
  </si>
  <si>
    <t>Produktion (feine Arbeit)</t>
  </si>
  <si>
    <t>Lagerhalle</t>
  </si>
  <si>
    <t>Turnhalle</t>
  </si>
  <si>
    <t>Fitnessraum</t>
  </si>
  <si>
    <t>Schwimmhalle</t>
  </si>
  <si>
    <t>Verkehrsfläche</t>
  </si>
  <si>
    <t>Nebenräume</t>
  </si>
  <si>
    <t xml:space="preserve">WC, Bad, Dusche </t>
  </si>
  <si>
    <t>WC</t>
  </si>
  <si>
    <t>Garderoben, Duschen</t>
  </si>
  <si>
    <t>Parkhaus</t>
  </si>
  <si>
    <t>Wasch- und Trockenraum</t>
  </si>
  <si>
    <t>Serverraum</t>
  </si>
  <si>
    <t>Anl.-Bez.</t>
  </si>
  <si>
    <t>Nutzung</t>
  </si>
  <si>
    <t>Art der WRG</t>
  </si>
  <si>
    <t>Volllaststunden gem. SIA 2024</t>
  </si>
  <si>
    <t>Regelung / Steuerung</t>
  </si>
  <si>
    <t>Luftmenge</t>
  </si>
  <si>
    <t>Luftmenge spezifisch</t>
  </si>
  <si>
    <t>Thermisch wirksame Aussenluftrate</t>
  </si>
  <si>
    <t>Min. Luftmenge</t>
  </si>
  <si>
    <t xml:space="preserve">Nr. </t>
  </si>
  <si>
    <t xml:space="preserve">In EBF </t>
  </si>
  <si>
    <t>Ja</t>
  </si>
  <si>
    <t>Nein</t>
  </si>
  <si>
    <t>Keine Wärmerückgewinnung</t>
  </si>
  <si>
    <t>In EBF</t>
  </si>
  <si>
    <t>Eingabe</t>
  </si>
  <si>
    <t>Rechenwert</t>
  </si>
  <si>
    <t>Kreislaufverbund - KVS</t>
  </si>
  <si>
    <t>Kreuzstrom-Plattentauscher</t>
  </si>
  <si>
    <t>Gegenstrom-Plattentauscher</t>
  </si>
  <si>
    <t>Feuchte-Rotationstauscher</t>
  </si>
  <si>
    <t>Nr.</t>
  </si>
  <si>
    <t>-</t>
  </si>
  <si>
    <t>Strom-bedarf Lüftung</t>
  </si>
  <si>
    <t>WRG</t>
  </si>
  <si>
    <t>Dropdown - Auswahlfelder</t>
  </si>
  <si>
    <t>EBF</t>
  </si>
  <si>
    <t>[m2]</t>
  </si>
  <si>
    <t>Standard</t>
  </si>
  <si>
    <t>SIA 380/4  und SIA 2024</t>
  </si>
  <si>
    <t>[h]</t>
  </si>
  <si>
    <t>Min</t>
  </si>
  <si>
    <t>[m3/m2h]</t>
  </si>
  <si>
    <t>Min [m3/m2h]</t>
  </si>
  <si>
    <t>Fläche</t>
  </si>
  <si>
    <t>Min.</t>
  </si>
  <si>
    <t>Faktor</t>
  </si>
  <si>
    <t>Stand. Luftmenge</t>
  </si>
  <si>
    <t>[m3/h]</t>
  </si>
  <si>
    <t xml:space="preserve">Total in EBF = </t>
  </si>
  <si>
    <t>Min. Venti</t>
  </si>
  <si>
    <t>[kW]</t>
  </si>
  <si>
    <t>Umluftanlage mit Heizregister</t>
  </si>
  <si>
    <t>Umluftanlage mit Kühlregister</t>
  </si>
  <si>
    <t>Anzahl</t>
  </si>
  <si>
    <t>Ventilatoren</t>
  </si>
  <si>
    <t>Verlust</t>
  </si>
  <si>
    <t>[Pa]</t>
  </si>
  <si>
    <t>Min. Druck-</t>
  </si>
  <si>
    <t>Lüfftungsart</t>
  </si>
  <si>
    <t>Zuluft mit Lufterwärmung</t>
  </si>
  <si>
    <t>Abluft mit Abwärmenutzung</t>
  </si>
  <si>
    <t>Zu- und Abluft ohne WRG</t>
  </si>
  <si>
    <t>Zu- und Abluft mit WRG</t>
  </si>
  <si>
    <t>Zu- und Abluft, WRG / Heizregister</t>
  </si>
  <si>
    <t>Zu- und Abluft, WRG, 2-3 Register</t>
  </si>
  <si>
    <t>Einzelraumlüftung,  Zu- oder Abluft</t>
  </si>
  <si>
    <t>Einzelraumlüftung,  Zu- und Abluft</t>
  </si>
  <si>
    <t xml:space="preserve"> </t>
  </si>
  <si>
    <t>Aussenluft-Umluftanlage ohne WRG</t>
  </si>
  <si>
    <t>Aussenluft-Umluftanlage &amp; WRG</t>
  </si>
  <si>
    <t>MFH                                      EBF =</t>
  </si>
  <si>
    <t xml:space="preserve">EFH                                       EBF = </t>
  </si>
  <si>
    <t>Verkauf                                  EBF =</t>
  </si>
  <si>
    <t>Schule                                   EBF =</t>
  </si>
  <si>
    <t>Restaurant                             EBF =</t>
  </si>
  <si>
    <t xml:space="preserve">Vers.-Lokal                            EBF = </t>
  </si>
  <si>
    <t>Spitäler                                  EBF =</t>
  </si>
  <si>
    <t>Industrie                                EBF =</t>
  </si>
  <si>
    <t>Sportbau                               EBF =</t>
  </si>
  <si>
    <t>Hallenbad                              EBF =</t>
  </si>
  <si>
    <t>Lager                                     EBF =</t>
  </si>
  <si>
    <t>Verwaltung                            EBF =</t>
  </si>
  <si>
    <t>Umluftanlage mit 2-3 Registern</t>
  </si>
  <si>
    <t>WRG = 1</t>
  </si>
  <si>
    <t>Regelungsart</t>
  </si>
  <si>
    <t>Einstufig</t>
  </si>
  <si>
    <t xml:space="preserve">Einstufig, zeitgesteuert </t>
  </si>
  <si>
    <t>Einstufig, bedarfsgesteuert</t>
  </si>
  <si>
    <t>Zweistufig</t>
  </si>
  <si>
    <t>Zweistufig, zeitgesteuert</t>
  </si>
  <si>
    <t>Zweistufig, bedarfsgesteuert</t>
  </si>
  <si>
    <t>VAV Temperaturregler</t>
  </si>
  <si>
    <t>VAV CO2-/Temp-Zonenenregler</t>
  </si>
  <si>
    <t>VAV CO2-/Temp-Einzelraumregler</t>
  </si>
  <si>
    <t>VAV nur CO2-Zonenenregler</t>
  </si>
  <si>
    <t>VAV nur CO2-Einzelraumregler</t>
  </si>
  <si>
    <t>Regelungsfaktor</t>
  </si>
  <si>
    <t>Dreistufig</t>
  </si>
  <si>
    <t>Dreistufig zeitgesteuert</t>
  </si>
  <si>
    <t>Dreistufig bedarfsgesteuert</t>
  </si>
  <si>
    <t>EC</t>
  </si>
  <si>
    <t>EC - Ventilatoren</t>
  </si>
  <si>
    <t>x</t>
  </si>
  <si>
    <t>Minimalwerte</t>
  </si>
  <si>
    <t>WRG-</t>
  </si>
  <si>
    <t>Art</t>
  </si>
  <si>
    <t>Maximalwert</t>
  </si>
  <si>
    <t>Kreuzstrom-Enthaltpietauscher</t>
  </si>
  <si>
    <t>Gegenstrom-Enthaltpietasucher</t>
  </si>
  <si>
    <t>Kreislaufverbund - geregelt</t>
  </si>
  <si>
    <t>KVS - geregelt - optimiert</t>
  </si>
  <si>
    <t>Wärmepumpe Zuluft-Abluft</t>
  </si>
  <si>
    <t>inkl. Vereisungsschutz</t>
  </si>
  <si>
    <t>Strom für WRG</t>
  </si>
  <si>
    <t>Zusatz-Druck</t>
  </si>
  <si>
    <t>W/m3*h</t>
  </si>
  <si>
    <t>Regelungs-</t>
  </si>
  <si>
    <t>art</t>
  </si>
  <si>
    <t>(Auslegungs)-Luftmenge</t>
  </si>
  <si>
    <t>für Strom</t>
  </si>
  <si>
    <t>Minimalwert für Vollaststunden:</t>
  </si>
  <si>
    <t>Fakt. WRG ohne Eingabe:</t>
  </si>
  <si>
    <t>el. KVS</t>
  </si>
  <si>
    <t>Berechnungen für Bedarfsberechnung Lüftung</t>
  </si>
  <si>
    <t>grün und dunkelgelb hinterlegte Zellen sind zwingend, hellgelb hinterlegte optional auszufüllen</t>
  </si>
  <si>
    <t xml:space="preserve"> x Norm-Vollaststunden</t>
  </si>
  <si>
    <t xml:space="preserve">mittlerer Wirkungsgrad Ventilator + Motor: </t>
  </si>
  <si>
    <t>Venti + KVS
Rechenwert</t>
  </si>
  <si>
    <t>(Standardwert = Fakt. X Maximalwert)</t>
  </si>
  <si>
    <t xml:space="preserve"> x Minimalwert</t>
  </si>
  <si>
    <t>( Jahresmittelwert, ohne Infiltration )</t>
  </si>
  <si>
    <t>( Ventilatoren + KVS-Pumpen )</t>
  </si>
  <si>
    <t>Standardwert</t>
  </si>
  <si>
    <t xml:space="preserve">Vorschlagswert el. Leistung bei fehlender Eingabe: </t>
  </si>
  <si>
    <t>Volllaststunden</t>
  </si>
  <si>
    <t>Vorschlag</t>
  </si>
  <si>
    <t>Minimalwert</t>
  </si>
  <si>
    <t>Bemerkung:</t>
  </si>
  <si>
    <t>Druckverlust intern und extern</t>
  </si>
  <si>
    <t>nicht vergleichbar mit Herstellerangaben</t>
  </si>
  <si>
    <t>Ventilatoren
(+KVS-Pumpen)</t>
  </si>
  <si>
    <t>therm. wirksame Aussen-
luftrate</t>
  </si>
  <si>
    <t>Sprache:</t>
  </si>
  <si>
    <t>deutsch</t>
  </si>
  <si>
    <t>Uebersetzungsliste</t>
  </si>
  <si>
    <t>Blatt</t>
  </si>
  <si>
    <t>Zelle</t>
  </si>
  <si>
    <t>Auswahl</t>
  </si>
  <si>
    <t>französisch</t>
  </si>
  <si>
    <t>italienisch</t>
  </si>
  <si>
    <t>B1</t>
  </si>
  <si>
    <t>B7</t>
  </si>
  <si>
    <t>B8</t>
  </si>
  <si>
    <t>MINERGIE</t>
  </si>
  <si>
    <t>MINERGIE-P</t>
  </si>
  <si>
    <t>MINERGIE-A</t>
  </si>
  <si>
    <t>erfüllt</t>
  </si>
  <si>
    <t>nicht erfüllt</t>
  </si>
  <si>
    <t>n.a.</t>
  </si>
  <si>
    <t>B39</t>
  </si>
  <si>
    <t>L45</t>
  </si>
  <si>
    <t>L56</t>
  </si>
  <si>
    <t>Lüftung</t>
  </si>
  <si>
    <t>B10</t>
  </si>
  <si>
    <t>C10</t>
  </si>
  <si>
    <t>D10</t>
  </si>
  <si>
    <t>E10</t>
  </si>
  <si>
    <t>F10</t>
  </si>
  <si>
    <t>G10</t>
  </si>
  <si>
    <t>I10</t>
  </si>
  <si>
    <t>L10</t>
  </si>
  <si>
    <t>M10</t>
  </si>
  <si>
    <t>R10</t>
  </si>
  <si>
    <t>O10</t>
  </si>
  <si>
    <t>P10</t>
  </si>
  <si>
    <t>S10</t>
  </si>
  <si>
    <t>S2</t>
  </si>
  <si>
    <t>B3</t>
  </si>
  <si>
    <t>B5</t>
  </si>
  <si>
    <t>Überträge in Formular EN 101b oder MINERGIE®-Nachweis</t>
  </si>
  <si>
    <t>O7</t>
  </si>
  <si>
    <t>O8</t>
  </si>
  <si>
    <t>D12</t>
  </si>
  <si>
    <t>G12, J12, M12, G12</t>
  </si>
  <si>
    <t>H12, K12, N12, Q12</t>
  </si>
  <si>
    <t>Berechnung</t>
  </si>
  <si>
    <t>I98</t>
  </si>
  <si>
    <t>I99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</si>
  <si>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</si>
  <si>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</si>
  <si>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</si>
  <si>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</si>
  <si>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</si>
  <si>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</si>
  <si>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</si>
  <si>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</si>
  <si>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</si>
  <si>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</si>
  <si>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</si>
  <si>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</si>
  <si>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</si>
  <si>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</si>
  <si>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</si>
  <si>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/>
  </si>
  <si>
    <t>B98</t>
  </si>
  <si>
    <t>B99</t>
  </si>
  <si>
    <t>B100</t>
  </si>
  <si>
    <t>B101</t>
  </si>
  <si>
    <t>B102</t>
  </si>
  <si>
    <t>B103</t>
  </si>
  <si>
    <t>B104</t>
  </si>
  <si>
    <t>B105</t>
  </si>
  <si>
    <t>B106</t>
  </si>
  <si>
    <t>B107</t>
  </si>
  <si>
    <t>B108</t>
  </si>
  <si>
    <t>B109</t>
  </si>
  <si>
    <t>B110</t>
  </si>
  <si>
    <t>B111</t>
  </si>
  <si>
    <t>B112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</si>
  <si>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</si>
  <si>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</si>
  <si>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</si>
  <si>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</si>
  <si>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</si>
  <si>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</si>
  <si>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</si>
  <si>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</si>
  <si>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</si>
  <si>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</si>
  <si>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L57</t>
  </si>
  <si>
    <t>L58</t>
  </si>
  <si>
    <t>L59</t>
  </si>
  <si>
    <t>L60</t>
  </si>
  <si>
    <t>L61</t>
  </si>
  <si>
    <t>L62</t>
  </si>
  <si>
    <t>L63</t>
  </si>
  <si>
    <t>L64</t>
  </si>
  <si>
    <t>L65</t>
  </si>
  <si>
    <t>L66</t>
  </si>
  <si>
    <t>L67</t>
  </si>
  <si>
    <t>L68</t>
  </si>
  <si>
    <t>L69</t>
  </si>
  <si>
    <t>L70</t>
  </si>
  <si>
    <t>L71</t>
  </si>
  <si>
    <t>L72</t>
  </si>
  <si>
    <t>L73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</si>
  <si>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</si>
  <si>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</si>
  <si>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</si>
  <si>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</si>
  <si>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</si>
  <si>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</si>
  <si>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</si>
  <si>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</si>
  <si>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</si>
  <si>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</si>
  <si>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</si>
  <si>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</si>
  <si>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</si>
  <si>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</si>
  <si>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</si>
  <si>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</si>
  <si>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</si>
  <si>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L91</t>
  </si>
  <si>
    <t>L92</t>
  </si>
  <si>
    <t>L93</t>
  </si>
  <si>
    <t>L94</t>
  </si>
  <si>
    <t>L95</t>
  </si>
  <si>
    <t>L96</t>
  </si>
  <si>
    <t>L97</t>
  </si>
  <si>
    <t>L98</t>
  </si>
  <si>
    <t>L99</t>
  </si>
  <si>
    <t>Datum</t>
  </si>
  <si>
    <t>Aenderungen / Geprüfter Bereich</t>
  </si>
  <si>
    <t>Bemerkungen</t>
  </si>
  <si>
    <t>geprüft durch</t>
  </si>
  <si>
    <t>Version geändert</t>
  </si>
  <si>
    <t>AH</t>
  </si>
  <si>
    <t>1.0</t>
  </si>
  <si>
    <t>Formular Bedarfsberechnung Lüftung</t>
  </si>
  <si>
    <t>Version 1.0 erstellt</t>
  </si>
  <si>
    <t>Uebersetzungsblatt und Log-Blatt erstellt</t>
  </si>
  <si>
    <t>Minimalwert Druck:</t>
  </si>
  <si>
    <t xml:space="preserve"> x Vorschlagswert</t>
  </si>
  <si>
    <t>Blatt "Berechnung", minimaler Druckverlust um ca. 40% reduziert</t>
  </si>
  <si>
    <t>Neuer Reduktionsfaktor Min_Druck eingeführt.</t>
  </si>
  <si>
    <t>behördlicher Nachweis</t>
  </si>
  <si>
    <t>Wahl:</t>
  </si>
  <si>
    <t>MUKEN</t>
  </si>
  <si>
    <t>Gültigkeitsdatum erweitert bis 31.12.2017, Ausgabemonat bei Version ergänzt</t>
  </si>
  <si>
    <t>Log-Blatt nachgeführt</t>
  </si>
  <si>
    <t>CG</t>
  </si>
  <si>
    <t>Gültigkeitsdatum bis 31.12.2018. Umschaltbares Logo MINERGIE / EnFK</t>
  </si>
  <si>
    <t>Umschaltung Logo auf Blatt Uebersetzung, Zelle D1</t>
  </si>
  <si>
    <t>EC-Venit (1=Ja / 1.5=Nein)</t>
  </si>
  <si>
    <t>Ver. 2015</t>
  </si>
  <si>
    <t>Regelung</t>
  </si>
  <si>
    <t>1-stufig</t>
  </si>
  <si>
    <t>2-stufig</t>
  </si>
  <si>
    <t>stufenlos</t>
  </si>
  <si>
    <t>Wohnen EFH</t>
  </si>
  <si>
    <t>Wohnen MFH</t>
  </si>
  <si>
    <t>Aequivalent</t>
  </si>
  <si>
    <t>Volllastst.</t>
  </si>
  <si>
    <t>therm.</t>
  </si>
  <si>
    <t>Aussenluft</t>
  </si>
  <si>
    <t>SIA 2024</t>
  </si>
  <si>
    <t>AC-Venti</t>
  </si>
  <si>
    <t>Blatt "Berechnung", F106 -F107
Minimalwert für Strombedarf geregelte KVS-Pumpen reduziert. Neue Werte:
- 0.125 W/m3*h für geregelte KVS-Pumpen
- 0.1 W/m3*h für optimierte, geregelte KVS-Pumpen</t>
  </si>
  <si>
    <t>Grosse AC-Ventilatoren haben bessere Wirkungsgrade als kleine. Bisher eingesetzter Faktor von 1.8 (AC- zu EC-Ventilator) ist für Gross-Ventilatoren zu hoch.</t>
  </si>
  <si>
    <t>Alter Ansatz mit 0.3 W/m3*h für geregelte KVS-Pumpen berechnete bei gut ausgelegten, grossen KVS-Pumpen zu hohe Werte für die minimal notwendige Stromaufnahmeleistung.</t>
  </si>
  <si>
    <t>Blatt "Berechnung", G105 -G108
Minimalwert für Druckverlust (luftseitig) für KVS-Register und Verdampfer/Kondensator bei Einsatz einer Wärmepumpe reduziert auf (neu):
- 100 Pa pro KVS-Register
-   80 Pa pro KVS-Register bei optimierten Anlagen (kleinere Strömungsgeschwindigkeit)
- 120 Pa pro Kondensator / Verdampfer</t>
  </si>
  <si>
    <t>Alter Ansatz mit 200 Pa pro Register wurde gut ausgelegten Anlagen nicht gerecht.</t>
  </si>
  <si>
    <t>Küche, Teeküche</t>
  </si>
  <si>
    <t>Schulfachraum (Spezialraum)</t>
  </si>
  <si>
    <t>Verkauf (Möbel, Bau, Garten)</t>
  </si>
  <si>
    <t>Fachgeschäft</t>
  </si>
  <si>
    <t>Laborraum</t>
  </si>
  <si>
    <t>Verkehrsfläche 24h</t>
  </si>
  <si>
    <t>Blatt "Berechnung", Q57 - Q99, Werte in Tabelle neu 0.8</t>
  </si>
  <si>
    <t>Faktor für Minimalluftmenge. Nettofläche zu EBF wenn EBF als Fläche eingegeben.</t>
  </si>
  <si>
    <t>Anpassung der  Nutzungen, Volllast-Stundenzahl für den Elektrizitätsbedarf Lüftung und Standardwerte an die aktuelle SIA 2024:2015. Transparantere Darstellung der Herleitung der verwendeten Volllast-Stundenzahl bezogen auf einstufige Lüftung.</t>
  </si>
  <si>
    <t>Blatt "Berechnung", L57 - L99 / S57 - T99 / P57 - P99 / U41 - V99
Werte in Tabelle an aktuelle 2024:2015 angepasst.</t>
  </si>
  <si>
    <t>Volllaststunden
Lüftung (Strom)</t>
  </si>
  <si>
    <t>Reduktion für</t>
  </si>
  <si>
    <t>therm. Aussenluftrate</t>
  </si>
  <si>
    <t>Für die bessere Nachvollziehbarkeit der Rechnung basiert die neue Berechnung auf den Volllast-Stunden (bezogen auf Strombedarf der Lüftung) gemäss der Definition der SIA 2024</t>
  </si>
  <si>
    <t>Blatt "Lüftung", S14 - S39
Strombedarf Lüftung = Leistung (Ventilator + KVS) x Volllaststunden (gemäss SIA 2024)</t>
  </si>
  <si>
    <t>Reglungsfaktor für Vth</t>
  </si>
  <si>
    <t>Volllaststunden Strom</t>
  </si>
  <si>
    <t>Thermisch wirksamer Aussenluftvolumenstrom wird neu mit einem anderen Regelungsfaktor berechnet als der Strombedarf der Lüftung (Blatt Lüftung G76-G89 statt F76-F89)</t>
  </si>
  <si>
    <t>Blatt "Lüftung", R14 - R39
Formel für Berechnung des thermisch wirksamen Aussenluftvolumenstrom mit Regelungsfaktor gemäss Tabelle "Berechnung", G76-G89, und nicht mit Regelungsfaktor für Strombedarf (Tabelle "Berechnung", F76-F89)</t>
  </si>
  <si>
    <t>Blatt "Berechnung", E76-G89, Werte in Tabelle leicht erhöht</t>
  </si>
  <si>
    <t>Korrekturfaktor der Volllast-Stunden für bessere Regelstrategien leicht reduziert.</t>
  </si>
  <si>
    <t>Versionsnummer 1.3,  Gültigkeitsdatum bis 31. 12. 2019.</t>
  </si>
  <si>
    <t>Blatt "Uebersetzung, E4-E5.</t>
  </si>
  <si>
    <t>Blatt "Berechnung", F3=0.8</t>
  </si>
  <si>
    <t>Minimalwert Volllaststunden = 0.8*Standardwert</t>
  </si>
  <si>
    <t>eff. Luftmenge</t>
  </si>
  <si>
    <t>Blatt "Berechnung", V4-V31:
Faktor für AC-Ventilatoren grössenabhängig angepasst:
- 1.8 bis 200 m3/h
- 1.6 bis 1000 m3/h
- 1.4 bis 5000 m3/h
- 1.2 bis 10000 m3/h
- 1.1 ab  10000 m3/h</t>
  </si>
  <si>
    <t>Désign. inst.</t>
  </si>
  <si>
    <t>En SRE</t>
  </si>
  <si>
    <t>Affectation</t>
  </si>
  <si>
    <t>Surface</t>
  </si>
  <si>
    <t>Type de ventilation</t>
  </si>
  <si>
    <t>Quantité d'air (de dimensionnement)</t>
  </si>
  <si>
    <t>Ventilateurs (+ pompes pour les systèmes reliés par circuit d’eau glycolée)</t>
  </si>
  <si>
    <t>Régulation / Réglage</t>
  </si>
  <si>
    <t>Heures de pleine charge Ventilation</t>
  </si>
  <si>
    <t>Type de RC</t>
  </si>
  <si>
    <t xml:space="preserve">RC èta </t>
  </si>
  <si>
    <t>Débit d'air neuf thermiquement actif</t>
  </si>
  <si>
    <t>Besoins en électricité pour la ventilation</t>
  </si>
  <si>
    <t>Satisfait</t>
  </si>
  <si>
    <t>Non satisfait</t>
  </si>
  <si>
    <t>Oui</t>
  </si>
  <si>
    <t>Non</t>
  </si>
  <si>
    <t>AE</t>
  </si>
  <si>
    <t>Utilizzo</t>
  </si>
  <si>
    <t>Superficie</t>
  </si>
  <si>
    <t>Tipo di ventilazione</t>
  </si>
  <si>
    <t>Volumi d'aria (dimensionamento)</t>
  </si>
  <si>
    <t xml:space="preserve">Ventilatori (+ pompe RC con circuito idraulico)
</t>
  </si>
  <si>
    <t>Regolazione/controllo</t>
  </si>
  <si>
    <t>Ore a pieno carico; ventilazione</t>
  </si>
  <si>
    <t>Tipo RC</t>
  </si>
  <si>
    <t>Rendimento medio annuo</t>
  </si>
  <si>
    <t>Portata d'aria esterna term. det.</t>
  </si>
  <si>
    <t>Fabbisogno di corrente per la ventilazione</t>
  </si>
  <si>
    <t>Rispetta</t>
  </si>
  <si>
    <t>Non rispetta</t>
  </si>
  <si>
    <t>Si</t>
  </si>
  <si>
    <t>No</t>
  </si>
  <si>
    <t>N.a.</t>
  </si>
  <si>
    <t>Projet:</t>
  </si>
  <si>
    <t>Progetto:</t>
  </si>
  <si>
    <t>les cellules présentant un fond vert ou jaune foncé doivent obligatoirement être remplies, celles présentant un fond jaune clair sont optionnelles.</t>
  </si>
  <si>
    <t>Le celle con sfondo verde e giallo scurosono obbligatorie, sfondo giallo chiaro facoltative</t>
  </si>
  <si>
    <t>Reports sur le formulaire EN 101b ou sur le formulaire Minergie.</t>
  </si>
  <si>
    <t>Riportare nel formulario EN101b o nel formulario Minergie.</t>
  </si>
  <si>
    <t>(valeur moyenne annuelle, sans infiltration)</t>
  </si>
  <si>
    <t>(media annua, senza infiltrazioni)</t>
  </si>
  <si>
    <t>(Ventilateurs + pompes pour les systèmes reliés par circuit d’eau glycolée)</t>
  </si>
  <si>
    <t>Total en SRE =</t>
  </si>
  <si>
    <t>AE in totale=</t>
  </si>
  <si>
    <t>Saisie</t>
  </si>
  <si>
    <t>inserito</t>
  </si>
  <si>
    <t>Valeur calculée</t>
  </si>
  <si>
    <t>calcolato</t>
  </si>
  <si>
    <t>En une étape</t>
  </si>
  <si>
    <t>a uno stadio</t>
  </si>
  <si>
    <t>En une étape, en fonction du temps</t>
  </si>
  <si>
    <t>a uno stadio con temporizzatore</t>
  </si>
  <si>
    <t>En une étape, en fonction des besoins</t>
  </si>
  <si>
    <t>a uno stadio basato sulla necessità</t>
  </si>
  <si>
    <t>En deux étapes</t>
  </si>
  <si>
    <t>a due stadi</t>
  </si>
  <si>
    <t>En deux étapes, en fonction du temps</t>
  </si>
  <si>
    <t>a due stadi con temporizzatore</t>
  </si>
  <si>
    <t>En deux étapes, en fonction des besoins</t>
  </si>
  <si>
    <t>a due stadi basato sulla necessità</t>
  </si>
  <si>
    <t>En trois étapes</t>
  </si>
  <si>
    <t>a tre stadi</t>
  </si>
  <si>
    <t>En trois étapes, en fonction du temps</t>
  </si>
  <si>
    <t>a tre stadi con temporizzatore</t>
  </si>
  <si>
    <t>En trois étapes, en fonction des besoins</t>
  </si>
  <si>
    <t>a tre stadi basato sulla necessità</t>
  </si>
  <si>
    <t>Régulateur de température VAV</t>
  </si>
  <si>
    <t>sensore temperatura</t>
  </si>
  <si>
    <t>Régulateur de zone pour température / CO2 VAV</t>
  </si>
  <si>
    <t>sensore temperatura e CO2 per zona</t>
  </si>
  <si>
    <t>Régulateur individuel pour température / CO2 VAV</t>
  </si>
  <si>
    <t>sensore temperatura e CO2 per locale</t>
  </si>
  <si>
    <t>Régulateur de zone VAV CO2 uniquement</t>
  </si>
  <si>
    <t>sensore solo CO2 per zona</t>
  </si>
  <si>
    <t>Régulateur individuel VAV CO2 uniquement</t>
  </si>
  <si>
    <t>sensore solo CO2 per locale</t>
  </si>
  <si>
    <t>Aucune récupération de chaleur</t>
  </si>
  <si>
    <t>senza RC</t>
  </si>
  <si>
    <t>Echangeur de chaleur à plaques de courants croisés</t>
  </si>
  <si>
    <t>incrociato a piastre</t>
  </si>
  <si>
    <t>Echangeur de chaleur à enthalpie de courants croisés</t>
  </si>
  <si>
    <t>incrociato entalpico</t>
  </si>
  <si>
    <t>Echangeur de chaleur à plaques de courants inversés</t>
  </si>
  <si>
    <t>controrrente a piaste</t>
  </si>
  <si>
    <t>Echangeur de chaleur à enthalpie de courants inversés</t>
  </si>
  <si>
    <t>controcorrente entalpico</t>
  </si>
  <si>
    <t xml:space="preserve">Echangeur de chaleur rotatif </t>
  </si>
  <si>
    <t>rotativo</t>
  </si>
  <si>
    <t>Echangeur de chaleur rotatif pour l'humidité</t>
  </si>
  <si>
    <t>rotativo con recupero umidità</t>
  </si>
  <si>
    <t>Système relié par circuit d’eau glycolée</t>
  </si>
  <si>
    <t>sistema idraulico a circuito chiuso</t>
  </si>
  <si>
    <t>Système relié par circuit d’eau glycolée – réglé</t>
  </si>
  <si>
    <t>sist. Idraulico c.c. -regolato</t>
  </si>
  <si>
    <t>Système relié par circuit d’eau glycolée – réglé – optimisé</t>
  </si>
  <si>
    <t>sist. Idraulico c .c. -regolato-ottimizzato</t>
  </si>
  <si>
    <t>Pompe à chaleur air pulsé / extraction d'air</t>
  </si>
  <si>
    <t>Pdc aria immessa e aria estratta</t>
  </si>
  <si>
    <t>Imm. coll. SRE =</t>
  </si>
  <si>
    <t>plurifamiliare - AE =</t>
  </si>
  <si>
    <t>Mais. ind. SRE =</t>
  </si>
  <si>
    <t>monofamiliare - AE =</t>
  </si>
  <si>
    <t>Administration SRE =</t>
  </si>
  <si>
    <t>amministrativo - AE =</t>
  </si>
  <si>
    <t>Ecole SRE =</t>
  </si>
  <si>
    <t>scuola - AE =</t>
  </si>
  <si>
    <t>Commerce SRE =</t>
  </si>
  <si>
    <t>negozio - AE =</t>
  </si>
  <si>
    <t>Restaurant SRE =</t>
  </si>
  <si>
    <t>ristorante - AE =</t>
  </si>
  <si>
    <t>Lieux de rassemblement SRE =</t>
  </si>
  <si>
    <t xml:space="preserve">locale pubblico - AE = </t>
  </si>
  <si>
    <t>Hôpitaux SRE =</t>
  </si>
  <si>
    <t>ospedale - AE =</t>
  </si>
  <si>
    <t>Industrie SRE =</t>
  </si>
  <si>
    <t>industria - AE =</t>
  </si>
  <si>
    <t>Dépôts SRE =</t>
  </si>
  <si>
    <t>magazzino - AE =</t>
  </si>
  <si>
    <t>Installations sportives SRE =</t>
  </si>
  <si>
    <t>imp. Sportivo -AE =</t>
  </si>
  <si>
    <t>Piscine SRE =</t>
  </si>
  <si>
    <t>piscina coperta -AE =</t>
  </si>
  <si>
    <t>Chambre d'hôtel</t>
  </si>
  <si>
    <t>camera d'albergo</t>
  </si>
  <si>
    <t>Réception, zone d'accueil</t>
  </si>
  <si>
    <t>ricezione, lobby</t>
  </si>
  <si>
    <t>Bureaux individuels, collectifs</t>
  </si>
  <si>
    <t>uffici singoli e di gruppo</t>
  </si>
  <si>
    <t>Bureaux paysagers</t>
  </si>
  <si>
    <t>uffici grandi</t>
  </si>
  <si>
    <t>Salle de réunion</t>
  </si>
  <si>
    <t>sala riunioni</t>
  </si>
  <si>
    <t>Hall des guichets, zone clientèle</t>
  </si>
  <si>
    <t>ricezione, area clienti</t>
  </si>
  <si>
    <t>Salle d'école</t>
  </si>
  <si>
    <t>aula</t>
  </si>
  <si>
    <t>Salle des maîtres, salle de pause</t>
  </si>
  <si>
    <t>locale docenti</t>
  </si>
  <si>
    <t>Bibliothèque</t>
  </si>
  <si>
    <t>bibioteca</t>
  </si>
  <si>
    <t>Auditoire</t>
  </si>
  <si>
    <t>sala conferenze</t>
  </si>
  <si>
    <t>Magasin d'alimentation</t>
  </si>
  <si>
    <t>negozio di alimentari</t>
  </si>
  <si>
    <t>Marchés spécialisés, grands magasins</t>
  </si>
  <si>
    <t>negozi specializzati e grandi magazzini</t>
  </si>
  <si>
    <t>ristorante</t>
  </si>
  <si>
    <t>Restaurant self-service</t>
  </si>
  <si>
    <t>ristorante self service</t>
  </si>
  <si>
    <t>Cuisine du restaurant</t>
  </si>
  <si>
    <t>cucina ristorante</t>
  </si>
  <si>
    <t>Cuisine du restaurant self-service</t>
  </si>
  <si>
    <t>cucina ristorante self service</t>
  </si>
  <si>
    <t>Salle de spectacle</t>
  </si>
  <si>
    <t>sala teatro</t>
  </si>
  <si>
    <t>Salle omnisports</t>
  </si>
  <si>
    <t>sala multiuso</t>
  </si>
  <si>
    <t>Halle d’exposition</t>
  </si>
  <si>
    <t>sala espositiva</t>
  </si>
  <si>
    <t>Chambre d’hôpital</t>
  </si>
  <si>
    <t>camera d'ospedale</t>
  </si>
  <si>
    <t>Infirmerie</t>
  </si>
  <si>
    <t>ripostiglio</t>
  </si>
  <si>
    <t>Locaux médicaux</t>
  </si>
  <si>
    <t>sala trattamento</t>
  </si>
  <si>
    <t>Production (travail lourd)</t>
  </si>
  <si>
    <t>produzione (lavoro grosso)</t>
  </si>
  <si>
    <t>Production (travail fin)</t>
  </si>
  <si>
    <t>produzione (lavoro fine)</t>
  </si>
  <si>
    <t>Entrepôt</t>
  </si>
  <si>
    <t>magazzino</t>
  </si>
  <si>
    <t>Salle de gymnastique</t>
  </si>
  <si>
    <t>palestra</t>
  </si>
  <si>
    <t>Salle de fitness</t>
  </si>
  <si>
    <t>sala fitness</t>
  </si>
  <si>
    <t>Piscine couverte</t>
  </si>
  <si>
    <t>piscina</t>
  </si>
  <si>
    <t>Surface de dégagement</t>
  </si>
  <si>
    <t>superficie di circolazione</t>
  </si>
  <si>
    <t>Surface de dégagement 24h</t>
  </si>
  <si>
    <t>superficie di circolazione 24h</t>
  </si>
  <si>
    <t>WC, salle de bain, douche</t>
  </si>
  <si>
    <t>WC, bagno doccia</t>
  </si>
  <si>
    <t>Vestiaires, douches</t>
  </si>
  <si>
    <t>spogliatoio, docce</t>
  </si>
  <si>
    <t>Garage collectif</t>
  </si>
  <si>
    <t>garage</t>
  </si>
  <si>
    <t>Buanderie, séchoir</t>
  </si>
  <si>
    <t>lavanderia</t>
  </si>
  <si>
    <t>Locaux annexes</t>
  </si>
  <si>
    <t>locale annesso</t>
  </si>
  <si>
    <t>Salle des serveurs</t>
  </si>
  <si>
    <t>locale di servizio</t>
  </si>
  <si>
    <t>Laboratoire</t>
  </si>
  <si>
    <t>Laboratorio</t>
  </si>
  <si>
    <t>cucina, cucinino</t>
  </si>
  <si>
    <t>Cuisine,  petite cuisine</t>
  </si>
  <si>
    <t>aula speciale</t>
  </si>
  <si>
    <t>Salle de classe spéciale</t>
  </si>
  <si>
    <t>Magasin (meuble, construction, jardin)</t>
  </si>
  <si>
    <t>negozio (mobilia, costruzione, giardino)</t>
  </si>
  <si>
    <t>abitazione plurifamiliare</t>
  </si>
  <si>
    <t>abitazione monofamiliare</t>
  </si>
  <si>
    <t>habitation individuelle</t>
  </si>
  <si>
    <t>appartement</t>
  </si>
  <si>
    <t>Installation d'amenée d'air simple</t>
  </si>
  <si>
    <t>immissione semplice</t>
  </si>
  <si>
    <t>Entrée d'air avec chauffage de l'air</t>
  </si>
  <si>
    <t>imm. semplice con risc. aria</t>
  </si>
  <si>
    <t>Installation d'extraction de l'air simple</t>
  </si>
  <si>
    <t>estrazione semplice</t>
  </si>
  <si>
    <t>Extraction de l'air avec utilisation des rejets de chaleur</t>
  </si>
  <si>
    <t>estrazione con RC</t>
  </si>
  <si>
    <t>Air fourni et air repris sans récupération de chaleur</t>
  </si>
  <si>
    <t>immissione ed estrazione senza RC</t>
  </si>
  <si>
    <t>Air fourni et air repris avec récupération de chaleur</t>
  </si>
  <si>
    <t>immissione ed estrazione con RC</t>
  </si>
  <si>
    <t>Air fourni et air repris, RC / batterie de chauffage</t>
  </si>
  <si>
    <t>imm. estr. con RC /  con bat. risc.</t>
  </si>
  <si>
    <t>Air fourni et air repris, RC / 2-3 batteries</t>
  </si>
  <si>
    <t>imm. estr.  con RC con 2 o 3 batterie</t>
  </si>
  <si>
    <t>Aération par pièce, air fourni ou air repris</t>
  </si>
  <si>
    <t xml:space="preserve">ventilazione per locale, imm.o estr. </t>
  </si>
  <si>
    <t>Aération par pièce, air fourni et air repris</t>
  </si>
  <si>
    <t xml:space="preserve">ventilazione per locale, imm. ed estr. </t>
  </si>
  <si>
    <t>Installation de recirculation de l'air avec batterie de chauffage</t>
  </si>
  <si>
    <t>ricircolo con batteria risaldamento</t>
  </si>
  <si>
    <t>Installation de recirculation de l'air avec batterie de refroidissement</t>
  </si>
  <si>
    <t>ricircolo con batteria raffreddamento</t>
  </si>
  <si>
    <t>Installation de recirculation de l'air avec 2-3 batteries</t>
  </si>
  <si>
    <t>ricircolo con 2-3 batterie</t>
  </si>
  <si>
    <t>Installation d'aération air extérieur sans récupération de chaleur</t>
  </si>
  <si>
    <t>aria esterena e ricircolo senza RC</t>
  </si>
  <si>
    <t>Installation d'aération air extérieur &amp; récupération de chaleur</t>
  </si>
  <si>
    <t>aria esterena e ricircolo con RC</t>
  </si>
  <si>
    <t>Ventilation</t>
  </si>
  <si>
    <t>ventilazione</t>
  </si>
  <si>
    <t>Calcul</t>
  </si>
  <si>
    <t>calcolo</t>
  </si>
  <si>
    <t>A reporter dans le formulaire justificatif Minergie, champ E40</t>
  </si>
  <si>
    <t>da riportare nella casella E40 del formulario Minergie</t>
  </si>
  <si>
    <t>A reporter dans le formulaire justificatif Minergie, champ E41</t>
  </si>
  <si>
    <t>da riportare nella casella E41 del formulario Minergie</t>
  </si>
  <si>
    <t>Zu übertragen in das Minergie-Nachweisformular, Feld E40</t>
  </si>
  <si>
    <t>Zu übertragen in das Minergie-Nachweisformular, Feld E41</t>
  </si>
  <si>
    <t>v1.31</t>
  </si>
  <si>
    <t>Bedarfsberechnung Lüftung (EN-101d)</t>
  </si>
  <si>
    <t>Calcul des besoins en ventilation (EN-101d)</t>
  </si>
  <si>
    <t>Calcolo del fabbisogno per la ventilazione (EN-101d)</t>
  </si>
  <si>
    <t>Blattname mit "EN-101d" ergänzt</t>
  </si>
  <si>
    <t>Versionsnummer 1.31,  Gültigkeitsdatum bis 31. 12. 2019.</t>
  </si>
  <si>
    <t>Gültigkeitsdatum verlängert</t>
  </si>
  <si>
    <t>SGe</t>
  </si>
  <si>
    <t>Versionsnummer 1.31,  Gültigkeitsdatum bis 31. 12. 2022</t>
  </si>
  <si>
    <t>Version 2019.1 (1.31), gültig bis 31.12.2022</t>
  </si>
  <si>
    <t>Version 2019.1 (1.31), valable jusqu'au 31.12.2022</t>
  </si>
  <si>
    <t>Versione 2019.1 (1.31), valevole fino al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</si>
</sst>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0.0"/>
    <numFmt numFmtId="166" formatCode="d/m/yy\ h:mm"/>
    <numFmt numFmtId="167" formatCode="_ * #,##0_ ;_ * \-#,##0_ ;_ * &quot;-&quot;??_ ;_ @_ "/>
    <numFmt numFmtId="168" formatCode="_ [$_-2]\ * #,##0.00_ ;_ [$_-2]\ * \-#,##0.00_ ;_ [$_-2]\ * &quot;-&quot;??_ "/>
    <numFmt numFmtId="169" formatCode="&quot;Fr.&quot;\ #,##0.00"/>
    <numFmt numFmtId="170" formatCode="0.00000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 Narrow"/>
      <family val="2"/>
    </font>
    <font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</font>
    <font>
      <b/>
      <i/>
      <sz val="8"/>
      <name val="Arial"/>
      <family val="2"/>
    </font>
    <font>
      <b/>
      <u/>
      <sz val="18"/>
      <name val="Arial"/>
      <family val="2"/>
    </font>
    <font>
      <i/>
      <sz val="8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b/>
      <sz val="24"/>
      <name val="Arial"/>
      <family val="2"/>
    </font>
    <font>
      <sz val="12"/>
      <name val="Arial Narrow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FFDD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</borders>
  <cellStyleXfs count="106">
    <xf numFmtId="0" fontId="0" fillId="0" borderId="0"/>
    <xf numFmtId="43" fontId="24" fillId="0" borderId="0" applyFont="0" applyFill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23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44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36" fillId="27" borderId="32" applyNumberFormat="0" applyAlignment="0" applyProtection="0"/>
    <xf numFmtId="0" fontId="36" fillId="27" borderId="32" applyNumberFormat="0" applyAlignment="0" applyProtection="0"/>
    <xf numFmtId="0" fontId="44" fillId="0" borderId="33" applyNumberFormat="0" applyFill="0" applyAlignment="0" applyProtection="0"/>
    <xf numFmtId="0" fontId="37" fillId="29" borderId="34" applyNumberFormat="0" applyAlignment="0" applyProtection="0"/>
    <xf numFmtId="0" fontId="24" fillId="16" borderId="35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3" fillId="19" borderId="32" applyNumberFormat="0" applyAlignment="0" applyProtection="0"/>
    <xf numFmtId="0" fontId="38" fillId="0" borderId="0" applyNumberFormat="0" applyFill="0" applyBorder="0" applyAlignment="0" applyProtection="0"/>
    <xf numFmtId="0" fontId="39" fillId="18" borderId="0" applyNumberFormat="0" applyBorder="0" applyAlignment="0" applyProtection="0"/>
    <xf numFmtId="0" fontId="40" fillId="0" borderId="37" applyNumberFormat="0" applyFill="0" applyAlignment="0" applyProtection="0"/>
    <xf numFmtId="0" fontId="41" fillId="0" borderId="38" applyNumberFormat="0" applyFill="0" applyAlignment="0" applyProtection="0"/>
    <xf numFmtId="0" fontId="42" fillId="0" borderId="39" applyNumberFormat="0" applyFill="0" applyAlignment="0" applyProtection="0"/>
    <xf numFmtId="0" fontId="42" fillId="0" borderId="0" applyNumberFormat="0" applyFill="0" applyBorder="0" applyAlignment="0" applyProtection="0"/>
    <xf numFmtId="0" fontId="43" fillId="19" borderId="32" applyNumberFormat="0" applyAlignment="0" applyProtection="0"/>
    <xf numFmtId="0" fontId="35" fillId="28" borderId="0" applyNumberFormat="0" applyBorder="0" applyAlignment="0" applyProtection="0"/>
    <xf numFmtId="0" fontId="44" fillId="0" borderId="33" applyNumberFormat="0" applyFill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35" applyNumberFormat="0" applyFont="0" applyAlignment="0" applyProtection="0"/>
    <xf numFmtId="0" fontId="46" fillId="27" borderId="31" applyNumberFormat="0" applyAlignment="0" applyProtection="0"/>
    <xf numFmtId="0" fontId="39" fillId="18" borderId="0" applyNumberFormat="0" applyBorder="0" applyAlignment="0" applyProtection="0"/>
    <xf numFmtId="0" fontId="46" fillId="27" borderId="31" applyNumberFormat="0" applyAlignment="0" applyProtection="0"/>
    <xf numFmtId="0" fontId="3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0" fillId="0" borderId="37" applyNumberFormat="0" applyFill="0" applyAlignment="0" applyProtection="0"/>
    <xf numFmtId="0" fontId="41" fillId="0" borderId="38" applyNumberFormat="0" applyFill="0" applyAlignment="0" applyProtection="0"/>
    <xf numFmtId="0" fontId="42" fillId="0" borderId="39" applyNumberFormat="0" applyFill="0" applyAlignment="0" applyProtection="0"/>
    <xf numFmtId="0" fontId="42" fillId="0" borderId="0" applyNumberFormat="0" applyFill="0" applyBorder="0" applyAlignment="0" applyProtection="0"/>
    <xf numFmtId="0" fontId="48" fillId="0" borderId="36" applyNumberFormat="0" applyFill="0" applyAlignment="0" applyProtection="0"/>
    <xf numFmtId="0" fontId="37" fillId="29" borderId="34" applyNumberFormat="0" applyAlignment="0" applyProtection="0"/>
    <xf numFmtId="0" fontId="44" fillId="0" borderId="0" applyNumberFormat="0" applyFill="0" applyBorder="0" applyAlignment="0" applyProtection="0"/>
  </cellStyleXfs>
  <cellXfs count="37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3" fontId="5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0" fillId="0" borderId="0" xfId="0" applyFill="1" applyProtection="1">
      <protection locked="0"/>
    </xf>
    <xf numFmtId="3" fontId="5" fillId="0" borderId="0" xfId="0" applyNumberFormat="1" applyFont="1" applyFill="1" applyBorder="1" applyAlignment="1" applyProtection="1">
      <alignment horizontal="center"/>
    </xf>
    <xf numFmtId="3" fontId="0" fillId="0" borderId="0" xfId="0" applyNumberFormat="1" applyFill="1" applyAlignment="1" applyProtection="1">
      <alignment horizontal="center"/>
      <protection locked="0"/>
    </xf>
    <xf numFmtId="3" fontId="5" fillId="0" borderId="0" xfId="0" applyNumberFormat="1" applyFont="1" applyFill="1" applyAlignment="1" applyProtection="1">
      <alignment horizontal="left"/>
    </xf>
    <xf numFmtId="0" fontId="10" fillId="0" borderId="0" xfId="0" applyFont="1"/>
    <xf numFmtId="3" fontId="1" fillId="0" borderId="0" xfId="0" applyNumberFormat="1" applyFont="1" applyFill="1" applyAlignment="1" applyProtection="1">
      <alignment horizontal="center"/>
    </xf>
    <xf numFmtId="2" fontId="8" fillId="0" borderId="3" xfId="0" applyNumberFormat="1" applyFont="1" applyBorder="1" applyAlignment="1" applyProtection="1">
      <alignment horizontal="center"/>
    </xf>
    <xf numFmtId="3" fontId="8" fillId="0" borderId="3" xfId="0" applyNumberFormat="1" applyFont="1" applyBorder="1" applyAlignment="1" applyProtection="1">
      <alignment horizontal="center"/>
    </xf>
    <xf numFmtId="3" fontId="2" fillId="0" borderId="0" xfId="0" applyNumberFormat="1" applyFont="1" applyProtection="1"/>
    <xf numFmtId="3" fontId="0" fillId="0" borderId="0" xfId="0" applyNumberFormat="1" applyProtection="1"/>
    <xf numFmtId="3" fontId="7" fillId="2" borderId="4" xfId="0" applyNumberFormat="1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0" fillId="0" borderId="0" xfId="0" applyProtection="1"/>
    <xf numFmtId="3" fontId="0" fillId="0" borderId="0" xfId="0" applyNumberFormat="1" applyAlignment="1" applyProtection="1">
      <alignment horizontal="center"/>
    </xf>
    <xf numFmtId="166" fontId="5" fillId="0" borderId="0" xfId="0" applyNumberFormat="1" applyFont="1" applyProtection="1"/>
    <xf numFmtId="166" fontId="11" fillId="0" borderId="0" xfId="0" applyNumberFormat="1" applyFont="1" applyBorder="1" applyAlignment="1" applyProtection="1">
      <alignment horizontal="left" vertical="top"/>
    </xf>
    <xf numFmtId="0" fontId="8" fillId="0" borderId="3" xfId="0" applyFont="1" applyBorder="1" applyAlignment="1" applyProtection="1">
      <alignment horizontal="right"/>
    </xf>
    <xf numFmtId="0" fontId="8" fillId="0" borderId="5" xfId="0" applyFont="1" applyBorder="1" applyAlignment="1" applyProtection="1">
      <alignment horizontal="right"/>
    </xf>
    <xf numFmtId="3" fontId="8" fillId="0" borderId="6" xfId="0" applyNumberFormat="1" applyFont="1" applyBorder="1" applyAlignment="1" applyProtection="1">
      <alignment horizontal="left"/>
    </xf>
    <xf numFmtId="2" fontId="8" fillId="0" borderId="7" xfId="0" applyNumberFormat="1" applyFont="1" applyBorder="1" applyAlignment="1" applyProtection="1">
      <alignment horizontal="center"/>
    </xf>
    <xf numFmtId="3" fontId="8" fillId="0" borderId="7" xfId="0" applyNumberFormat="1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right"/>
    </xf>
    <xf numFmtId="2" fontId="8" fillId="0" borderId="5" xfId="0" applyNumberFormat="1" applyFont="1" applyBorder="1" applyAlignment="1" applyProtection="1">
      <alignment horizontal="center"/>
    </xf>
    <xf numFmtId="3" fontId="8" fillId="0" borderId="5" xfId="0" applyNumberFormat="1" applyFont="1" applyBorder="1" applyAlignment="1" applyProtection="1">
      <alignment horizontal="center"/>
    </xf>
    <xf numFmtId="3" fontId="8" fillId="0" borderId="8" xfId="0" applyNumberFormat="1" applyFont="1" applyFill="1" applyBorder="1" applyAlignment="1" applyProtection="1">
      <alignment horizontal="center"/>
    </xf>
    <xf numFmtId="3" fontId="8" fillId="0" borderId="9" xfId="0" applyNumberFormat="1" applyFont="1" applyFill="1" applyBorder="1" applyAlignment="1" applyProtection="1">
      <alignment horizontal="center"/>
    </xf>
    <xf numFmtId="1" fontId="8" fillId="0" borderId="3" xfId="0" applyNumberFormat="1" applyFont="1" applyBorder="1" applyAlignment="1" applyProtection="1">
      <alignment horizontal="center"/>
    </xf>
    <xf numFmtId="0" fontId="8" fillId="0" borderId="3" xfId="0" applyFont="1" applyBorder="1" applyProtection="1"/>
    <xf numFmtId="0" fontId="8" fillId="0" borderId="10" xfId="0" applyFont="1" applyBorder="1" applyAlignment="1" applyProtection="1">
      <alignment horizontal="right"/>
    </xf>
    <xf numFmtId="0" fontId="0" fillId="0" borderId="0" xfId="0" applyAlignment="1">
      <alignment horizontal="left"/>
    </xf>
    <xf numFmtId="3" fontId="12" fillId="0" borderId="0" xfId="0" applyNumberFormat="1" applyFont="1" applyAlignment="1" applyProtection="1">
      <alignment horizontal="right"/>
    </xf>
    <xf numFmtId="0" fontId="0" fillId="0" borderId="0" xfId="0" applyBorder="1"/>
    <xf numFmtId="0" fontId="3" fillId="0" borderId="0" xfId="0" applyFont="1"/>
    <xf numFmtId="3" fontId="8" fillId="0" borderId="0" xfId="0" applyNumberFormat="1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8" fillId="6" borderId="4" xfId="0" applyFont="1" applyFill="1" applyBorder="1" applyProtection="1"/>
    <xf numFmtId="0" fontId="2" fillId="0" borderId="0" xfId="0" applyFont="1"/>
    <xf numFmtId="0" fontId="2" fillId="0" borderId="0" xfId="0" applyFont="1" applyFill="1" applyBorder="1" applyAlignment="1">
      <alignment vertical="top" wrapText="1"/>
    </xf>
    <xf numFmtId="3" fontId="2" fillId="0" borderId="5" xfId="0" applyNumberFormat="1" applyFont="1" applyBorder="1" applyAlignment="1" applyProtection="1">
      <alignment horizontal="left"/>
    </xf>
    <xf numFmtId="3" fontId="8" fillId="0" borderId="7" xfId="0" applyNumberFormat="1" applyFont="1" applyBorder="1" applyAlignment="1" applyProtection="1">
      <alignment horizontal="left"/>
    </xf>
    <xf numFmtId="3" fontId="3" fillId="0" borderId="3" xfId="0" applyNumberFormat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vertical="center"/>
    </xf>
    <xf numFmtId="3" fontId="14" fillId="2" borderId="13" xfId="0" applyNumberFormat="1" applyFont="1" applyFill="1" applyBorder="1" applyAlignment="1" applyProtection="1">
      <alignment horizontal="center"/>
    </xf>
    <xf numFmtId="3" fontId="15" fillId="4" borderId="1" xfId="0" applyNumberFormat="1" applyFont="1" applyFill="1" applyBorder="1" applyAlignment="1" applyProtection="1">
      <alignment horizontal="center"/>
      <protection locked="0"/>
    </xf>
    <xf numFmtId="2" fontId="15" fillId="3" borderId="1" xfId="0" applyNumberFormat="1" applyFont="1" applyFill="1" applyBorder="1" applyAlignment="1" applyProtection="1">
      <alignment horizontal="center"/>
      <protection locked="0"/>
    </xf>
    <xf numFmtId="3" fontId="15" fillId="0" borderId="1" xfId="0" applyNumberFormat="1" applyFont="1" applyFill="1" applyBorder="1" applyAlignment="1" applyProtection="1">
      <alignment horizontal="center"/>
    </xf>
    <xf numFmtId="3" fontId="15" fillId="4" borderId="2" xfId="0" applyNumberFormat="1" applyFont="1" applyFill="1" applyBorder="1" applyAlignment="1" applyProtection="1">
      <alignment horizontal="center"/>
      <protection locked="0"/>
    </xf>
    <xf numFmtId="3" fontId="15" fillId="0" borderId="2" xfId="0" applyNumberFormat="1" applyFont="1" applyFill="1" applyBorder="1" applyAlignment="1" applyProtection="1">
      <alignment horizontal="center"/>
    </xf>
    <xf numFmtId="2" fontId="15" fillId="3" borderId="2" xfId="0" applyNumberFormat="1" applyFont="1" applyFill="1" applyBorder="1" applyAlignment="1" applyProtection="1">
      <alignment horizontal="center"/>
      <protection locked="0"/>
    </xf>
    <xf numFmtId="0" fontId="8" fillId="0" borderId="16" xfId="0" applyFont="1" applyBorder="1" applyProtection="1">
      <protection locked="0"/>
    </xf>
    <xf numFmtId="3" fontId="15" fillId="4" borderId="17" xfId="0" applyNumberFormat="1" applyFont="1" applyFill="1" applyBorder="1" applyAlignment="1" applyProtection="1">
      <alignment horizontal="center"/>
      <protection locked="0"/>
    </xf>
    <xf numFmtId="2" fontId="15" fillId="3" borderId="17" xfId="0" applyNumberFormat="1" applyFont="1" applyFill="1" applyBorder="1" applyAlignment="1" applyProtection="1">
      <alignment horizontal="center"/>
      <protection locked="0"/>
    </xf>
    <xf numFmtId="3" fontId="4" fillId="0" borderId="12" xfId="0" applyNumberFormat="1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vertical="center"/>
    </xf>
    <xf numFmtId="3" fontId="15" fillId="7" borderId="19" xfId="0" applyNumberFormat="1" applyFont="1" applyFill="1" applyBorder="1" applyAlignment="1" applyProtection="1">
      <alignment horizontal="center"/>
    </xf>
    <xf numFmtId="3" fontId="15" fillId="7" borderId="18" xfId="0" applyNumberFormat="1" applyFont="1" applyFill="1" applyBorder="1" applyAlignment="1" applyProtection="1">
      <alignment horizontal="center"/>
    </xf>
    <xf numFmtId="3" fontId="15" fillId="0" borderId="18" xfId="0" applyNumberFormat="1" applyFont="1" applyFill="1" applyBorder="1" applyAlignment="1" applyProtection="1">
      <alignment horizontal="center"/>
    </xf>
    <xf numFmtId="3" fontId="15" fillId="8" borderId="1" xfId="0" applyNumberFormat="1" applyFont="1" applyFill="1" applyBorder="1" applyAlignment="1" applyProtection="1">
      <protection locked="0"/>
    </xf>
    <xf numFmtId="3" fontId="15" fillId="8" borderId="2" xfId="0" applyNumberFormat="1" applyFont="1" applyFill="1" applyBorder="1" applyAlignment="1" applyProtection="1">
      <protection locked="0"/>
    </xf>
    <xf numFmtId="0" fontId="19" fillId="9" borderId="3" xfId="0" applyFont="1" applyFill="1" applyBorder="1"/>
    <xf numFmtId="0" fontId="19" fillId="9" borderId="14" xfId="0" applyFont="1" applyFill="1" applyBorder="1"/>
    <xf numFmtId="0" fontId="0" fillId="0" borderId="11" xfId="0" applyBorder="1"/>
    <xf numFmtId="0" fontId="0" fillId="0" borderId="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" fontId="2" fillId="0" borderId="21" xfId="0" applyNumberFormat="1" applyFont="1" applyFill="1" applyBorder="1"/>
    <xf numFmtId="0" fontId="0" fillId="0" borderId="7" xfId="0" applyBorder="1"/>
    <xf numFmtId="1" fontId="2" fillId="0" borderId="22" xfId="0" applyNumberFormat="1" applyFont="1" applyFill="1" applyBorder="1"/>
    <xf numFmtId="0" fontId="20" fillId="9" borderId="12" xfId="0" applyFont="1" applyFill="1" applyBorder="1"/>
    <xf numFmtId="0" fontId="21" fillId="9" borderId="14" xfId="0" applyFont="1" applyFill="1" applyBorder="1"/>
    <xf numFmtId="0" fontId="20" fillId="9" borderId="3" xfId="0" applyFont="1" applyFill="1" applyBorder="1"/>
    <xf numFmtId="0" fontId="0" fillId="0" borderId="6" xfId="0" applyBorder="1"/>
    <xf numFmtId="0" fontId="0" fillId="0" borderId="5" xfId="0" applyBorder="1"/>
    <xf numFmtId="1" fontId="2" fillId="0" borderId="8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0" fillId="9" borderId="12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0" fontId="18" fillId="9" borderId="12" xfId="0" applyFont="1" applyFill="1" applyBorder="1" applyAlignment="1">
      <alignment horizontal="left"/>
    </xf>
    <xf numFmtId="0" fontId="0" fillId="0" borderId="17" xfId="0" applyBorder="1"/>
    <xf numFmtId="0" fontId="0" fillId="0" borderId="23" xfId="0" applyBorder="1"/>
    <xf numFmtId="0" fontId="0" fillId="0" borderId="24" xfId="0" applyBorder="1"/>
    <xf numFmtId="3" fontId="0" fillId="0" borderId="24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4" borderId="4" xfId="0" applyNumberForma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 applyBorder="1"/>
    <xf numFmtId="0" fontId="0" fillId="0" borderId="11" xfId="0" applyBorder="1" applyAlignment="1">
      <alignment horizontal="center"/>
    </xf>
    <xf numFmtId="0" fontId="20" fillId="9" borderId="11" xfId="0" applyFont="1" applyFill="1" applyBorder="1"/>
    <xf numFmtId="0" fontId="1" fillId="0" borderId="0" xfId="0" applyFont="1"/>
    <xf numFmtId="0" fontId="2" fillId="0" borderId="0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20" fillId="9" borderId="5" xfId="0" applyFont="1" applyFill="1" applyBorder="1"/>
    <xf numFmtId="0" fontId="0" fillId="0" borderId="5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0" fillId="9" borderId="5" xfId="0" applyFont="1" applyFill="1" applyBorder="1" applyAlignment="1">
      <alignment horizontal="center"/>
    </xf>
    <xf numFmtId="1" fontId="1" fillId="0" borderId="21" xfId="0" applyNumberFormat="1" applyFont="1" applyFill="1" applyBorder="1"/>
    <xf numFmtId="0" fontId="1" fillId="0" borderId="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11" xfId="0" applyBorder="1" applyAlignment="1"/>
    <xf numFmtId="0" fontId="2" fillId="0" borderId="20" xfId="0" applyFont="1" applyBorder="1" applyAlignment="1"/>
    <xf numFmtId="0" fontId="0" fillId="0" borderId="11" xfId="0" applyBorder="1" applyAlignment="1">
      <alignment vertical="center"/>
    </xf>
    <xf numFmtId="0" fontId="1" fillId="0" borderId="20" xfId="0" applyFont="1" applyBorder="1" applyAlignment="1">
      <alignment vertical="center"/>
    </xf>
    <xf numFmtId="0" fontId="7" fillId="2" borderId="23" xfId="0" applyFont="1" applyFill="1" applyBorder="1" applyAlignment="1" applyProtection="1">
      <alignment horizontal="right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19" fillId="9" borderId="3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0" fillId="0" borderId="0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5" fontId="2" fillId="0" borderId="20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0" fontId="1" fillId="0" borderId="24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0" fillId="9" borderId="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1" fillId="0" borderId="20" xfId="0" applyFont="1" applyBorder="1"/>
    <xf numFmtId="1" fontId="2" fillId="0" borderId="24" xfId="0" applyNumberFormat="1" applyFont="1" applyFill="1" applyBorder="1"/>
    <xf numFmtId="1" fontId="1" fillId="0" borderId="24" xfId="0" applyNumberFormat="1" applyFont="1" applyFill="1" applyBorder="1"/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3" fontId="13" fillId="8" borderId="26" xfId="0" applyNumberFormat="1" applyFont="1" applyFill="1" applyBorder="1" applyAlignment="1" applyProtection="1">
      <protection locked="0"/>
    </xf>
    <xf numFmtId="3" fontId="15" fillId="8" borderId="27" xfId="0" applyNumberFormat="1" applyFont="1" applyFill="1" applyBorder="1" applyAlignment="1" applyProtection="1">
      <protection locked="0"/>
    </xf>
    <xf numFmtId="3" fontId="15" fillId="8" borderId="22" xfId="0" applyNumberFormat="1" applyFont="1" applyFill="1" applyBorder="1" applyAlignment="1" applyProtection="1">
      <protection locked="0"/>
    </xf>
    <xf numFmtId="3" fontId="0" fillId="0" borderId="11" xfId="0" applyNumberFormat="1" applyBorder="1" applyAlignment="1">
      <alignment horizontal="center"/>
    </xf>
    <xf numFmtId="3" fontId="15" fillId="4" borderId="18" xfId="0" applyNumberFormat="1" applyFont="1" applyFill="1" applyBorder="1" applyAlignment="1" applyProtection="1">
      <alignment horizontal="center"/>
      <protection locked="0"/>
    </xf>
    <xf numFmtId="2" fontId="15" fillId="4" borderId="1" xfId="0" applyNumberFormat="1" applyFont="1" applyFill="1" applyBorder="1" applyAlignment="1" applyProtection="1">
      <alignment horizontal="center"/>
      <protection locked="0"/>
    </xf>
    <xf numFmtId="2" fontId="15" fillId="4" borderId="2" xfId="0" applyNumberFormat="1" applyFont="1" applyFill="1" applyBorder="1" applyAlignment="1" applyProtection="1">
      <alignment horizontal="center"/>
      <protection locked="0"/>
    </xf>
    <xf numFmtId="2" fontId="15" fillId="4" borderId="17" xfId="0" applyNumberFormat="1" applyFont="1" applyFill="1" applyBorder="1" applyAlignment="1" applyProtection="1">
      <alignment horizontal="center"/>
      <protection locked="0"/>
    </xf>
    <xf numFmtId="1" fontId="19" fillId="9" borderId="3" xfId="0" applyNumberFormat="1" applyFont="1" applyFill="1" applyBorder="1"/>
    <xf numFmtId="0" fontId="21" fillId="9" borderId="3" xfId="0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10" fillId="0" borderId="21" xfId="0" applyFont="1" applyBorder="1"/>
    <xf numFmtId="0" fontId="10" fillId="0" borderId="24" xfId="0" applyFont="1" applyBorder="1"/>
    <xf numFmtId="0" fontId="1" fillId="0" borderId="11" xfId="0" applyFont="1" applyBorder="1" applyAlignment="1">
      <alignment horizontal="center"/>
    </xf>
    <xf numFmtId="0" fontId="20" fillId="9" borderId="12" xfId="0" applyFont="1" applyFill="1" applyBorder="1" applyAlignment="1">
      <alignment horizontal="left"/>
    </xf>
    <xf numFmtId="3" fontId="10" fillId="8" borderId="2" xfId="0" applyNumberFormat="1" applyFont="1" applyFill="1" applyBorder="1" applyAlignment="1" applyProtection="1">
      <alignment horizontal="center"/>
      <protection locked="0"/>
    </xf>
    <xf numFmtId="3" fontId="10" fillId="8" borderId="18" xfId="0" applyNumberFormat="1" applyFont="1" applyFill="1" applyBorder="1" applyAlignment="1" applyProtection="1">
      <alignment horizontal="center"/>
      <protection locked="0"/>
    </xf>
    <xf numFmtId="0" fontId="22" fillId="9" borderId="3" xfId="0" applyFont="1" applyFill="1" applyBorder="1"/>
    <xf numFmtId="4" fontId="15" fillId="7" borderId="19" xfId="0" applyNumberFormat="1" applyFont="1" applyFill="1" applyBorder="1" applyAlignment="1" applyProtection="1">
      <alignment horizontal="center"/>
    </xf>
    <xf numFmtId="3" fontId="8" fillId="6" borderId="4" xfId="0" applyNumberFormat="1" applyFont="1" applyFill="1" applyBorder="1" applyAlignment="1" applyProtection="1">
      <alignment horizontal="center"/>
    </xf>
    <xf numFmtId="3" fontId="8" fillId="2" borderId="4" xfId="0" applyNumberFormat="1" applyFont="1" applyFill="1" applyBorder="1" applyAlignment="1" applyProtection="1">
      <alignment horizontal="center"/>
    </xf>
    <xf numFmtId="4" fontId="15" fillId="7" borderId="18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right"/>
    </xf>
    <xf numFmtId="0" fontId="0" fillId="4" borderId="4" xfId="0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3" fontId="7" fillId="2" borderId="23" xfId="0" applyNumberFormat="1" applyFont="1" applyFill="1" applyBorder="1" applyAlignment="1" applyProtection="1">
      <alignment horizontal="center"/>
    </xf>
    <xf numFmtId="2" fontId="15" fillId="0" borderId="25" xfId="0" applyNumberFormat="1" applyFont="1" applyFill="1" applyBorder="1" applyAlignment="1" applyProtection="1">
      <alignment horizontal="center"/>
    </xf>
    <xf numFmtId="2" fontId="15" fillId="0" borderId="15" xfId="0" applyNumberFormat="1" applyFont="1" applyFill="1" applyBorder="1" applyAlignment="1" applyProtection="1">
      <alignment horizontal="center"/>
    </xf>
    <xf numFmtId="2" fontId="15" fillId="0" borderId="28" xfId="0" applyNumberFormat="1" applyFont="1" applyFill="1" applyBorder="1" applyAlignment="1" applyProtection="1">
      <alignment horizontal="center"/>
    </xf>
    <xf numFmtId="3" fontId="15" fillId="5" borderId="25" xfId="0" applyNumberFormat="1" applyFont="1" applyFill="1" applyBorder="1" applyAlignment="1" applyProtection="1">
      <alignment horizontal="center"/>
      <protection locked="0"/>
    </xf>
    <xf numFmtId="3" fontId="15" fillId="5" borderId="15" xfId="0" applyNumberFormat="1" applyFont="1" applyFill="1" applyBorder="1" applyAlignment="1" applyProtection="1">
      <alignment horizontal="center"/>
      <protection locked="0"/>
    </xf>
    <xf numFmtId="3" fontId="15" fillId="5" borderId="6" xfId="0" applyNumberFormat="1" applyFont="1" applyFill="1" applyBorder="1" applyAlignment="1" applyProtection="1">
      <alignment horizontal="center"/>
      <protection locked="0"/>
    </xf>
    <xf numFmtId="3" fontId="15" fillId="8" borderId="26" xfId="0" applyNumberFormat="1" applyFont="1" applyFill="1" applyBorder="1" applyAlignment="1" applyProtection="1">
      <alignment horizontal="left"/>
      <protection locked="0"/>
    </xf>
    <xf numFmtId="3" fontId="15" fillId="8" borderId="27" xfId="0" applyNumberFormat="1" applyFont="1" applyFill="1" applyBorder="1" applyAlignment="1" applyProtection="1">
      <alignment horizontal="left"/>
      <protection locked="0"/>
    </xf>
    <xf numFmtId="3" fontId="15" fillId="8" borderId="22" xfId="0" applyNumberFormat="1" applyFont="1" applyFill="1" applyBorder="1" applyAlignment="1" applyProtection="1">
      <alignment horizontal="left"/>
      <protection locked="0"/>
    </xf>
    <xf numFmtId="166" fontId="15" fillId="8" borderId="1" xfId="0" applyNumberFormat="1" applyFont="1" applyFill="1" applyBorder="1" applyAlignment="1" applyProtection="1">
      <alignment horizontal="left"/>
      <protection locked="0"/>
    </xf>
    <xf numFmtId="166" fontId="15" fillId="8" borderId="2" xfId="0" applyNumberFormat="1" applyFont="1" applyFill="1" applyBorder="1" applyAlignment="1" applyProtection="1">
      <alignment horizontal="left"/>
      <protection locked="0"/>
    </xf>
    <xf numFmtId="166" fontId="15" fillId="8" borderId="18" xfId="0" applyNumberFormat="1" applyFont="1" applyFill="1" applyBorder="1" applyAlignment="1" applyProtection="1">
      <alignment horizontal="left"/>
      <protection locked="0"/>
    </xf>
    <xf numFmtId="3" fontId="8" fillId="0" borderId="0" xfId="0" applyNumberFormat="1" applyFont="1" applyProtection="1">
      <protection locked="0"/>
    </xf>
    <xf numFmtId="1" fontId="15" fillId="8" borderId="25" xfId="0" quotePrefix="1" applyNumberFormat="1" applyFont="1" applyFill="1" applyBorder="1" applyAlignment="1" applyProtection="1">
      <alignment horizontal="center"/>
      <protection locked="0"/>
    </xf>
    <xf numFmtId="1" fontId="13" fillId="8" borderId="15" xfId="0" quotePrefix="1" applyNumberFormat="1" applyFont="1" applyFill="1" applyBorder="1" applyAlignment="1" applyProtection="1">
      <alignment horizontal="center"/>
      <protection locked="0"/>
    </xf>
    <xf numFmtId="1" fontId="15" fillId="8" borderId="15" xfId="0" quotePrefix="1" applyNumberFormat="1" applyFont="1" applyFill="1" applyBorder="1" applyAlignment="1" applyProtection="1">
      <alignment horizontal="center"/>
      <protection locked="0"/>
    </xf>
    <xf numFmtId="1" fontId="15" fillId="8" borderId="6" xfId="0" quotePrefix="1" applyNumberFormat="1" applyFont="1" applyFill="1" applyBorder="1" applyAlignment="1" applyProtection="1">
      <alignment horizontal="center"/>
      <protection locked="0"/>
    </xf>
    <xf numFmtId="0" fontId="8" fillId="0" borderId="0" xfId="0" applyFont="1" applyProtection="1"/>
    <xf numFmtId="3" fontId="0" fillId="0" borderId="0" xfId="0" applyNumberFormat="1" applyBorder="1" applyProtection="1"/>
    <xf numFmtId="0" fontId="2" fillId="0" borderId="0" xfId="0" applyFont="1" applyProtection="1"/>
    <xf numFmtId="0" fontId="12" fillId="0" borderId="0" xfId="0" applyFont="1" applyAlignment="1" applyProtection="1">
      <alignment horizontal="left" wrapText="1"/>
    </xf>
    <xf numFmtId="0" fontId="12" fillId="0" borderId="0" xfId="0" applyFont="1" applyAlignment="1" applyProtection="1">
      <alignment horizontal="left"/>
    </xf>
    <xf numFmtId="3" fontId="2" fillId="0" borderId="0" xfId="0" applyNumberFormat="1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3" fontId="0" fillId="0" borderId="0" xfId="0" applyNumberFormat="1" applyFill="1" applyAlignment="1" applyProtection="1">
      <alignment horizontal="center"/>
    </xf>
    <xf numFmtId="166" fontId="23" fillId="9" borderId="11" xfId="0" applyNumberFormat="1" applyFont="1" applyFill="1" applyBorder="1" applyAlignment="1" applyProtection="1">
      <alignment horizontal="center" wrapText="1"/>
    </xf>
    <xf numFmtId="0" fontId="19" fillId="9" borderId="8" xfId="0" applyFont="1" applyFill="1" applyBorder="1" applyAlignment="1">
      <alignment horizontal="center"/>
    </xf>
    <xf numFmtId="0" fontId="19" fillId="9" borderId="23" xfId="0" applyFont="1" applyFill="1" applyBorder="1" applyAlignment="1">
      <alignment horizontal="center"/>
    </xf>
    <xf numFmtId="0" fontId="23" fillId="9" borderId="23" xfId="0" applyFont="1" applyFill="1" applyBorder="1" applyAlignment="1">
      <alignment horizontal="center"/>
    </xf>
    <xf numFmtId="0" fontId="19" fillId="9" borderId="6" xfId="0" applyFont="1" applyFill="1" applyBorder="1"/>
    <xf numFmtId="0" fontId="19" fillId="9" borderId="20" xfId="0" applyFont="1" applyFill="1" applyBorder="1" applyAlignment="1">
      <alignment horizontal="center"/>
    </xf>
    <xf numFmtId="0" fontId="19" fillId="9" borderId="22" xfId="0" applyFont="1" applyFill="1" applyBorder="1" applyAlignment="1">
      <alignment horizontal="center"/>
    </xf>
    <xf numFmtId="0" fontId="19" fillId="9" borderId="21" xfId="0" applyNumberFormat="1" applyFont="1" applyFill="1" applyBorder="1" applyAlignment="1">
      <alignment horizontal="center"/>
    </xf>
    <xf numFmtId="0" fontId="19" fillId="9" borderId="24" xfId="0" applyFont="1" applyFill="1" applyBorder="1" applyAlignment="1">
      <alignment horizontal="center"/>
    </xf>
    <xf numFmtId="0" fontId="19" fillId="9" borderId="17" xfId="0" applyFont="1" applyFill="1" applyBorder="1" applyAlignment="1">
      <alignment horizontal="center"/>
    </xf>
    <xf numFmtId="0" fontId="19" fillId="9" borderId="21" xfId="0" applyFont="1" applyFill="1" applyBorder="1" applyAlignment="1">
      <alignment horizontal="center"/>
    </xf>
    <xf numFmtId="0" fontId="19" fillId="9" borderId="24" xfId="0" applyFont="1" applyFill="1" applyBorder="1"/>
    <xf numFmtId="0" fontId="23" fillId="9" borderId="2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166" fontId="4" fillId="0" borderId="16" xfId="0" applyNumberFormat="1" applyFont="1" applyBorder="1" applyAlignment="1" applyProtection="1">
      <alignment horizontal="left"/>
    </xf>
    <xf numFmtId="166" fontId="6" fillId="0" borderId="16" xfId="0" applyNumberFormat="1" applyFont="1" applyBorder="1" applyAlignment="1" applyProtection="1">
      <alignment horizontal="left"/>
    </xf>
    <xf numFmtId="0" fontId="0" fillId="0" borderId="0" xfId="0" applyFill="1" applyProtection="1"/>
    <xf numFmtId="166" fontId="6" fillId="0" borderId="0" xfId="0" applyNumberFormat="1" applyFont="1" applyBorder="1" applyAlignment="1" applyProtection="1">
      <alignment horizontal="left"/>
    </xf>
    <xf numFmtId="1" fontId="8" fillId="0" borderId="0" xfId="0" applyNumberFormat="1" applyFont="1" applyBorder="1" applyAlignment="1" applyProtection="1">
      <alignment horizontal="left"/>
    </xf>
    <xf numFmtId="0" fontId="17" fillId="0" borderId="0" xfId="0" applyFont="1" applyProtection="1"/>
    <xf numFmtId="0" fontId="16" fillId="0" borderId="0" xfId="0" applyFont="1" applyProtection="1"/>
    <xf numFmtId="2" fontId="0" fillId="0" borderId="0" xfId="0" applyNumberFormat="1" applyProtection="1"/>
    <xf numFmtId="0" fontId="19" fillId="9" borderId="23" xfId="0" applyFont="1" applyFill="1" applyBorder="1" applyAlignment="1">
      <alignment horizontal="center" wrapText="1"/>
    </xf>
    <xf numFmtId="3" fontId="15" fillId="8" borderId="18" xfId="0" applyNumberFormat="1" applyFont="1" applyFill="1" applyBorder="1" applyAlignment="1" applyProtection="1">
      <protection locked="0"/>
    </xf>
    <xf numFmtId="0" fontId="0" fillId="0" borderId="11" xfId="0" applyBorder="1" applyAlignment="1">
      <alignment horizontal="center"/>
    </xf>
    <xf numFmtId="0" fontId="19" fillId="9" borderId="4" xfId="0" applyFont="1" applyFill="1" applyBorder="1" applyAlignment="1">
      <alignment horizontal="center" vertical="top" wrapText="1"/>
    </xf>
    <xf numFmtId="1" fontId="19" fillId="9" borderId="4" xfId="0" applyNumberFormat="1" applyFont="1" applyFill="1" applyBorder="1" applyAlignment="1">
      <alignment horizontal="center"/>
    </xf>
    <xf numFmtId="0" fontId="19" fillId="9" borderId="4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left"/>
    </xf>
    <xf numFmtId="166" fontId="7" fillId="0" borderId="4" xfId="0" applyNumberFormat="1" applyFont="1" applyBorder="1" applyAlignment="1" applyProtection="1">
      <alignment horizontal="center" wrapText="1"/>
    </xf>
    <xf numFmtId="3" fontId="7" fillId="0" borderId="4" xfId="0" applyNumberFormat="1" applyFont="1" applyBorder="1" applyAlignment="1" applyProtection="1">
      <alignment horizontal="center" wrapText="1"/>
    </xf>
    <xf numFmtId="1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Protection="1"/>
    <xf numFmtId="3" fontId="7" fillId="0" borderId="4" xfId="0" applyNumberFormat="1" applyFont="1" applyBorder="1" applyAlignment="1" applyProtection="1">
      <alignment horizontal="center"/>
    </xf>
    <xf numFmtId="3" fontId="7" fillId="0" borderId="4" xfId="0" applyNumberFormat="1" applyFont="1" applyFill="1" applyBorder="1" applyAlignment="1" applyProtection="1">
      <alignment horizontal="center"/>
    </xf>
    <xf numFmtId="165" fontId="7" fillId="0" borderId="4" xfId="0" applyNumberFormat="1" applyFont="1" applyBorder="1" applyAlignment="1" applyProtection="1">
      <alignment horizontal="center"/>
    </xf>
    <xf numFmtId="165" fontId="7" fillId="0" borderId="4" xfId="0" quotePrefix="1" applyNumberFormat="1" applyFont="1" applyBorder="1" applyAlignment="1" applyProtection="1">
      <alignment horizontal="center"/>
    </xf>
    <xf numFmtId="0" fontId="25" fillId="10" borderId="29" xfId="0" applyFont="1" applyFill="1" applyBorder="1" applyAlignment="1">
      <alignment horizontal="center" wrapText="1"/>
    </xf>
    <xf numFmtId="0" fontId="25" fillId="7" borderId="29" xfId="0" applyFont="1" applyFill="1" applyBorder="1" applyAlignment="1">
      <alignment horizontal="center" wrapText="1"/>
    </xf>
    <xf numFmtId="0" fontId="11" fillId="11" borderId="0" xfId="0" applyFont="1" applyFill="1" applyAlignment="1" applyProtection="1">
      <alignment horizontal="left" wrapText="1"/>
      <protection locked="0"/>
    </xf>
    <xf numFmtId="0" fontId="26" fillId="2" borderId="30" xfId="0" applyFont="1" applyFill="1" applyBorder="1" applyAlignment="1">
      <alignment wrapText="1"/>
    </xf>
    <xf numFmtId="0" fontId="11" fillId="5" borderId="30" xfId="0" applyFont="1" applyFill="1" applyBorder="1" applyAlignment="1">
      <alignment wrapText="1"/>
    </xf>
    <xf numFmtId="0" fontId="11" fillId="13" borderId="30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27" fillId="12" borderId="30" xfId="0" applyFont="1" applyFill="1" applyBorder="1" applyAlignment="1">
      <alignment horizontal="center" wrapText="1"/>
    </xf>
    <xf numFmtId="0" fontId="27" fillId="7" borderId="30" xfId="0" applyFont="1" applyFill="1" applyBorder="1" applyAlignment="1">
      <alignment horizontal="center" wrapText="1"/>
    </xf>
    <xf numFmtId="0" fontId="13" fillId="2" borderId="30" xfId="0" applyFont="1" applyFill="1" applyBorder="1" applyAlignment="1">
      <alignment wrapText="1"/>
    </xf>
    <xf numFmtId="0" fontId="13" fillId="5" borderId="30" xfId="0" applyFont="1" applyFill="1" applyBorder="1" applyAlignment="1">
      <alignment wrapText="1"/>
    </xf>
    <xf numFmtId="0" fontId="13" fillId="13" borderId="30" xfId="0" applyFont="1" applyFill="1" applyBorder="1" applyAlignment="1">
      <alignment wrapText="1"/>
    </xf>
    <xf numFmtId="0" fontId="28" fillId="12" borderId="30" xfId="0" applyFont="1" applyFill="1" applyBorder="1" applyAlignment="1">
      <alignment horizontal="center" wrapText="1"/>
    </xf>
    <xf numFmtId="0" fontId="28" fillId="7" borderId="30" xfId="0" applyFont="1" applyFill="1" applyBorder="1" applyAlignment="1">
      <alignment horizontal="center" wrapText="1"/>
    </xf>
    <xf numFmtId="0" fontId="29" fillId="2" borderId="30" xfId="0" applyFont="1" applyFill="1" applyBorder="1" applyAlignment="1">
      <alignment wrapText="1"/>
    </xf>
    <xf numFmtId="0" fontId="29" fillId="5" borderId="30" xfId="0" applyFont="1" applyFill="1" applyBorder="1" applyAlignment="1">
      <alignment wrapText="1"/>
    </xf>
    <xf numFmtId="0" fontId="29" fillId="13" borderId="30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27" fillId="12" borderId="30" xfId="0" applyFont="1" applyFill="1" applyBorder="1" applyAlignment="1">
      <alignment horizontal="left" wrapText="1"/>
    </xf>
    <xf numFmtId="0" fontId="13" fillId="2" borderId="30" xfId="0" quotePrefix="1" applyFont="1" applyFill="1" applyBorder="1" applyAlignment="1">
      <alignment wrapText="1"/>
    </xf>
    <xf numFmtId="0" fontId="13" fillId="2" borderId="29" xfId="0" applyFont="1" applyFill="1" applyBorder="1" applyAlignment="1">
      <alignment wrapText="1"/>
    </xf>
    <xf numFmtId="0" fontId="13" fillId="5" borderId="29" xfId="0" applyFont="1" applyFill="1" applyBorder="1" applyAlignment="1">
      <alignment wrapText="1"/>
    </xf>
    <xf numFmtId="167" fontId="13" fillId="2" borderId="30" xfId="1" applyNumberFormat="1" applyFont="1" applyFill="1" applyBorder="1" applyAlignment="1">
      <alignment wrapText="1"/>
    </xf>
    <xf numFmtId="167" fontId="13" fillId="5" borderId="30" xfId="1" applyNumberFormat="1" applyFont="1" applyFill="1" applyBorder="1" applyAlignment="1">
      <alignment wrapText="1"/>
    </xf>
    <xf numFmtId="167" fontId="13" fillId="13" borderId="30" xfId="1" applyNumberFormat="1" applyFont="1" applyFill="1" applyBorder="1" applyAlignment="1">
      <alignment wrapText="1"/>
    </xf>
    <xf numFmtId="167" fontId="13" fillId="0" borderId="0" xfId="1" applyNumberFormat="1" applyFont="1" applyAlignment="1">
      <alignment wrapText="1"/>
    </xf>
    <xf numFmtId="165" fontId="13" fillId="2" borderId="30" xfId="0" applyNumberFormat="1" applyFont="1" applyFill="1" applyBorder="1" applyAlignment="1">
      <alignment wrapText="1"/>
    </xf>
    <xf numFmtId="165" fontId="13" fillId="5" borderId="30" xfId="0" applyNumberFormat="1" applyFont="1" applyFill="1" applyBorder="1" applyAlignment="1">
      <alignment wrapText="1"/>
    </xf>
    <xf numFmtId="0" fontId="13" fillId="2" borderId="29" xfId="0" quotePrefix="1" applyFont="1" applyFill="1" applyBorder="1" applyAlignment="1">
      <alignment wrapText="1"/>
    </xf>
    <xf numFmtId="0" fontId="13" fillId="13" borderId="29" xfId="0" applyFont="1" applyFill="1" applyBorder="1" applyAlignment="1">
      <alignment wrapText="1"/>
    </xf>
    <xf numFmtId="0" fontId="1" fillId="0" borderId="6" xfId="0" applyFont="1" applyBorder="1"/>
    <xf numFmtId="0" fontId="2" fillId="0" borderId="6" xfId="0" applyFont="1" applyBorder="1" applyAlignment="1"/>
    <xf numFmtId="0" fontId="1" fillId="0" borderId="6" xfId="0" applyFont="1" applyBorder="1" applyAlignment="1">
      <alignment vertical="center"/>
    </xf>
    <xf numFmtId="0" fontId="5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wrapText="1"/>
    </xf>
    <xf numFmtId="14" fontId="0" fillId="0" borderId="0" xfId="0" applyNumberForma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4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 applyAlignment="1">
      <alignment horizontal="center"/>
    </xf>
    <xf numFmtId="168" fontId="0" fillId="0" borderId="0" xfId="0" applyNumberFormat="1" applyFill="1" applyBorder="1"/>
    <xf numFmtId="14" fontId="0" fillId="0" borderId="0" xfId="0" applyNumberFormat="1" applyBorder="1"/>
    <xf numFmtId="0" fontId="0" fillId="0" borderId="0" xfId="0" applyFont="1" applyFill="1" applyBorder="1" applyAlignment="1">
      <alignment horizontal="center"/>
    </xf>
    <xf numFmtId="14" fontId="1" fillId="0" borderId="0" xfId="0" applyNumberFormat="1" applyFont="1" applyFill="1" applyBorder="1"/>
    <xf numFmtId="0" fontId="0" fillId="0" borderId="0" xfId="0" quotePrefix="1" applyFill="1" applyAlignment="1">
      <alignment horizontal="center"/>
    </xf>
    <xf numFmtId="0" fontId="13" fillId="8" borderId="7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 applyProtection="1">
      <alignment horizontal="left" vertical="center"/>
    </xf>
    <xf numFmtId="0" fontId="30" fillId="0" borderId="0" xfId="0" applyFont="1" applyAlignment="1" applyProtection="1">
      <alignment horizontal="left"/>
    </xf>
    <xf numFmtId="0" fontId="19" fillId="0" borderId="0" xfId="0" applyFont="1" applyProtection="1"/>
    <xf numFmtId="0" fontId="19" fillId="0" borderId="0" xfId="0" applyFont="1" applyFill="1" applyProtection="1"/>
    <xf numFmtId="0" fontId="31" fillId="0" borderId="0" xfId="0" applyFont="1" applyFill="1" applyAlignment="1" applyProtection="1">
      <alignment horizontal="right"/>
    </xf>
    <xf numFmtId="3" fontId="32" fillId="0" borderId="11" xfId="0" applyNumberFormat="1" applyFont="1" applyBorder="1" applyAlignment="1" applyProtection="1">
      <alignment horizontal="left"/>
    </xf>
    <xf numFmtId="3" fontId="32" fillId="0" borderId="0" xfId="0" applyNumberFormat="1" applyFont="1" applyProtection="1"/>
    <xf numFmtId="0" fontId="0" fillId="0" borderId="11" xfId="0" applyBorder="1" applyAlignment="1">
      <alignment horizontal="center"/>
    </xf>
    <xf numFmtId="0" fontId="19" fillId="9" borderId="24" xfId="0" applyFont="1" applyFill="1" applyBorder="1" applyAlignment="1">
      <alignment horizontal="center" wrapText="1"/>
    </xf>
    <xf numFmtId="3" fontId="2" fillId="0" borderId="22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23" fillId="9" borderId="0" xfId="0" applyFont="1" applyFill="1" applyAlignment="1">
      <alignment horizontal="center"/>
    </xf>
    <xf numFmtId="0" fontId="13" fillId="0" borderId="23" xfId="0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9" fillId="9" borderId="0" xfId="0" applyFont="1" applyFill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69" fontId="19" fillId="9" borderId="23" xfId="0" applyNumberFormat="1" applyFont="1" applyFill="1" applyBorder="1" applyAlignment="1">
      <alignment horizontal="center" wrapText="1"/>
    </xf>
    <xf numFmtId="0" fontId="0" fillId="9" borderId="0" xfId="0" applyFill="1"/>
    <xf numFmtId="4" fontId="0" fillId="0" borderId="5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0" xfId="0" applyFont="1" applyFill="1" applyBorder="1" applyAlignment="1">
      <alignment wrapText="1"/>
    </xf>
    <xf numFmtId="165" fontId="0" fillId="0" borderId="0" xfId="0" applyNumberFormat="1" applyFill="1" applyBorder="1" applyAlignment="1">
      <alignment horizontal="center" vertical="center"/>
    </xf>
    <xf numFmtId="165" fontId="1" fillId="0" borderId="20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13" fillId="5" borderId="2" xfId="0" applyNumberFormat="1" applyFont="1" applyFill="1" applyBorder="1" applyAlignment="1" applyProtection="1">
      <alignment horizontal="center" wrapText="1"/>
      <protection locked="0"/>
    </xf>
    <xf numFmtId="3" fontId="15" fillId="5" borderId="2" xfId="0" applyNumberFormat="1" applyFont="1" applyFill="1" applyBorder="1" applyAlignment="1" applyProtection="1">
      <alignment horizontal="center" wrapText="1"/>
      <protection locked="0"/>
    </xf>
    <xf numFmtId="3" fontId="15" fillId="5" borderId="18" xfId="0" applyNumberFormat="1" applyFont="1" applyFill="1" applyBorder="1" applyAlignment="1" applyProtection="1">
      <alignment horizontal="center" wrapText="1"/>
      <protection locked="0"/>
    </xf>
    <xf numFmtId="170" fontId="0" fillId="0" borderId="0" xfId="0" applyNumberFormat="1" applyFill="1" applyProtection="1"/>
    <xf numFmtId="0" fontId="1" fillId="0" borderId="22" xfId="0" applyFont="1" applyBorder="1" applyAlignment="1">
      <alignment horizontal="left"/>
    </xf>
    <xf numFmtId="0" fontId="13" fillId="0" borderId="0" xfId="0" applyFont="1" applyProtection="1"/>
    <xf numFmtId="3" fontId="13" fillId="0" borderId="0" xfId="0" applyNumberFormat="1" applyFont="1" applyProtection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center"/>
    </xf>
    <xf numFmtId="3" fontId="13" fillId="0" borderId="0" xfId="0" applyNumberFormat="1" applyFont="1" applyAlignment="1" applyProtection="1">
      <alignment horizontal="center"/>
    </xf>
    <xf numFmtId="3" fontId="13" fillId="0" borderId="0" xfId="0" applyNumberFormat="1" applyFont="1" applyFill="1" applyAlignment="1" applyProtection="1">
      <alignment horizontal="center"/>
    </xf>
    <xf numFmtId="0" fontId="13" fillId="0" borderId="0" xfId="0" applyFont="1" applyAlignment="1" applyProtection="1">
      <alignment horizontal="right"/>
    </xf>
    <xf numFmtId="14" fontId="13" fillId="0" borderId="0" xfId="0" applyNumberFormat="1" applyFont="1" applyAlignment="1" applyProtection="1">
      <alignment horizontal="right"/>
    </xf>
    <xf numFmtId="0" fontId="13" fillId="0" borderId="0" xfId="0" applyFont="1" applyFill="1" applyProtection="1"/>
    <xf numFmtId="1" fontId="19" fillId="9" borderId="14" xfId="0" applyNumberFormat="1" applyFont="1" applyFill="1" applyBorder="1" applyAlignment="1">
      <alignment horizontal="left"/>
    </xf>
    <xf numFmtId="0" fontId="1" fillId="0" borderId="24" xfId="0" applyFont="1" applyBorder="1" applyAlignment="1">
      <alignment horizontal="left"/>
    </xf>
    <xf numFmtId="2" fontId="13" fillId="4" borderId="2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3" fontId="0" fillId="0" borderId="23" xfId="0" applyNumberForma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8" fillId="0" borderId="3" xfId="0" applyFont="1" applyBorder="1" applyAlignment="1" applyProtection="1">
      <alignment horizontal="left"/>
    </xf>
    <xf numFmtId="3" fontId="8" fillId="6" borderId="4" xfId="0" applyNumberFormat="1" applyFont="1" applyFill="1" applyBorder="1" applyAlignment="1" applyProtection="1">
      <alignment horizontal="center" wrapText="1"/>
    </xf>
    <xf numFmtId="3" fontId="8" fillId="6" borderId="23" xfId="0" applyNumberFormat="1" applyFont="1" applyFill="1" applyBorder="1" applyAlignment="1" applyProtection="1">
      <alignment horizontal="center" wrapText="1"/>
    </xf>
    <xf numFmtId="3" fontId="7" fillId="0" borderId="12" xfId="0" applyNumberFormat="1" applyFont="1" applyBorder="1" applyAlignment="1" applyProtection="1">
      <alignment horizontal="center" wrapText="1"/>
    </xf>
    <xf numFmtId="3" fontId="7" fillId="0" borderId="14" xfId="0" applyNumberFormat="1" applyFont="1" applyBorder="1" applyAlignment="1" applyProtection="1">
      <alignment horizontal="center" wrapText="1"/>
    </xf>
    <xf numFmtId="165" fontId="7" fillId="0" borderId="12" xfId="0" applyNumberFormat="1" applyFont="1" applyBorder="1" applyAlignment="1" applyProtection="1">
      <alignment horizontal="center" wrapText="1"/>
    </xf>
    <xf numFmtId="165" fontId="7" fillId="0" borderId="14" xfId="0" applyNumberFormat="1" applyFont="1" applyBorder="1" applyAlignment="1" applyProtection="1">
      <alignment horizontal="center" wrapText="1"/>
    </xf>
    <xf numFmtId="165" fontId="7" fillId="0" borderId="3" xfId="0" applyNumberFormat="1" applyFont="1" applyBorder="1" applyAlignment="1" applyProtection="1">
      <alignment horizontal="center" wrapText="1"/>
    </xf>
    <xf numFmtId="0" fontId="5" fillId="5" borderId="16" xfId="0" applyNumberFormat="1" applyFont="1" applyFill="1" applyBorder="1" applyAlignment="1" applyProtection="1">
      <alignment horizontal="left"/>
      <protection locked="0"/>
    </xf>
    <xf numFmtId="0" fontId="23" fillId="9" borderId="11" xfId="0" applyFont="1" applyFill="1" applyBorder="1" applyAlignment="1">
      <alignment horizontal="center"/>
    </xf>
    <xf numFmtId="0" fontId="23" fillId="9" borderId="8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20" fillId="9" borderId="20" xfId="0" applyFont="1" applyFill="1" applyBorder="1" applyAlignment="1">
      <alignment horizontal="center"/>
    </xf>
    <xf numFmtId="0" fontId="20" fillId="9" borderId="0" xfId="0" applyFont="1" applyFill="1" applyBorder="1" applyAlignment="1">
      <alignment horizontal="center"/>
    </xf>
    <xf numFmtId="0" fontId="23" fillId="9" borderId="11" xfId="0" applyFont="1" applyFill="1" applyBorder="1" applyAlignment="1">
      <alignment horizontal="center" wrapText="1"/>
    </xf>
    <xf numFmtId="0" fontId="23" fillId="9" borderId="8" xfId="0" applyFont="1" applyFill="1" applyBorder="1" applyAlignment="1">
      <alignment horizontal="center" wrapText="1"/>
    </xf>
    <xf numFmtId="0" fontId="19" fillId="9" borderId="23" xfId="0" applyFont="1" applyFill="1" applyBorder="1" applyAlignment="1">
      <alignment horizontal="center" wrapText="1"/>
    </xf>
    <xf numFmtId="0" fontId="19" fillId="9" borderId="24" xfId="0" applyFont="1" applyFill="1" applyBorder="1" applyAlignment="1">
      <alignment horizontal="center" wrapText="1"/>
    </xf>
  </cellXfs>
  <cellStyles count="106">
    <cellStyle name="20 % - Akzent1 2" xfId="2" xr:uid="{00000000-0005-0000-0000-000000000000}"/>
    <cellStyle name="20 % - Akzent2 2" xfId="3" xr:uid="{00000000-0005-0000-0000-000001000000}"/>
    <cellStyle name="20 % - Akzent3 2" xfId="4" xr:uid="{00000000-0005-0000-0000-000002000000}"/>
    <cellStyle name="20 % - Akzent4 2" xfId="5" xr:uid="{00000000-0005-0000-0000-000003000000}"/>
    <cellStyle name="20 % - Akzent5 2" xfId="6" xr:uid="{00000000-0005-0000-0000-000004000000}"/>
    <cellStyle name="20 % - Akzent6 2" xfId="7" xr:uid="{00000000-0005-0000-0000-000005000000}"/>
    <cellStyle name="20 % - Accent1" xfId="8" xr:uid="{00000000-0005-0000-0000-000006000000}"/>
    <cellStyle name="20 % - Accent2" xfId="9" xr:uid="{00000000-0005-0000-0000-000007000000}"/>
    <cellStyle name="20 % - Accent3" xfId="10" xr:uid="{00000000-0005-0000-0000-000008000000}"/>
    <cellStyle name="20 % - Accent4" xfId="11" xr:uid="{00000000-0005-0000-0000-000009000000}"/>
    <cellStyle name="20 % - Accent5" xfId="12" xr:uid="{00000000-0005-0000-0000-00000A000000}"/>
    <cellStyle name="20 % - Accent6" xfId="13" xr:uid="{00000000-0005-0000-0000-00000B000000}"/>
    <cellStyle name="20% - Accent1" xfId="14" xr:uid="{00000000-0005-0000-0000-00000C000000}"/>
    <cellStyle name="20% - Accent2" xfId="15" xr:uid="{00000000-0005-0000-0000-00000D000000}"/>
    <cellStyle name="20% - Accent3" xfId="16" xr:uid="{00000000-0005-0000-0000-00000E000000}"/>
    <cellStyle name="20% - Accent4" xfId="17" xr:uid="{00000000-0005-0000-0000-00000F000000}"/>
    <cellStyle name="20% - Accent5" xfId="18" xr:uid="{00000000-0005-0000-0000-000010000000}"/>
    <cellStyle name="20% - Accent6" xfId="19" xr:uid="{00000000-0005-0000-0000-000011000000}"/>
    <cellStyle name="40 % - Akzent1 2" xfId="20" xr:uid="{00000000-0005-0000-0000-000012000000}"/>
    <cellStyle name="40 % - Akzent2 2" xfId="21" xr:uid="{00000000-0005-0000-0000-000013000000}"/>
    <cellStyle name="40 % - Akzent3 2" xfId="22" xr:uid="{00000000-0005-0000-0000-000014000000}"/>
    <cellStyle name="40 % - Akzent4 2" xfId="23" xr:uid="{00000000-0005-0000-0000-000015000000}"/>
    <cellStyle name="40 % - Akzent5 2" xfId="24" xr:uid="{00000000-0005-0000-0000-000016000000}"/>
    <cellStyle name="40 % - Akzent6 2" xfId="25" xr:uid="{00000000-0005-0000-0000-000017000000}"/>
    <cellStyle name="40 % - Accent1" xfId="26" xr:uid="{00000000-0005-0000-0000-000018000000}"/>
    <cellStyle name="40 % - Accent2" xfId="27" xr:uid="{00000000-0005-0000-0000-000019000000}"/>
    <cellStyle name="40 % - Accent3" xfId="28" xr:uid="{00000000-0005-0000-0000-00001A000000}"/>
    <cellStyle name="40 % - Accent4" xfId="29" xr:uid="{00000000-0005-0000-0000-00001B000000}"/>
    <cellStyle name="40 % - Accent5" xfId="30" xr:uid="{00000000-0005-0000-0000-00001C000000}"/>
    <cellStyle name="40 % - Accent6" xfId="31" xr:uid="{00000000-0005-0000-0000-00001D000000}"/>
    <cellStyle name="40% - Accent1" xfId="32" xr:uid="{00000000-0005-0000-0000-00001E000000}"/>
    <cellStyle name="40% - Accent2" xfId="33" xr:uid="{00000000-0005-0000-0000-00001F000000}"/>
    <cellStyle name="40% - Accent3" xfId="34" xr:uid="{00000000-0005-0000-0000-000020000000}"/>
    <cellStyle name="40% - Accent4" xfId="35" xr:uid="{00000000-0005-0000-0000-000021000000}"/>
    <cellStyle name="40% - Accent5" xfId="36" xr:uid="{00000000-0005-0000-0000-000022000000}"/>
    <cellStyle name="40% - Accent6" xfId="37" xr:uid="{00000000-0005-0000-0000-000023000000}"/>
    <cellStyle name="60 % - Akzent1 2" xfId="38" xr:uid="{00000000-0005-0000-0000-000024000000}"/>
    <cellStyle name="60 % - Akzent2 2" xfId="39" xr:uid="{00000000-0005-0000-0000-000025000000}"/>
    <cellStyle name="60 % - Akzent3 2" xfId="40" xr:uid="{00000000-0005-0000-0000-000026000000}"/>
    <cellStyle name="60 % - Akzent4 2" xfId="41" xr:uid="{00000000-0005-0000-0000-000027000000}"/>
    <cellStyle name="60 % - Akzent5 2" xfId="42" xr:uid="{00000000-0005-0000-0000-000028000000}"/>
    <cellStyle name="60 % - Akzent6 2" xfId="43" xr:uid="{00000000-0005-0000-0000-000029000000}"/>
    <cellStyle name="60 % - Accent1" xfId="44" xr:uid="{00000000-0005-0000-0000-00002A000000}"/>
    <cellStyle name="60 % - Accent2" xfId="45" xr:uid="{00000000-0005-0000-0000-00002B000000}"/>
    <cellStyle name="60 % - Accent3" xfId="46" xr:uid="{00000000-0005-0000-0000-00002C000000}"/>
    <cellStyle name="60 % - Accent4" xfId="47" xr:uid="{00000000-0005-0000-0000-00002D000000}"/>
    <cellStyle name="60 % - Accent5" xfId="48" xr:uid="{00000000-0005-0000-0000-00002E000000}"/>
    <cellStyle name="60 % - Accent6" xfId="49" xr:uid="{00000000-0005-0000-0000-00002F000000}"/>
    <cellStyle name="60% - Accent1" xfId="50" xr:uid="{00000000-0005-0000-0000-000030000000}"/>
    <cellStyle name="60% - Accent2" xfId="51" xr:uid="{00000000-0005-0000-0000-000031000000}"/>
    <cellStyle name="60% - Accent3" xfId="52" xr:uid="{00000000-0005-0000-0000-000032000000}"/>
    <cellStyle name="60% - Accent4" xfId="53" xr:uid="{00000000-0005-0000-0000-000033000000}"/>
    <cellStyle name="60% - Accent5" xfId="54" xr:uid="{00000000-0005-0000-0000-000034000000}"/>
    <cellStyle name="60% - Accent6" xfId="55" xr:uid="{00000000-0005-0000-0000-000035000000}"/>
    <cellStyle name="Accent1" xfId="56" xr:uid="{00000000-0005-0000-0000-000036000000}"/>
    <cellStyle name="Accent2" xfId="57" xr:uid="{00000000-0005-0000-0000-000037000000}"/>
    <cellStyle name="Accent3" xfId="58" xr:uid="{00000000-0005-0000-0000-000038000000}"/>
    <cellStyle name="Accent4" xfId="59" xr:uid="{00000000-0005-0000-0000-000039000000}"/>
    <cellStyle name="Accent5" xfId="60" xr:uid="{00000000-0005-0000-0000-00003A000000}"/>
    <cellStyle name="Accent6" xfId="61" xr:uid="{00000000-0005-0000-0000-00003B000000}"/>
    <cellStyle name="Avertissement" xfId="62" xr:uid="{00000000-0005-0000-0000-00003C000000}"/>
    <cellStyle name="Bad" xfId="63" xr:uid="{00000000-0005-0000-0000-00003D000000}"/>
    <cellStyle name="Calcul" xfId="64" xr:uid="{00000000-0005-0000-0000-00003E000000}"/>
    <cellStyle name="Calculation" xfId="65" xr:uid="{00000000-0005-0000-0000-00003F000000}"/>
    <cellStyle name="Cellule liée" xfId="66" xr:uid="{00000000-0005-0000-0000-000040000000}"/>
    <cellStyle name="Check Cell" xfId="67" xr:uid="{00000000-0005-0000-0000-000041000000}"/>
    <cellStyle name="Commentaire" xfId="68" xr:uid="{00000000-0005-0000-0000-000042000000}"/>
    <cellStyle name="Currency 2" xfId="69" xr:uid="{00000000-0005-0000-0000-000043000000}"/>
    <cellStyle name="Currency 3" xfId="70" xr:uid="{00000000-0005-0000-0000-000044000000}"/>
    <cellStyle name="Currency 4" xfId="71" xr:uid="{00000000-0005-0000-0000-000045000000}"/>
    <cellStyle name="Currency 5" xfId="72" xr:uid="{00000000-0005-0000-0000-000046000000}"/>
    <cellStyle name="Currency 6" xfId="73" xr:uid="{00000000-0005-0000-0000-000047000000}"/>
    <cellStyle name="Entrée" xfId="75" xr:uid="{00000000-0005-0000-0000-000048000000}"/>
    <cellStyle name="Explanatory Text" xfId="76" xr:uid="{00000000-0005-0000-0000-000049000000}"/>
    <cellStyle name="Good" xfId="77" xr:uid="{00000000-0005-0000-0000-00004A000000}"/>
    <cellStyle name="Heading 1" xfId="78" xr:uid="{00000000-0005-0000-0000-00004B000000}"/>
    <cellStyle name="Heading 2" xfId="79" xr:uid="{00000000-0005-0000-0000-00004C000000}"/>
    <cellStyle name="Heading 3" xfId="80" xr:uid="{00000000-0005-0000-0000-00004D000000}"/>
    <cellStyle name="Heading 4" xfId="81" xr:uid="{00000000-0005-0000-0000-00004E000000}"/>
    <cellStyle name="Input" xfId="82" xr:uid="{00000000-0005-0000-0000-00004F000000}"/>
    <cellStyle name="Insatisfaisant" xfId="83" xr:uid="{00000000-0005-0000-0000-000050000000}"/>
    <cellStyle name="Komma" xfId="1" builtinId="3"/>
    <cellStyle name="Komma 2" xfId="74" xr:uid="{00000000-0005-0000-0000-000052000000}"/>
    <cellStyle name="Linked Cell" xfId="84" xr:uid="{00000000-0005-0000-0000-000053000000}"/>
    <cellStyle name="Neutral 2" xfId="85" xr:uid="{00000000-0005-0000-0000-000054000000}"/>
    <cellStyle name="Neutre" xfId="86" xr:uid="{00000000-0005-0000-0000-000055000000}"/>
    <cellStyle name="Normal 2" xfId="87" xr:uid="{00000000-0005-0000-0000-000056000000}"/>
    <cellStyle name="Normal 3" xfId="88" xr:uid="{00000000-0005-0000-0000-000057000000}"/>
    <cellStyle name="Normal 4" xfId="89" xr:uid="{00000000-0005-0000-0000-000058000000}"/>
    <cellStyle name="Normal 5" xfId="90" xr:uid="{00000000-0005-0000-0000-000059000000}"/>
    <cellStyle name="Normal 6" xfId="91" xr:uid="{00000000-0005-0000-0000-00005A000000}"/>
    <cellStyle name="Note" xfId="92" xr:uid="{00000000-0005-0000-0000-00005B000000}"/>
    <cellStyle name="Output" xfId="93" xr:uid="{00000000-0005-0000-0000-00005C000000}"/>
    <cellStyle name="Satisfaisant" xfId="94" xr:uid="{00000000-0005-0000-0000-00005D000000}"/>
    <cellStyle name="Sortie" xfId="95" xr:uid="{00000000-0005-0000-0000-00005E000000}"/>
    <cellStyle name="Standard" xfId="0" builtinId="0"/>
    <cellStyle name="Texte explicatif" xfId="96" xr:uid="{00000000-0005-0000-0000-000060000000}"/>
    <cellStyle name="Title" xfId="97" xr:uid="{00000000-0005-0000-0000-000061000000}"/>
    <cellStyle name="Titre" xfId="98" xr:uid="{00000000-0005-0000-0000-000062000000}"/>
    <cellStyle name="Titre 1" xfId="99" xr:uid="{00000000-0005-0000-0000-000063000000}"/>
    <cellStyle name="Titre 2" xfId="100" xr:uid="{00000000-0005-0000-0000-000064000000}"/>
    <cellStyle name="Titre 3" xfId="101" xr:uid="{00000000-0005-0000-0000-000065000000}"/>
    <cellStyle name="Titre 4" xfId="102" xr:uid="{00000000-0005-0000-0000-000066000000}"/>
    <cellStyle name="Total" xfId="103" xr:uid="{00000000-0005-0000-0000-000067000000}"/>
    <cellStyle name="Vérification" xfId="104" xr:uid="{00000000-0005-0000-0000-000068000000}"/>
    <cellStyle name="Warning Text" xfId="105" xr:uid="{00000000-0005-0000-0000-000069000000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FFFF99"/>
      <color rgb="FFEEFFDD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777777777777779E-3"/>
          <c:y val="0"/>
          <c:w val="0.99722222222222223"/>
          <c:h val="1"/>
        </c:manualLayout>
      </c:layout>
      <c:barChart>
        <c:barDir val="col"/>
        <c:grouping val="percentStacked"/>
        <c:varyColors val="0"/>
        <c:ser>
          <c:idx val="1"/>
          <c:order val="1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9A-4A2C-BA9C-00FD973D39FC}"/>
              </c:ext>
            </c:extLst>
          </c:dPt>
          <c:val>
            <c:numRef>
              <c:f>Lüftung!$U$9:$U$9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9A-4A2C-BA9C-00FD973D39FC}"/>
            </c:ext>
          </c:extLst>
        </c:ser>
        <c:ser>
          <c:idx val="0"/>
          <c:order val="0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val>
            <c:numRef>
              <c:f>Lüftung!$U$8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9A-4A2C-BA9C-00FD973D3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1738152"/>
        <c:axId val="401769256"/>
      </c:barChart>
      <c:catAx>
        <c:axId val="401738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1769256"/>
        <c:crosses val="autoZero"/>
        <c:auto val="1"/>
        <c:lblAlgn val="ctr"/>
        <c:lblOffset val="100"/>
        <c:noMultiLvlLbl val="0"/>
      </c:catAx>
      <c:valAx>
        <c:axId val="40176925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01738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</xdr:colOff>
      <xdr:row>0</xdr:row>
      <xdr:rowOff>213360</xdr:rowOff>
    </xdr:from>
    <xdr:to>
      <xdr:col>3</xdr:col>
      <xdr:colOff>1714500</xdr:colOff>
      <xdr:row>1</xdr:row>
      <xdr:rowOff>464820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thur\Desktop\EN_101b_opw_15Jan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n"/>
      <sheetName val="MINERGIE"/>
      <sheetName val="Sommer"/>
      <sheetName val="Nachweis"/>
      <sheetName val="Uebersicht"/>
      <sheetName val="Standardwerte"/>
      <sheetName val="Uebersetzung"/>
      <sheetName val="MOP"/>
      <sheetName val="PVopti"/>
      <sheetName val="Log"/>
    </sheetNames>
    <sheetDataSet>
      <sheetData sheetId="0">
        <row r="3">
          <cell r="B3">
            <v>1</v>
          </cell>
        </row>
      </sheetData>
      <sheetData sheetId="1"/>
      <sheetData sheetId="2"/>
      <sheetData sheetId="3"/>
      <sheetData sheetId="4"/>
      <sheetData sheetId="5">
        <row r="47">
          <cell r="Y47" t="str">
            <v>behördlicher Nachweis</v>
          </cell>
        </row>
        <row r="48">
          <cell r="Y48" t="str">
            <v>MINERGIE</v>
          </cell>
        </row>
        <row r="49">
          <cell r="Y49" t="str">
            <v>MINERGIE-P</v>
          </cell>
        </row>
        <row r="50">
          <cell r="Y50" t="str">
            <v>MINERGIE-A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Y55"/>
  <sheetViews>
    <sheetView tabSelected="1" zoomScale="90" zoomScaleNormal="90" workbookViewId="0">
      <selection activeCell="T18" sqref="T18"/>
    </sheetView>
  </sheetViews>
  <sheetFormatPr baseColWidth="10" defaultColWidth="11.42578125" defaultRowHeight="12.75" x14ac:dyDescent="0.2"/>
  <cols>
    <col min="1" max="1" width="2.5703125" style="1" customWidth="1"/>
    <col min="2" max="2" width="15.7109375" style="2" customWidth="1"/>
    <col min="3" max="3" width="6.7109375" style="2" customWidth="1"/>
    <col min="4" max="4" width="27.7109375" style="1" customWidth="1"/>
    <col min="5" max="5" width="9.7109375" style="5" customWidth="1"/>
    <col min="6" max="6" width="28.7109375" style="4" customWidth="1"/>
    <col min="7" max="7" width="8.7109375" style="4" customWidth="1"/>
    <col min="8" max="8" width="8.85546875" style="4" customWidth="1"/>
    <col min="9" max="9" width="4.7109375" style="4" customWidth="1"/>
    <col min="10" max="10" width="8.7109375" style="4" customWidth="1"/>
    <col min="11" max="11" width="8.85546875" style="4" customWidth="1"/>
    <col min="12" max="12" width="28.7109375" style="4" customWidth="1"/>
    <col min="13" max="13" width="8.7109375" style="4" customWidth="1"/>
    <col min="14" max="14" width="8.85546875" style="4" customWidth="1"/>
    <col min="15" max="15" width="28.7109375" style="4" customWidth="1"/>
    <col min="16" max="16" width="8.7109375" style="1" customWidth="1"/>
    <col min="17" max="17" width="8.85546875" style="1" customWidth="1"/>
    <col min="18" max="18" width="10.7109375" style="4" customWidth="1"/>
    <col min="19" max="19" width="10.42578125" style="4" customWidth="1"/>
    <col min="20" max="20" width="2.28515625" style="11" customWidth="1"/>
    <col min="21" max="21" width="11.5703125" customWidth="1"/>
    <col min="22" max="16384" width="11.42578125" style="1"/>
  </cols>
  <sheetData>
    <row r="1" spans="1:25" s="21" customFormat="1" ht="25.15" customHeight="1" x14ac:dyDescent="0.2">
      <c r="C1" s="208"/>
      <c r="E1" s="22"/>
      <c r="G1" s="18"/>
      <c r="H1" s="18"/>
      <c r="I1" s="18"/>
      <c r="J1" s="18"/>
      <c r="K1" s="18"/>
      <c r="L1" s="18"/>
      <c r="M1" s="18"/>
      <c r="N1" s="18"/>
      <c r="O1" s="18"/>
      <c r="R1" s="18"/>
      <c r="S1" s="39"/>
      <c r="T1" s="209"/>
    </row>
    <row r="2" spans="1:25" s="21" customFormat="1" ht="40.15" customHeight="1" x14ac:dyDescent="0.4">
      <c r="C2" s="208"/>
      <c r="E2" s="303" t="str">
        <f>Uebersetzung!D6</f>
        <v>Calcolo del fabbisogno per la ventilazione (EN-101d)</v>
      </c>
      <c r="G2" s="18"/>
      <c r="H2" s="18"/>
      <c r="I2" s="18"/>
      <c r="J2" s="18"/>
      <c r="K2" s="18"/>
      <c r="L2" s="18"/>
      <c r="M2" s="18"/>
      <c r="N2" s="18"/>
      <c r="O2" s="18"/>
      <c r="R2" s="18"/>
      <c r="S2" s="39"/>
      <c r="T2" s="209"/>
    </row>
    <row r="3" spans="1:25" s="21" customFormat="1" ht="15" customHeight="1" x14ac:dyDescent="0.25">
      <c r="B3" s="20"/>
      <c r="C3" s="20"/>
      <c r="E3" s="22"/>
      <c r="F3" s="18"/>
      <c r="G3" s="18"/>
      <c r="H3" s="18"/>
      <c r="I3" s="18"/>
      <c r="J3" s="18"/>
      <c r="K3" s="18"/>
      <c r="L3" s="18"/>
      <c r="M3" s="18"/>
      <c r="N3" s="18"/>
      <c r="O3" s="18"/>
      <c r="R3" s="18"/>
      <c r="S3" s="306" t="str">
        <f>Uebersetzung!D29</f>
        <v>Le celle con sfondo verde e giallo scurosono obbligatorie, sfondo giallo chiaro facoltative</v>
      </c>
      <c r="T3" s="209"/>
      <c r="U3" s="231"/>
    </row>
    <row r="4" spans="1:25" ht="27" customHeight="1" x14ac:dyDescent="0.25">
      <c r="B4" s="224" t="str">
        <f>Uebersetzung!D28</f>
        <v>Progetto:</v>
      </c>
      <c r="C4" s="225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12"/>
      <c r="U4" s="8"/>
      <c r="V4" s="9"/>
      <c r="W4" s="9"/>
      <c r="X4" s="9"/>
      <c r="Y4" s="9"/>
    </row>
    <row r="5" spans="1:25" s="21" customFormat="1" ht="20.25" customHeight="1" x14ac:dyDescent="0.25">
      <c r="B5" s="24"/>
      <c r="C5" s="24"/>
      <c r="D5" s="23"/>
      <c r="E5" s="7"/>
      <c r="F5" s="7"/>
      <c r="G5" s="7"/>
      <c r="H5" s="7"/>
      <c r="I5" s="7"/>
      <c r="J5" s="7"/>
      <c r="K5" s="7"/>
      <c r="L5" s="7"/>
      <c r="M5" s="14"/>
      <c r="N5" s="14"/>
      <c r="O5" s="14"/>
      <c r="P5" s="7"/>
      <c r="Q5" s="226"/>
      <c r="R5" s="226"/>
      <c r="S5" s="226"/>
      <c r="T5" s="7"/>
      <c r="U5" s="226"/>
      <c r="V5" s="226"/>
      <c r="W5" s="226"/>
      <c r="X5" s="226"/>
      <c r="Y5" s="226"/>
    </row>
    <row r="6" spans="1:25" s="21" customFormat="1" ht="20.100000000000001" customHeight="1" x14ac:dyDescent="0.2">
      <c r="B6" s="307" t="str">
        <f>Uebersetzung!D30</f>
        <v>Riportare nel formulario EN101b o nel formulario Minergie.</v>
      </c>
      <c r="C6" s="47"/>
      <c r="D6" s="31"/>
      <c r="E6" s="32"/>
      <c r="F6" s="26"/>
      <c r="G6" s="26"/>
      <c r="H6" s="26"/>
      <c r="I6" s="26"/>
      <c r="J6" s="26"/>
      <c r="K6" s="26"/>
      <c r="L6" s="26"/>
      <c r="M6" s="33"/>
      <c r="N6" s="42"/>
      <c r="O6" s="42"/>
      <c r="P6" s="17"/>
      <c r="Q6" s="226"/>
      <c r="R6" s="338"/>
      <c r="S6" s="226"/>
      <c r="T6" s="226"/>
      <c r="U6" s="226"/>
      <c r="V6" s="226"/>
      <c r="W6" s="226"/>
      <c r="X6" s="226"/>
    </row>
    <row r="7" spans="1:25" s="21" customFormat="1" ht="6" customHeight="1" thickBot="1" x14ac:dyDescent="0.25">
      <c r="B7" s="27"/>
      <c r="C7" s="48"/>
      <c r="D7" s="28"/>
      <c r="E7" s="29"/>
      <c r="F7" s="30"/>
      <c r="G7" s="43"/>
      <c r="H7" s="43"/>
      <c r="I7" s="43"/>
      <c r="J7" s="43"/>
      <c r="K7" s="43"/>
      <c r="L7" s="43"/>
      <c r="M7" s="34"/>
      <c r="N7" s="42"/>
      <c r="O7" s="42"/>
      <c r="P7" s="18"/>
      <c r="Q7" s="226"/>
      <c r="R7" s="226"/>
      <c r="S7" s="226"/>
      <c r="W7" s="226"/>
      <c r="X7" s="226"/>
    </row>
    <row r="8" spans="1:25" s="21" customFormat="1" ht="24" customHeight="1" thickBot="1" x14ac:dyDescent="0.3">
      <c r="B8" s="61" t="str">
        <f>Uebersetzung!D31</f>
        <v>Portata d'aria esterna term. det.</v>
      </c>
      <c r="C8" s="49"/>
      <c r="D8" s="15"/>
      <c r="E8" s="16"/>
      <c r="F8" s="25"/>
      <c r="G8" s="355" t="str">
        <f>Uebersetzung!D168</f>
        <v>da riportare nella casella E40 del formulario Minergie</v>
      </c>
      <c r="H8" s="25"/>
      <c r="I8" s="25"/>
      <c r="J8" s="25"/>
      <c r="K8" s="25"/>
      <c r="L8" s="37"/>
      <c r="M8" s="51">
        <f>R13</f>
        <v>0</v>
      </c>
      <c r="N8" s="308" t="s">
        <v>1</v>
      </c>
      <c r="O8" s="308" t="str">
        <f>Uebersetzung!D33</f>
        <v>(media annua, senza infiltrazioni)</v>
      </c>
      <c r="Q8" s="226"/>
      <c r="R8" s="226"/>
      <c r="S8" s="226"/>
      <c r="U8" s="304">
        <f>IF(MUKEN,1,0)</f>
        <v>0</v>
      </c>
      <c r="W8" s="226"/>
      <c r="X8" s="226"/>
    </row>
    <row r="9" spans="1:25" s="21" customFormat="1" ht="24" customHeight="1" thickBot="1" x14ac:dyDescent="0.3">
      <c r="B9" s="62" t="str">
        <f>Uebersetzung!D32</f>
        <v>Fabbisogno di corrente per la ventilazione</v>
      </c>
      <c r="C9" s="50"/>
      <c r="D9" s="35"/>
      <c r="E9" s="36"/>
      <c r="F9" s="25"/>
      <c r="G9" s="355" t="str">
        <f>Uebersetzung!D169</f>
        <v>da riportare nella casella E41 del formulario Minergie</v>
      </c>
      <c r="H9" s="25"/>
      <c r="I9" s="25"/>
      <c r="J9" s="25"/>
      <c r="K9" s="25"/>
      <c r="L9" s="37"/>
      <c r="M9" s="51">
        <f>S13</f>
        <v>0</v>
      </c>
      <c r="N9" s="308" t="s">
        <v>0</v>
      </c>
      <c r="O9" s="308" t="str">
        <f>Uebersetzung!D34</f>
        <v xml:space="preserve">Ventilatori (+ pompe RC con circuito idraulico)
</v>
      </c>
      <c r="Q9" s="226"/>
      <c r="R9" s="226"/>
      <c r="S9" s="226"/>
      <c r="T9" s="226"/>
      <c r="U9" s="305">
        <f>IF(U8=1,0,1)</f>
        <v>1</v>
      </c>
      <c r="V9" s="226"/>
      <c r="W9" s="226"/>
      <c r="X9" s="226"/>
    </row>
    <row r="10" spans="1:25" s="21" customFormat="1" ht="8.25" customHeight="1" x14ac:dyDescent="0.25">
      <c r="B10" s="227"/>
      <c r="C10" s="227"/>
      <c r="D10" s="22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7"/>
      <c r="T10" s="7"/>
      <c r="U10" s="226"/>
      <c r="V10" s="226"/>
      <c r="W10" s="226"/>
      <c r="X10" s="226"/>
      <c r="Y10" s="226"/>
    </row>
    <row r="11" spans="1:25" s="229" customFormat="1" ht="72.75" customHeight="1" x14ac:dyDescent="0.3">
      <c r="B11" s="239" t="str">
        <f>Uebersetzung!D7</f>
        <v>Nr.</v>
      </c>
      <c r="C11" s="239" t="str">
        <f>Uebersetzung!D8</f>
        <v>AE</v>
      </c>
      <c r="D11" s="239" t="str">
        <f>Uebersetzung!D9</f>
        <v>Utilizzo</v>
      </c>
      <c r="E11" s="240" t="str">
        <f>Uebersetzung!D10</f>
        <v>Superficie</v>
      </c>
      <c r="F11" s="240" t="str">
        <f>Uebersetzung!D11</f>
        <v>Tipo di ventilazione</v>
      </c>
      <c r="G11" s="358" t="str">
        <f>Uebersetzung!D12</f>
        <v>Volumi d'aria (dimensionamento)</v>
      </c>
      <c r="H11" s="359"/>
      <c r="I11" s="360" t="str">
        <f>Uebersetzung!D13</f>
        <v xml:space="preserve">Ventilatori (+ pompe RC con circuito idraulico)
</v>
      </c>
      <c r="J11" s="362"/>
      <c r="K11" s="361"/>
      <c r="L11" s="240" t="str">
        <f>Uebersetzung!D14</f>
        <v>Regolazione/controllo</v>
      </c>
      <c r="M11" s="358" t="str">
        <f>Uebersetzung!D15</f>
        <v>Ore a pieno carico; ventilazione</v>
      </c>
      <c r="N11" s="359"/>
      <c r="O11" s="240" t="str">
        <f>Uebersetzung!D16</f>
        <v>Tipo RC</v>
      </c>
      <c r="P11" s="360" t="str">
        <f>Uebersetzung!D17</f>
        <v>Rendimento medio annuo</v>
      </c>
      <c r="Q11" s="361"/>
      <c r="R11" s="240" t="str">
        <f>Uebersetzung!D18</f>
        <v>Portata d'aria esterna term. det.</v>
      </c>
      <c r="S11" s="240" t="str">
        <f>Uebersetzung!D19</f>
        <v>Fabbisogno di corrente per la ventilazione</v>
      </c>
    </row>
    <row r="12" spans="1:25" s="230" customFormat="1" ht="20.100000000000001" customHeight="1" x14ac:dyDescent="0.3">
      <c r="B12" s="241"/>
      <c r="C12" s="241"/>
      <c r="D12" s="242"/>
      <c r="E12" s="243" t="s">
        <v>4</v>
      </c>
      <c r="F12" s="243"/>
      <c r="G12" s="244" t="s">
        <v>1</v>
      </c>
      <c r="H12" s="244" t="s">
        <v>1</v>
      </c>
      <c r="I12" s="244" t="s">
        <v>139</v>
      </c>
      <c r="J12" s="245" t="s">
        <v>3</v>
      </c>
      <c r="K12" s="245" t="s">
        <v>3</v>
      </c>
      <c r="L12" s="243"/>
      <c r="M12" s="243" t="s">
        <v>2</v>
      </c>
      <c r="N12" s="243" t="s">
        <v>2</v>
      </c>
      <c r="O12" s="243"/>
      <c r="P12" s="246" t="s">
        <v>70</v>
      </c>
      <c r="Q12" s="246" t="s">
        <v>70</v>
      </c>
      <c r="R12" s="243" t="s">
        <v>1</v>
      </c>
      <c r="S12" s="243" t="s">
        <v>0</v>
      </c>
    </row>
    <row r="13" spans="1:25" s="3" customFormat="1" ht="24" customHeight="1" x14ac:dyDescent="0.2">
      <c r="B13" s="44"/>
      <c r="C13" s="44"/>
      <c r="D13" s="125" t="str">
        <f>Uebersetzung!D35</f>
        <v>AE in totale=</v>
      </c>
      <c r="E13" s="184">
        <f>Berechnung!D32</f>
        <v>0</v>
      </c>
      <c r="F13" s="19"/>
      <c r="G13" s="184">
        <f>SUM(G14:G39)</f>
        <v>0</v>
      </c>
      <c r="H13" s="356" t="str">
        <f>Uebersetzung!D37</f>
        <v>calcolato</v>
      </c>
      <c r="I13" s="176"/>
      <c r="J13" s="176" t="str">
        <f>Uebersetzung!D36</f>
        <v>inserito</v>
      </c>
      <c r="K13" s="356" t="str">
        <f>Uebersetzung!D37</f>
        <v>calcolato</v>
      </c>
      <c r="L13" s="177"/>
      <c r="M13" s="176" t="str">
        <f>Uebersetzung!D36</f>
        <v>inserito</v>
      </c>
      <c r="N13" s="357" t="str">
        <f>Uebersetzung!D37</f>
        <v>calcolato</v>
      </c>
      <c r="O13" s="176"/>
      <c r="P13" s="176" t="str">
        <f>Uebersetzung!D36</f>
        <v>inserito</v>
      </c>
      <c r="Q13" s="356" t="str">
        <f>Uebersetzung!D37</f>
        <v>calcolato</v>
      </c>
      <c r="R13" s="184">
        <f>SUM(R14:R39)</f>
        <v>0</v>
      </c>
      <c r="S13" s="184">
        <f>SUM(S14:S39)</f>
        <v>0</v>
      </c>
    </row>
    <row r="14" spans="1:25" s="3" customFormat="1" ht="24" customHeight="1" x14ac:dyDescent="0.2">
      <c r="A14" s="3">
        <v>1</v>
      </c>
      <c r="B14" s="335"/>
      <c r="C14" s="198"/>
      <c r="D14" s="194"/>
      <c r="E14" s="52"/>
      <c r="F14" s="157"/>
      <c r="G14" s="52"/>
      <c r="H14" s="63">
        <f>IF(E14="",G14,IF(G14="",Berechnung!L6,IF(G14&lt;Berechnung!K6,Berechnung!K6,G14)))</f>
        <v>0</v>
      </c>
      <c r="I14" s="172"/>
      <c r="J14" s="162"/>
      <c r="K14" s="175">
        <f>Berechnung!P6</f>
        <v>0</v>
      </c>
      <c r="L14" s="66"/>
      <c r="M14" s="188"/>
      <c r="N14" s="56" t="str">
        <f>IF(D14="","",IF(E14="",MAX(Berechnung!F6,M14),IF(M14="",MIN(Berechnung!F6,8760),MIN(IF(M14&lt;Berechnung!G6,Berechnung!G6,M14),8760))))</f>
        <v/>
      </c>
      <c r="O14" s="191"/>
      <c r="P14" s="53"/>
      <c r="Q14" s="185">
        <f>Berechnung!S6</f>
        <v>0</v>
      </c>
      <c r="R14" s="54" t="str">
        <f>IF(D14="","",IF(E14="","",H14*(1-Q14)*N14/8760*Berechnung!C6/INDEX(Berechnung!$F$75:$F$90,Berechnung!T6)*INDEX(Berechnung!$G$75:$G$90,Berechnung!T6)))</f>
        <v/>
      </c>
      <c r="S14" s="54" t="str">
        <f>IF(D14="","",IF(N14="",0,N14*K14))</f>
        <v/>
      </c>
      <c r="W14" s="197"/>
    </row>
    <row r="15" spans="1:25" s="3" customFormat="1" ht="24" customHeight="1" x14ac:dyDescent="0.2">
      <c r="A15" s="3">
        <v>2</v>
      </c>
      <c r="B15" s="335"/>
      <c r="C15" s="199"/>
      <c r="D15" s="195"/>
      <c r="E15" s="55"/>
      <c r="F15" s="158"/>
      <c r="G15" s="55"/>
      <c r="H15" s="63">
        <f>IF(E15="",G15,IF(G15="",Berechnung!L7,IF(G15&lt;Berechnung!K7,Berechnung!K7,G15)))</f>
        <v>0</v>
      </c>
      <c r="I15" s="172"/>
      <c r="J15" s="163"/>
      <c r="K15" s="175">
        <f>Berechnung!P7</f>
        <v>0</v>
      </c>
      <c r="L15" s="67"/>
      <c r="M15" s="189"/>
      <c r="N15" s="56" t="str">
        <f>IF(D15="","",IF(E15="",MAX(Berechnung!F7,M15),IF(M15="",MIN(Berechnung!F7,8760),MIN(IF(M15&lt;Berechnung!G7,Berechnung!G7,M15),8760))))</f>
        <v/>
      </c>
      <c r="O15" s="192"/>
      <c r="P15" s="57"/>
      <c r="Q15" s="186">
        <f>Berechnung!S7</f>
        <v>0</v>
      </c>
      <c r="R15" s="56" t="str">
        <f>IF(D15="","",IF(E15="","",H15*(1-Q15)*N15/8760*Berechnung!C7/INDEX(Berechnung!$F$75:$F$90,Berechnung!T7)*INDEX(Berechnung!$G$75:$G$90,Berechnung!T7)))</f>
        <v/>
      </c>
      <c r="S15" s="56" t="str">
        <f t="shared" ref="S15:S39" si="0">IF(D15="","",IF(N15="",0,N15*K15))</f>
        <v/>
      </c>
    </row>
    <row r="16" spans="1:25" s="3" customFormat="1" ht="24" customHeight="1" x14ac:dyDescent="0.2">
      <c r="A16" s="3">
        <v>3</v>
      </c>
      <c r="B16" s="335"/>
      <c r="C16" s="200"/>
      <c r="D16" s="195"/>
      <c r="E16" s="55"/>
      <c r="F16" s="158"/>
      <c r="G16" s="55"/>
      <c r="H16" s="63">
        <f>IF(E16="",G16,IF(G16="",Berechnung!L8,IF(G16&lt;Berechnung!K8,Berechnung!K8,G16)))</f>
        <v>0</v>
      </c>
      <c r="I16" s="172"/>
      <c r="J16" s="351"/>
      <c r="K16" s="175">
        <f>Berechnung!P8</f>
        <v>0</v>
      </c>
      <c r="L16" s="67"/>
      <c r="M16" s="189"/>
      <c r="N16" s="56" t="str">
        <f>IF(D16="","",IF(E16="",MAX(Berechnung!F8,M16),IF(M16="",MIN(Berechnung!F8,8760),MIN(IF(M16&lt;Berechnung!G8,Berechnung!G8,M16),8760))))</f>
        <v/>
      </c>
      <c r="O16" s="192"/>
      <c r="P16" s="57"/>
      <c r="Q16" s="186">
        <f>Berechnung!S8</f>
        <v>0</v>
      </c>
      <c r="R16" s="56" t="str">
        <f>IF(D16="","",IF(E16="","",H16*(1-Q16)*N16/8760*Berechnung!C8/INDEX(Berechnung!$F$75:$F$90,Berechnung!T8)*INDEX(Berechnung!$G$75:$G$90,Berechnung!T8)))</f>
        <v/>
      </c>
      <c r="S16" s="56" t="str">
        <f t="shared" si="0"/>
        <v/>
      </c>
    </row>
    <row r="17" spans="1:20" s="3" customFormat="1" ht="24" customHeight="1" x14ac:dyDescent="0.2">
      <c r="A17" s="3">
        <v>4</v>
      </c>
      <c r="B17" s="335"/>
      <c r="C17" s="200"/>
      <c r="D17" s="195"/>
      <c r="E17" s="55"/>
      <c r="F17" s="158"/>
      <c r="G17" s="55"/>
      <c r="H17" s="63">
        <f>IF(E17="",G17,IF(G17="",Berechnung!L9,IF(G17&lt;Berechnung!K9,Berechnung!K9,G17)))</f>
        <v>0</v>
      </c>
      <c r="I17" s="172"/>
      <c r="J17" s="163"/>
      <c r="K17" s="175">
        <f>Berechnung!P9</f>
        <v>0</v>
      </c>
      <c r="L17" s="67"/>
      <c r="M17" s="189"/>
      <c r="N17" s="56" t="str">
        <f>IF(D17="","",IF(E17="",MAX(Berechnung!F9,M17),IF(M17="",MIN(Berechnung!F9,8760),MIN(IF(M17&lt;Berechnung!G9,Berechnung!G9,M17),8760))))</f>
        <v/>
      </c>
      <c r="O17" s="192"/>
      <c r="P17" s="57"/>
      <c r="Q17" s="186">
        <f>Berechnung!S9</f>
        <v>0</v>
      </c>
      <c r="R17" s="56" t="str">
        <f>IF(D17="","",IF(E17="","",H17*(1-Q17)*N17/8760*Berechnung!C9/INDEX(Berechnung!$F$75:$F$90,Berechnung!T9)*INDEX(Berechnung!$G$75:$G$90,Berechnung!T9)))</f>
        <v/>
      </c>
      <c r="S17" s="56" t="str">
        <f t="shared" si="0"/>
        <v/>
      </c>
    </row>
    <row r="18" spans="1:20" s="3" customFormat="1" ht="24" customHeight="1" x14ac:dyDescent="0.2">
      <c r="A18" s="3">
        <v>5</v>
      </c>
      <c r="B18" s="335"/>
      <c r="C18" s="200"/>
      <c r="D18" s="195"/>
      <c r="E18" s="55"/>
      <c r="F18" s="158"/>
      <c r="G18" s="55"/>
      <c r="H18" s="63">
        <f>IF(E18="",G18,IF(G18="",Berechnung!L10,IF(G18&lt;Berechnung!K10,Berechnung!K10,G18)))</f>
        <v>0</v>
      </c>
      <c r="I18" s="172"/>
      <c r="J18" s="163"/>
      <c r="K18" s="175">
        <f>Berechnung!P10</f>
        <v>0</v>
      </c>
      <c r="L18" s="67"/>
      <c r="M18" s="189"/>
      <c r="N18" s="56" t="str">
        <f>IF(D18="","",IF(E18="",MAX(Berechnung!F10,M18),IF(M18="",MIN(Berechnung!F10,8760),MIN(IF(M18&lt;Berechnung!G10,Berechnung!G10,M18),8760))))</f>
        <v/>
      </c>
      <c r="O18" s="192"/>
      <c r="P18" s="57"/>
      <c r="Q18" s="186">
        <f>Berechnung!S10</f>
        <v>0</v>
      </c>
      <c r="R18" s="56" t="str">
        <f>IF(D18="","",IF(E18="","",H18*(1-Q18)*N18/8760*Berechnung!C10/INDEX(Berechnung!$F$75:$F$90,Berechnung!T10)*INDEX(Berechnung!$G$75:$G$90,Berechnung!T10)))</f>
        <v/>
      </c>
      <c r="S18" s="56" t="str">
        <f t="shared" si="0"/>
        <v/>
      </c>
    </row>
    <row r="19" spans="1:20" s="3" customFormat="1" ht="24" customHeight="1" x14ac:dyDescent="0.2">
      <c r="A19" s="3">
        <v>6</v>
      </c>
      <c r="B19" s="336"/>
      <c r="C19" s="200"/>
      <c r="D19" s="195"/>
      <c r="E19" s="55"/>
      <c r="F19" s="158"/>
      <c r="G19" s="55"/>
      <c r="H19" s="63">
        <f>IF(E19="",G19,IF(G19="",Berechnung!L11,IF(G19&lt;Berechnung!K11,Berechnung!K11,G19)))</f>
        <v>0</v>
      </c>
      <c r="I19" s="172"/>
      <c r="J19" s="163"/>
      <c r="K19" s="175">
        <f>Berechnung!P11</f>
        <v>0</v>
      </c>
      <c r="L19" s="67"/>
      <c r="M19" s="189"/>
      <c r="N19" s="56" t="str">
        <f>IF(D19="","",IF(E19="",MAX(Berechnung!F11,M19),IF(M19="",MIN(Berechnung!F11,8760),MIN(IF(M19&lt;Berechnung!G11,Berechnung!G11,M19),8760))))</f>
        <v/>
      </c>
      <c r="O19" s="192"/>
      <c r="P19" s="57"/>
      <c r="Q19" s="186">
        <f>Berechnung!S11</f>
        <v>0</v>
      </c>
      <c r="R19" s="56" t="str">
        <f>IF(D19="","",IF(E19="","",H19*(1-Q19)*N19/8760*Berechnung!C11/INDEX(Berechnung!$F$75:$F$90,Berechnung!T11)*INDEX(Berechnung!$G$75:$G$90,Berechnung!T11)))</f>
        <v/>
      </c>
      <c r="S19" s="56" t="str">
        <f t="shared" si="0"/>
        <v/>
      </c>
    </row>
    <row r="20" spans="1:20" s="3" customFormat="1" ht="24" customHeight="1" x14ac:dyDescent="0.2">
      <c r="A20" s="3">
        <v>7</v>
      </c>
      <c r="B20" s="336"/>
      <c r="C20" s="200"/>
      <c r="D20" s="195"/>
      <c r="E20" s="55"/>
      <c r="F20" s="158"/>
      <c r="G20" s="55"/>
      <c r="H20" s="63">
        <f>IF(E20="",G20,IF(G20="",Berechnung!L12,IF(G20&lt;Berechnung!K12,Berechnung!K12,G20)))</f>
        <v>0</v>
      </c>
      <c r="I20" s="172"/>
      <c r="J20" s="163"/>
      <c r="K20" s="175">
        <f>Berechnung!P12</f>
        <v>0</v>
      </c>
      <c r="L20" s="67"/>
      <c r="M20" s="189"/>
      <c r="N20" s="56" t="str">
        <f>IF(D20="","",IF(E20="",MAX(Berechnung!F12,M20),IF(M20="",MIN(Berechnung!F12,8760),MIN(IF(M20&lt;Berechnung!G12,Berechnung!G12,M20),8760))))</f>
        <v/>
      </c>
      <c r="O20" s="192"/>
      <c r="P20" s="57"/>
      <c r="Q20" s="186">
        <f>Berechnung!S12</f>
        <v>0</v>
      </c>
      <c r="R20" s="56" t="str">
        <f>IF(D20="","",IF(E20="","",H20*(1-Q20)*N20/8760*Berechnung!C12/INDEX(Berechnung!$F$75:$F$90,Berechnung!T12)*INDEX(Berechnung!$G$75:$G$90,Berechnung!T12)))</f>
        <v/>
      </c>
      <c r="S20" s="56" t="str">
        <f t="shared" si="0"/>
        <v/>
      </c>
    </row>
    <row r="21" spans="1:20" s="3" customFormat="1" ht="24" customHeight="1" x14ac:dyDescent="0.2">
      <c r="A21" s="3">
        <v>8</v>
      </c>
      <c r="B21" s="335"/>
      <c r="C21" s="200"/>
      <c r="D21" s="195"/>
      <c r="E21" s="55"/>
      <c r="F21" s="158"/>
      <c r="G21" s="55"/>
      <c r="H21" s="63">
        <f>IF(E21="",G21,IF(G21="",Berechnung!L13,IF(G21&lt;Berechnung!K13,Berechnung!K13,G21)))</f>
        <v>0</v>
      </c>
      <c r="I21" s="172"/>
      <c r="J21" s="163"/>
      <c r="K21" s="175">
        <f>Berechnung!P13</f>
        <v>0</v>
      </c>
      <c r="L21" s="67"/>
      <c r="M21" s="189"/>
      <c r="N21" s="56" t="str">
        <f>IF(D21="","",IF(E21="",MAX(Berechnung!F13,M21),IF(M21="",MIN(Berechnung!F13,8760),MIN(IF(M21&lt;Berechnung!G13,Berechnung!G13,M21),8760))))</f>
        <v/>
      </c>
      <c r="O21" s="192"/>
      <c r="P21" s="57"/>
      <c r="Q21" s="186">
        <f>Berechnung!S13</f>
        <v>0</v>
      </c>
      <c r="R21" s="56" t="str">
        <f>IF(D21="","",IF(E21="","",H21*(1-Q21)*N21/8760*Berechnung!C13/INDEX(Berechnung!$F$75:$F$90,Berechnung!T13)*INDEX(Berechnung!$G$75:$G$90,Berechnung!T13)))</f>
        <v/>
      </c>
      <c r="S21" s="56" t="str">
        <f t="shared" si="0"/>
        <v/>
      </c>
    </row>
    <row r="22" spans="1:20" s="3" customFormat="1" ht="24" customHeight="1" x14ac:dyDescent="0.2">
      <c r="A22" s="3">
        <v>9</v>
      </c>
      <c r="B22" s="336"/>
      <c r="C22" s="200"/>
      <c r="D22" s="195"/>
      <c r="E22" s="55"/>
      <c r="F22" s="158"/>
      <c r="G22" s="55"/>
      <c r="H22" s="63">
        <f>IF(E22="",G22,IF(G22="",Berechnung!L14,IF(G22&lt;Berechnung!K14,Berechnung!K14,G22)))</f>
        <v>0</v>
      </c>
      <c r="I22" s="172"/>
      <c r="J22" s="163"/>
      <c r="K22" s="175">
        <f>Berechnung!P14</f>
        <v>0</v>
      </c>
      <c r="L22" s="67"/>
      <c r="M22" s="189"/>
      <c r="N22" s="56" t="str">
        <f>IF(D22="","",IF(E22="",MAX(Berechnung!F14,M22),IF(M22="",MIN(Berechnung!F14,8760),MIN(IF(M22&lt;Berechnung!G14,Berechnung!G14,M22),8760))))</f>
        <v/>
      </c>
      <c r="O22" s="192"/>
      <c r="P22" s="57"/>
      <c r="Q22" s="186">
        <f>Berechnung!S14</f>
        <v>0</v>
      </c>
      <c r="R22" s="56" t="str">
        <f>IF(D22="","",IF(E22="","",H22*(1-Q22)*N22/8760*Berechnung!C14/INDEX(Berechnung!$F$75:$F$90,Berechnung!T14)*INDEX(Berechnung!$G$75:$G$90,Berechnung!T14)))</f>
        <v/>
      </c>
      <c r="S22" s="56" t="str">
        <f t="shared" si="0"/>
        <v/>
      </c>
    </row>
    <row r="23" spans="1:20" s="3" customFormat="1" ht="24" customHeight="1" x14ac:dyDescent="0.2">
      <c r="A23" s="3">
        <v>10</v>
      </c>
      <c r="B23" s="336"/>
      <c r="C23" s="200"/>
      <c r="D23" s="195"/>
      <c r="E23" s="55"/>
      <c r="F23" s="158"/>
      <c r="G23" s="55"/>
      <c r="H23" s="63">
        <f>IF(E23="",G23,IF(G23="",Berechnung!L15,IF(G23&lt;Berechnung!K15,Berechnung!K15,G23)))</f>
        <v>0</v>
      </c>
      <c r="I23" s="172"/>
      <c r="J23" s="163"/>
      <c r="K23" s="175">
        <f>Berechnung!P15</f>
        <v>0</v>
      </c>
      <c r="L23" s="67"/>
      <c r="M23" s="189"/>
      <c r="N23" s="56" t="str">
        <f>IF(D23="","",IF(E23="",MAX(Berechnung!F15,M23),IF(M23="",MIN(Berechnung!F15,8760),MIN(IF(M23&lt;Berechnung!G15,Berechnung!G15,M23),8760))))</f>
        <v/>
      </c>
      <c r="O23" s="192"/>
      <c r="P23" s="57"/>
      <c r="Q23" s="186">
        <f>Berechnung!S15</f>
        <v>0</v>
      </c>
      <c r="R23" s="56" t="str">
        <f>IF(D23="","",IF(E23="","",H23*(1-Q23)*N23/8760*Berechnung!C15/INDEX(Berechnung!$F$75:$F$90,Berechnung!T15)*INDEX(Berechnung!$G$75:$G$90,Berechnung!T15)))</f>
        <v/>
      </c>
      <c r="S23" s="56" t="str">
        <f t="shared" si="0"/>
        <v/>
      </c>
    </row>
    <row r="24" spans="1:20" s="3" customFormat="1" ht="24" customHeight="1" x14ac:dyDescent="0.2">
      <c r="A24" s="3">
        <v>11</v>
      </c>
      <c r="B24" s="336"/>
      <c r="C24" s="200"/>
      <c r="D24" s="195"/>
      <c r="E24" s="55"/>
      <c r="F24" s="158"/>
      <c r="G24" s="55"/>
      <c r="H24" s="63">
        <f>IF(E24="",G24,IF(G24="",Berechnung!L16,IF(G24&lt;Berechnung!K16,Berechnung!K16,G24)))</f>
        <v>0</v>
      </c>
      <c r="I24" s="172"/>
      <c r="J24" s="163"/>
      <c r="K24" s="175">
        <f>Berechnung!P16</f>
        <v>0</v>
      </c>
      <c r="L24" s="67"/>
      <c r="M24" s="189"/>
      <c r="N24" s="56" t="str">
        <f>IF(D24="","",IF(E24="",MAX(Berechnung!F16,M24),IF(M24="",MIN(Berechnung!F16,8760),MIN(IF(M24&lt;Berechnung!G16,Berechnung!G16,M24),8760))))</f>
        <v/>
      </c>
      <c r="O24" s="192"/>
      <c r="P24" s="57"/>
      <c r="Q24" s="186">
        <f>Berechnung!S16</f>
        <v>0</v>
      </c>
      <c r="R24" s="56" t="str">
        <f>IF(D24="","",IF(E24="","",H24*(1-Q24)*N24/8760*Berechnung!C16/INDEX(Berechnung!$F$75:$F$90,Berechnung!T16)*INDEX(Berechnung!$G$75:$G$90,Berechnung!T16)))</f>
        <v/>
      </c>
      <c r="S24" s="56" t="str">
        <f t="shared" si="0"/>
        <v/>
      </c>
    </row>
    <row r="25" spans="1:20" s="3" customFormat="1" ht="24" customHeight="1" x14ac:dyDescent="0.2">
      <c r="A25" s="3">
        <v>12</v>
      </c>
      <c r="B25" s="336"/>
      <c r="C25" s="200"/>
      <c r="D25" s="195"/>
      <c r="E25" s="55"/>
      <c r="F25" s="158"/>
      <c r="G25" s="55"/>
      <c r="H25" s="63">
        <f>IF(E25="",G25,IF(G25="",Berechnung!L17,IF(G25&lt;Berechnung!K17,Berechnung!K17,G25)))</f>
        <v>0</v>
      </c>
      <c r="I25" s="172"/>
      <c r="J25" s="163"/>
      <c r="K25" s="175">
        <f>Berechnung!P17</f>
        <v>0</v>
      </c>
      <c r="L25" s="67"/>
      <c r="M25" s="189"/>
      <c r="N25" s="56" t="str">
        <f>IF(D25="","",IF(E25="",MAX(Berechnung!F17,M25),IF(M25="",MIN(Berechnung!F17,8760),MIN(IF(M25&lt;Berechnung!G17,Berechnung!G17,M25),8760))))</f>
        <v/>
      </c>
      <c r="O25" s="192"/>
      <c r="P25" s="57"/>
      <c r="Q25" s="186">
        <f>Berechnung!S17</f>
        <v>0</v>
      </c>
      <c r="R25" s="56" t="str">
        <f>IF(D25="","",IF(E25="","",H25*(1-Q25)*N25/8760*Berechnung!C17/INDEX(Berechnung!$F$75:$F$90,Berechnung!T17)*INDEX(Berechnung!$G$75:$G$90,Berechnung!T17)))</f>
        <v/>
      </c>
      <c r="S25" s="56" t="str">
        <f t="shared" si="0"/>
        <v/>
      </c>
    </row>
    <row r="26" spans="1:20" s="3" customFormat="1" ht="24" customHeight="1" x14ac:dyDescent="0.2">
      <c r="A26" s="3">
        <v>13</v>
      </c>
      <c r="B26" s="336"/>
      <c r="C26" s="200"/>
      <c r="D26" s="195"/>
      <c r="E26" s="55"/>
      <c r="F26" s="158"/>
      <c r="G26" s="55"/>
      <c r="H26" s="63">
        <f>IF(E26="",G26,IF(G26="",Berechnung!L18,IF(G26&lt;Berechnung!K18,Berechnung!K18,G26)))</f>
        <v>0</v>
      </c>
      <c r="I26" s="172"/>
      <c r="J26" s="163"/>
      <c r="K26" s="175">
        <f>Berechnung!P18</f>
        <v>0</v>
      </c>
      <c r="L26" s="67"/>
      <c r="M26" s="189"/>
      <c r="N26" s="56" t="str">
        <f>IF(D26="","",IF(E26="",MAX(Berechnung!F18,M26),IF(M26="",MIN(Berechnung!F18,8760),MIN(IF(M26&lt;Berechnung!G18,Berechnung!G18,M26),8760))))</f>
        <v/>
      </c>
      <c r="O26" s="192"/>
      <c r="P26" s="57"/>
      <c r="Q26" s="186">
        <f>Berechnung!S18</f>
        <v>0</v>
      </c>
      <c r="R26" s="56" t="str">
        <f>IF(D26="","",IF(E26="","",H26*(1-Q26)*N26/8760*Berechnung!C18/INDEX(Berechnung!$F$75:$F$90,Berechnung!T18)*INDEX(Berechnung!$G$75:$G$90,Berechnung!T18)))</f>
        <v/>
      </c>
      <c r="S26" s="56" t="str">
        <f t="shared" si="0"/>
        <v/>
      </c>
    </row>
    <row r="27" spans="1:20" s="3" customFormat="1" ht="24" customHeight="1" x14ac:dyDescent="0.2">
      <c r="A27" s="3">
        <v>14</v>
      </c>
      <c r="B27" s="336"/>
      <c r="C27" s="200"/>
      <c r="D27" s="195"/>
      <c r="E27" s="55"/>
      <c r="F27" s="158"/>
      <c r="G27" s="55"/>
      <c r="H27" s="63">
        <f>IF(E27="",G27,IF(G27="",Berechnung!L19,IF(G27&lt;Berechnung!K19,Berechnung!K19,G27)))</f>
        <v>0</v>
      </c>
      <c r="I27" s="172"/>
      <c r="J27" s="163"/>
      <c r="K27" s="175">
        <f>Berechnung!P19</f>
        <v>0</v>
      </c>
      <c r="L27" s="67"/>
      <c r="M27" s="189"/>
      <c r="N27" s="56" t="str">
        <f>IF(D27="","",IF(E27="",MAX(Berechnung!F19,M27),IF(M27="",MIN(Berechnung!F19,8760),MIN(IF(M27&lt;Berechnung!G19,Berechnung!G19,M27),8760))))</f>
        <v/>
      </c>
      <c r="O27" s="192"/>
      <c r="P27" s="57"/>
      <c r="Q27" s="186">
        <f>Berechnung!S19</f>
        <v>0</v>
      </c>
      <c r="R27" s="56" t="str">
        <f>IF(D27="","",IF(E27="","",H27*(1-Q27)*N27/8760*Berechnung!C19/INDEX(Berechnung!$F$75:$F$90,Berechnung!T19)*INDEX(Berechnung!$G$75:$G$90,Berechnung!T19)))</f>
        <v/>
      </c>
      <c r="S27" s="56" t="str">
        <f t="shared" si="0"/>
        <v/>
      </c>
    </row>
    <row r="28" spans="1:20" s="3" customFormat="1" ht="24" customHeight="1" x14ac:dyDescent="0.2">
      <c r="A28" s="3">
        <v>15</v>
      </c>
      <c r="B28" s="336"/>
      <c r="C28" s="200"/>
      <c r="D28" s="195"/>
      <c r="E28" s="55"/>
      <c r="F28" s="158"/>
      <c r="G28" s="55"/>
      <c r="H28" s="63">
        <f>IF(E28="",G28,IF(G28="",Berechnung!L20,IF(G28&lt;Berechnung!K20,Berechnung!K20,G28)))</f>
        <v>0</v>
      </c>
      <c r="I28" s="172"/>
      <c r="J28" s="163"/>
      <c r="K28" s="175">
        <f>Berechnung!P20</f>
        <v>0</v>
      </c>
      <c r="L28" s="67"/>
      <c r="M28" s="189"/>
      <c r="N28" s="56" t="str">
        <f>IF(D28="","",IF(E28="",MAX(Berechnung!F20,M28),IF(M28="",MIN(Berechnung!F20,8760),MIN(IF(M28&lt;Berechnung!G20,Berechnung!G20,M28),8760))))</f>
        <v/>
      </c>
      <c r="O28" s="192"/>
      <c r="P28" s="57"/>
      <c r="Q28" s="186">
        <f>Berechnung!S20</f>
        <v>0</v>
      </c>
      <c r="R28" s="56" t="str">
        <f>IF(D28="","",IF(E28="","",H28*(1-Q28)*N28/8760*Berechnung!C20/INDEX(Berechnung!$F$75:$F$90,Berechnung!T20)*INDEX(Berechnung!$G$75:$G$90,Berechnung!T20)))</f>
        <v/>
      </c>
      <c r="S28" s="56" t="str">
        <f t="shared" si="0"/>
        <v/>
      </c>
    </row>
    <row r="29" spans="1:20" s="3" customFormat="1" ht="24" customHeight="1" x14ac:dyDescent="0.2">
      <c r="A29" s="3">
        <v>16</v>
      </c>
      <c r="B29" s="336"/>
      <c r="C29" s="200"/>
      <c r="D29" s="195"/>
      <c r="E29" s="55"/>
      <c r="F29" s="158"/>
      <c r="G29" s="55"/>
      <c r="H29" s="63">
        <f>IF(E29="",G29,IF(G29="",Berechnung!L21,IF(G29&lt;Berechnung!K21,Berechnung!K21,G29)))</f>
        <v>0</v>
      </c>
      <c r="I29" s="172"/>
      <c r="J29" s="163"/>
      <c r="K29" s="175">
        <f>Berechnung!P21</f>
        <v>0</v>
      </c>
      <c r="L29" s="67"/>
      <c r="M29" s="189"/>
      <c r="N29" s="56" t="str">
        <f>IF(D29="","",IF(E29="",MAX(Berechnung!F21,M29),IF(M29="",MIN(Berechnung!F21,8760),MIN(IF(M29&lt;Berechnung!G21,Berechnung!G21,M29),8760))))</f>
        <v/>
      </c>
      <c r="O29" s="192"/>
      <c r="P29" s="57"/>
      <c r="Q29" s="186">
        <f>Berechnung!S21</f>
        <v>0</v>
      </c>
      <c r="R29" s="56" t="str">
        <f>IF(D29="","",IF(E29="","",H29*(1-Q29)*N29/8760*Berechnung!C21/INDEX(Berechnung!$F$75:$F$90,Berechnung!T21)*INDEX(Berechnung!$G$75:$G$90,Berechnung!T21)))</f>
        <v/>
      </c>
      <c r="S29" s="56" t="str">
        <f t="shared" si="0"/>
        <v/>
      </c>
    </row>
    <row r="30" spans="1:20" s="3" customFormat="1" ht="24" customHeight="1" x14ac:dyDescent="0.2">
      <c r="A30" s="3">
        <v>17</v>
      </c>
      <c r="B30" s="336"/>
      <c r="C30" s="200"/>
      <c r="D30" s="195"/>
      <c r="E30" s="55"/>
      <c r="F30" s="158"/>
      <c r="G30" s="55"/>
      <c r="H30" s="63">
        <f>IF(E30="",G30,IF(G30="",Berechnung!L22,IF(G30&lt;Berechnung!K22,Berechnung!K22,G30)))</f>
        <v>0</v>
      </c>
      <c r="I30" s="172"/>
      <c r="J30" s="163"/>
      <c r="K30" s="175">
        <f>Berechnung!P22</f>
        <v>0</v>
      </c>
      <c r="L30" s="67"/>
      <c r="M30" s="189"/>
      <c r="N30" s="56" t="str">
        <f>IF(D30="","",IF(E30="",MAX(Berechnung!F22,M30),IF(M30="",MIN(Berechnung!F22,8760),MIN(IF(M30&lt;Berechnung!G22,Berechnung!G22,M30),8760))))</f>
        <v/>
      </c>
      <c r="O30" s="192"/>
      <c r="P30" s="57"/>
      <c r="Q30" s="186">
        <f>Berechnung!S22</f>
        <v>0</v>
      </c>
      <c r="R30" s="56" t="str">
        <f>IF(D30="","",IF(E30="","",H30*(1-Q30)*N30/8760*Berechnung!C22/INDEX(Berechnung!$F$75:$F$90,Berechnung!T22)*INDEX(Berechnung!$G$75:$G$90,Berechnung!T22)))</f>
        <v/>
      </c>
      <c r="S30" s="56" t="str">
        <f t="shared" si="0"/>
        <v/>
      </c>
    </row>
    <row r="31" spans="1:20" s="3" customFormat="1" ht="24" customHeight="1" x14ac:dyDescent="0.2">
      <c r="A31" s="3">
        <v>18</v>
      </c>
      <c r="B31" s="336"/>
      <c r="C31" s="200"/>
      <c r="D31" s="195"/>
      <c r="E31" s="55"/>
      <c r="F31" s="158"/>
      <c r="G31" s="55"/>
      <c r="H31" s="63">
        <f>IF(E31="",G31,IF(G31="",Berechnung!L23,IF(G31&lt;Berechnung!K23,Berechnung!K23,G31)))</f>
        <v>0</v>
      </c>
      <c r="I31" s="172"/>
      <c r="J31" s="163"/>
      <c r="K31" s="175">
        <f>Berechnung!P23</f>
        <v>0</v>
      </c>
      <c r="L31" s="67"/>
      <c r="M31" s="189"/>
      <c r="N31" s="56" t="str">
        <f>IF(D31="","",IF(E31="",MAX(Berechnung!F23,M31),IF(M31="",MIN(Berechnung!F23,8760),MIN(IF(M31&lt;Berechnung!G23,Berechnung!G23,M31),8760))))</f>
        <v/>
      </c>
      <c r="O31" s="192"/>
      <c r="P31" s="57"/>
      <c r="Q31" s="186">
        <f>Berechnung!S23</f>
        <v>0</v>
      </c>
      <c r="R31" s="56" t="str">
        <f>IF(D31="","",IF(E31="","",H31*(1-Q31)*N31/8760*Berechnung!C23/INDEX(Berechnung!$F$75:$F$90,Berechnung!T23)*INDEX(Berechnung!$G$75:$G$90,Berechnung!T23)))</f>
        <v/>
      </c>
      <c r="S31" s="56" t="str">
        <f t="shared" si="0"/>
        <v/>
      </c>
      <c r="T31" s="58"/>
    </row>
    <row r="32" spans="1:20" s="3" customFormat="1" ht="24" customHeight="1" x14ac:dyDescent="0.2">
      <c r="A32" s="3">
        <v>19</v>
      </c>
      <c r="B32" s="336"/>
      <c r="C32" s="200"/>
      <c r="D32" s="195"/>
      <c r="E32" s="55"/>
      <c r="F32" s="158"/>
      <c r="G32" s="55"/>
      <c r="H32" s="63">
        <f>IF(E32="",G32,IF(G32="",Berechnung!L24,IF(G32&lt;Berechnung!K24,Berechnung!K24,G32)))</f>
        <v>0</v>
      </c>
      <c r="I32" s="172"/>
      <c r="J32" s="163"/>
      <c r="K32" s="175">
        <f>Berechnung!P24</f>
        <v>0</v>
      </c>
      <c r="L32" s="67"/>
      <c r="M32" s="189"/>
      <c r="N32" s="56" t="str">
        <f>IF(D32="","",IF(E32="",MAX(Berechnung!F24,M32),IF(M32="",MIN(Berechnung!F24,8760),MIN(IF(M32&lt;Berechnung!G24,Berechnung!G24,M32),8760))))</f>
        <v/>
      </c>
      <c r="O32" s="192"/>
      <c r="P32" s="57"/>
      <c r="Q32" s="186">
        <f>Berechnung!S24</f>
        <v>0</v>
      </c>
      <c r="R32" s="56" t="str">
        <f>IF(D32="","",IF(E32="","",H32*(1-Q32)*N32/8760*Berechnung!C24/INDEX(Berechnung!$F$75:$F$90,Berechnung!T24)*INDEX(Berechnung!$G$75:$G$90,Berechnung!T24)))</f>
        <v/>
      </c>
      <c r="S32" s="56" t="str">
        <f t="shared" si="0"/>
        <v/>
      </c>
    </row>
    <row r="33" spans="1:20" s="3" customFormat="1" ht="24" customHeight="1" x14ac:dyDescent="0.2">
      <c r="A33" s="3">
        <v>20</v>
      </c>
      <c r="B33" s="336"/>
      <c r="C33" s="200"/>
      <c r="D33" s="195"/>
      <c r="E33" s="55"/>
      <c r="F33" s="158"/>
      <c r="G33" s="55"/>
      <c r="H33" s="63">
        <f>IF(E33="",G33,IF(G33="",Berechnung!L25,IF(G33&lt;Berechnung!K25,Berechnung!K25,G33)))</f>
        <v>0</v>
      </c>
      <c r="I33" s="172"/>
      <c r="J33" s="163"/>
      <c r="K33" s="175">
        <f>Berechnung!P25</f>
        <v>0</v>
      </c>
      <c r="L33" s="67"/>
      <c r="M33" s="189"/>
      <c r="N33" s="56" t="str">
        <f>IF(D33="","",IF(E33="",MAX(Berechnung!F25,M33),IF(M33="",MIN(Berechnung!F25,8760),MIN(IF(M33&lt;Berechnung!G25,Berechnung!G25,M33),8760))))</f>
        <v/>
      </c>
      <c r="O33" s="192"/>
      <c r="P33" s="57"/>
      <c r="Q33" s="186">
        <f>Berechnung!S25</f>
        <v>0</v>
      </c>
      <c r="R33" s="56" t="str">
        <f>IF(D33="","",IF(E33="","",H33*(1-Q33)*N33/8760*Berechnung!C25/INDEX(Berechnung!$F$75:$F$90,Berechnung!T25)*INDEX(Berechnung!$G$75:$G$90,Berechnung!T25)))</f>
        <v/>
      </c>
      <c r="S33" s="56" t="str">
        <f t="shared" si="0"/>
        <v/>
      </c>
    </row>
    <row r="34" spans="1:20" s="3" customFormat="1" ht="24" customHeight="1" x14ac:dyDescent="0.2">
      <c r="A34" s="3">
        <v>21</v>
      </c>
      <c r="B34" s="336"/>
      <c r="C34" s="200"/>
      <c r="D34" s="195"/>
      <c r="E34" s="55"/>
      <c r="F34" s="158"/>
      <c r="G34" s="55"/>
      <c r="H34" s="63">
        <f>IF(E34="",G34,IF(G34="",Berechnung!L26,IF(G34&lt;Berechnung!K26,Berechnung!K26,G34)))</f>
        <v>0</v>
      </c>
      <c r="I34" s="172"/>
      <c r="J34" s="163"/>
      <c r="K34" s="175">
        <f>Berechnung!P26</f>
        <v>0</v>
      </c>
      <c r="L34" s="67"/>
      <c r="M34" s="189"/>
      <c r="N34" s="56" t="str">
        <f>IF(D34="","",IF(E34="",MAX(Berechnung!F26,M34),IF(M34="",MIN(Berechnung!F26,8760),MIN(IF(M34&lt;Berechnung!G26,Berechnung!G26,M34),8760))))</f>
        <v/>
      </c>
      <c r="O34" s="192"/>
      <c r="P34" s="57"/>
      <c r="Q34" s="186">
        <f>Berechnung!S26</f>
        <v>0</v>
      </c>
      <c r="R34" s="56" t="str">
        <f>IF(D34="","",IF(E34="","",H34*(1-Q34)*N34/8760*Berechnung!C26/INDEX(Berechnung!$F$75:$F$90,Berechnung!T26)*INDEX(Berechnung!$G$75:$G$90,Berechnung!T26)))</f>
        <v/>
      </c>
      <c r="S34" s="56" t="str">
        <f t="shared" si="0"/>
        <v/>
      </c>
    </row>
    <row r="35" spans="1:20" s="3" customFormat="1" ht="24" customHeight="1" x14ac:dyDescent="0.2">
      <c r="A35" s="3">
        <v>22</v>
      </c>
      <c r="B35" s="336"/>
      <c r="C35" s="200"/>
      <c r="D35" s="195"/>
      <c r="E35" s="55"/>
      <c r="F35" s="158"/>
      <c r="G35" s="55"/>
      <c r="H35" s="63">
        <f>IF(E35="",G35,IF(G35="",Berechnung!L27,IF(G35&lt;Berechnung!K27,Berechnung!K27,G35)))</f>
        <v>0</v>
      </c>
      <c r="I35" s="172"/>
      <c r="J35" s="163"/>
      <c r="K35" s="175">
        <f>Berechnung!P27</f>
        <v>0</v>
      </c>
      <c r="L35" s="67"/>
      <c r="M35" s="189"/>
      <c r="N35" s="56" t="str">
        <f>IF(D35="","",IF(E35="",MAX(Berechnung!F27,M35),IF(M35="",MIN(Berechnung!F27,8760),MIN(IF(M35&lt;Berechnung!G27,Berechnung!G27,M35),8760))))</f>
        <v/>
      </c>
      <c r="O35" s="192"/>
      <c r="P35" s="57"/>
      <c r="Q35" s="186">
        <f>Berechnung!S27</f>
        <v>0</v>
      </c>
      <c r="R35" s="56" t="str">
        <f>IF(D35="","",IF(E35="","",H35*(1-Q35)*N35/8760*Berechnung!C27/INDEX(Berechnung!$F$75:$F$90,Berechnung!T27)*INDEX(Berechnung!$G$75:$G$90,Berechnung!T27)))</f>
        <v/>
      </c>
      <c r="S35" s="56" t="str">
        <f t="shared" si="0"/>
        <v/>
      </c>
    </row>
    <row r="36" spans="1:20" s="3" customFormat="1" ht="24" customHeight="1" x14ac:dyDescent="0.2">
      <c r="A36" s="3">
        <v>23</v>
      </c>
      <c r="B36" s="336"/>
      <c r="C36" s="200"/>
      <c r="D36" s="195"/>
      <c r="E36" s="55"/>
      <c r="F36" s="158"/>
      <c r="G36" s="55"/>
      <c r="H36" s="63">
        <f>IF(E36="",G36,IF(G36="",Berechnung!L28,IF(G36&lt;Berechnung!K28,Berechnung!K28,G36)))</f>
        <v>0</v>
      </c>
      <c r="I36" s="172"/>
      <c r="J36" s="163"/>
      <c r="K36" s="175">
        <f>Berechnung!P28</f>
        <v>0</v>
      </c>
      <c r="L36" s="67"/>
      <c r="M36" s="189"/>
      <c r="N36" s="56" t="str">
        <f>IF(D36="","",IF(E36="",MAX(Berechnung!F28,M36),IF(M36="",MIN(Berechnung!F28,8760),MIN(IF(M36&lt;Berechnung!G28,Berechnung!G28,M36),8760))))</f>
        <v/>
      </c>
      <c r="O36" s="192"/>
      <c r="P36" s="57"/>
      <c r="Q36" s="186">
        <f>Berechnung!S28</f>
        <v>0</v>
      </c>
      <c r="R36" s="56" t="str">
        <f>IF(D36="","",IF(E36="","",H36*(1-Q36)*N36/8760*Berechnung!C28/INDEX(Berechnung!$F$75:$F$90,Berechnung!T28)*INDEX(Berechnung!$G$75:$G$90,Berechnung!T28)))</f>
        <v/>
      </c>
      <c r="S36" s="56" t="str">
        <f t="shared" si="0"/>
        <v/>
      </c>
    </row>
    <row r="37" spans="1:20" s="3" customFormat="1" ht="24" customHeight="1" x14ac:dyDescent="0.2">
      <c r="A37" s="3">
        <v>24</v>
      </c>
      <c r="B37" s="336"/>
      <c r="C37" s="200"/>
      <c r="D37" s="195"/>
      <c r="E37" s="55"/>
      <c r="F37" s="158"/>
      <c r="G37" s="55"/>
      <c r="H37" s="63">
        <f>IF(E37="",G37,IF(G37="",Berechnung!L29,IF(G37&lt;Berechnung!K29,Berechnung!K29,G37)))</f>
        <v>0</v>
      </c>
      <c r="I37" s="172"/>
      <c r="J37" s="163"/>
      <c r="K37" s="175">
        <f>Berechnung!P29</f>
        <v>0</v>
      </c>
      <c r="L37" s="67"/>
      <c r="M37" s="189"/>
      <c r="N37" s="56" t="str">
        <f>IF(D37="","",IF(E37="",MAX(Berechnung!F29,M37),IF(M37="",MIN(Berechnung!F29,8760),MIN(IF(M37&lt;Berechnung!G29,Berechnung!G29,M37),8760))))</f>
        <v/>
      </c>
      <c r="O37" s="192"/>
      <c r="P37" s="57"/>
      <c r="Q37" s="186">
        <f>Berechnung!S29</f>
        <v>0</v>
      </c>
      <c r="R37" s="56" t="str">
        <f>IF(D37="","",IF(E37="","",H37*(1-Q37)*N37/8760*Berechnung!C29/INDEX(Berechnung!$F$75:$F$90,Berechnung!T29)*INDEX(Berechnung!$G$75:$G$90,Berechnung!T29)))</f>
        <v/>
      </c>
      <c r="S37" s="56" t="str">
        <f t="shared" si="0"/>
        <v/>
      </c>
    </row>
    <row r="38" spans="1:20" s="3" customFormat="1" ht="24" customHeight="1" x14ac:dyDescent="0.2">
      <c r="A38" s="3">
        <v>25</v>
      </c>
      <c r="B38" s="336"/>
      <c r="C38" s="200"/>
      <c r="D38" s="195"/>
      <c r="E38" s="55"/>
      <c r="F38" s="158"/>
      <c r="G38" s="55"/>
      <c r="H38" s="63">
        <f>IF(E38="",G38,IF(G38="",Berechnung!L30,IF(G38&lt;Berechnung!K30,Berechnung!K30,G38)))</f>
        <v>0</v>
      </c>
      <c r="I38" s="172"/>
      <c r="J38" s="163"/>
      <c r="K38" s="175">
        <f>Berechnung!P30</f>
        <v>0</v>
      </c>
      <c r="L38" s="67"/>
      <c r="M38" s="189"/>
      <c r="N38" s="56" t="str">
        <f>IF(D38="","",IF(E38="",MAX(Berechnung!F30,M38),IF(M38="",MIN(Berechnung!F30,8760),MIN(IF(M38&lt;Berechnung!G30,Berechnung!G30,M38),8760))))</f>
        <v/>
      </c>
      <c r="O38" s="192"/>
      <c r="P38" s="57"/>
      <c r="Q38" s="186">
        <f>Berechnung!S30</f>
        <v>0</v>
      </c>
      <c r="R38" s="56" t="str">
        <f>IF(D38="","",IF(E38="","",H38*(1-Q38)*N38/8760*Berechnung!C30/INDEX(Berechnung!$F$75:$F$90,Berechnung!T30)*INDEX(Berechnung!$G$75:$G$90,Berechnung!T30)))</f>
        <v/>
      </c>
      <c r="S38" s="56" t="str">
        <f t="shared" si="0"/>
        <v/>
      </c>
    </row>
    <row r="39" spans="1:20" s="3" customFormat="1" ht="24" customHeight="1" x14ac:dyDescent="0.2">
      <c r="A39" s="3">
        <v>26</v>
      </c>
      <c r="B39" s="337"/>
      <c r="C39" s="201"/>
      <c r="D39" s="196"/>
      <c r="E39" s="161"/>
      <c r="F39" s="159"/>
      <c r="G39" s="59"/>
      <c r="H39" s="64">
        <f>IF(E39="",G39,IF(G39="",Berechnung!L31,IF(G39&lt;Berechnung!K31,Berechnung!K31,G39)))</f>
        <v>0</v>
      </c>
      <c r="I39" s="173"/>
      <c r="J39" s="164"/>
      <c r="K39" s="178">
        <f>Berechnung!P31</f>
        <v>0</v>
      </c>
      <c r="L39" s="233"/>
      <c r="M39" s="190"/>
      <c r="N39" s="65" t="str">
        <f>IF(D39="","",IF(E39="",MAX(Berechnung!F31,M39),IF(M39="",MIN(Berechnung!F31,8760),MIN(IF(M39&lt;Berechnung!G31,Berechnung!G31,M39),8760))))</f>
        <v/>
      </c>
      <c r="O39" s="193"/>
      <c r="P39" s="60"/>
      <c r="Q39" s="187">
        <f>Berechnung!S31</f>
        <v>0</v>
      </c>
      <c r="R39" s="65" t="str">
        <f>IF(D39="","",IF(E39="","",H39*(1-Q39)*N39/8760*Berechnung!C31/INDEX(Berechnung!$F$75:$F$90,Berechnung!T31)*INDEX(Berechnung!$G$75:$G$90,Berechnung!T31)))</f>
        <v/>
      </c>
      <c r="S39" s="65" t="str">
        <f t="shared" si="0"/>
        <v/>
      </c>
    </row>
    <row r="40" spans="1:20" s="340" customFormat="1" ht="15.95" customHeight="1" x14ac:dyDescent="0.2">
      <c r="B40" s="341" t="str">
        <f>Uebersetzung!D5</f>
        <v>Versione 2019.1 (1.31), valevole fino al 31.12.2022</v>
      </c>
      <c r="C40" s="342"/>
      <c r="D40" s="343"/>
      <c r="E40" s="344"/>
      <c r="F40" s="344"/>
      <c r="G40" s="344"/>
      <c r="H40" s="344"/>
      <c r="I40" s="344"/>
      <c r="J40" s="344"/>
      <c r="K40" s="344"/>
      <c r="L40" s="344"/>
      <c r="M40" s="345"/>
      <c r="N40" s="345"/>
      <c r="O40" s="344"/>
      <c r="P40" s="343"/>
      <c r="Q40" s="343"/>
      <c r="R40" s="346" t="str">
        <f ca="1">MID(CELL("Dateiname"),FIND("[",CELL("Dateiname"))+1,FIND("]",CELL("Dateiname"))-FIND("[",CELL("Dateiname"))-1)</f>
        <v>200305_Bedarfsberechnung_Lueftung_V2019.1_it.xlsx</v>
      </c>
      <c r="S40" s="347">
        <f ca="1">NOW()</f>
        <v>43895.655509259261</v>
      </c>
      <c r="T40" s="348"/>
    </row>
    <row r="41" spans="1:20" s="204" customFormat="1" ht="12.75" customHeight="1" x14ac:dyDescent="0.2">
      <c r="B41" s="205"/>
      <c r="C41" s="205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</row>
    <row r="42" spans="1:20" s="204" customFormat="1" ht="12.75" customHeight="1" x14ac:dyDescent="0.2">
      <c r="H42" s="18"/>
      <c r="L42" s="18"/>
      <c r="O42" s="202"/>
      <c r="P42" s="202"/>
      <c r="Q42" s="202"/>
      <c r="R42" s="202"/>
      <c r="S42" s="202"/>
      <c r="T42" s="207"/>
    </row>
    <row r="43" spans="1:20" s="21" customFormat="1" ht="12.75" customHeight="1" x14ac:dyDescent="0.2">
      <c r="B43" s="208"/>
      <c r="C43" s="208"/>
      <c r="E43" s="22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8"/>
      <c r="S43" s="18"/>
      <c r="T43" s="209"/>
    </row>
    <row r="44" spans="1:20" s="21" customFormat="1" ht="12.75" customHeight="1" x14ac:dyDescent="0.2">
      <c r="B44" s="208"/>
      <c r="C44" s="208"/>
      <c r="E44" s="22"/>
      <c r="F44" s="18"/>
      <c r="G44" s="18"/>
      <c r="H44" s="18"/>
      <c r="I44" s="18"/>
      <c r="J44" s="18"/>
      <c r="K44" s="18"/>
      <c r="L44" s="18"/>
      <c r="M44" s="18"/>
      <c r="N44" s="18"/>
      <c r="O44" s="18"/>
      <c r="R44" s="18"/>
      <c r="S44" s="203"/>
      <c r="T44" s="209"/>
    </row>
    <row r="45" spans="1:20" s="21" customFormat="1" ht="12.75" customHeight="1" x14ac:dyDescent="0.2">
      <c r="B45" s="208"/>
      <c r="C45" s="208"/>
      <c r="E45" s="22"/>
      <c r="F45" s="18"/>
      <c r="G45" s="18"/>
      <c r="H45" s="18"/>
      <c r="I45" s="18"/>
      <c r="J45" s="18"/>
      <c r="K45" s="18"/>
      <c r="L45" s="18"/>
      <c r="M45" s="18"/>
      <c r="N45" s="18"/>
      <c r="O45" s="18"/>
      <c r="R45" s="18"/>
      <c r="S45" s="203"/>
      <c r="T45" s="209"/>
    </row>
    <row r="46" spans="1:20" s="21" customFormat="1" ht="12.75" customHeight="1" x14ac:dyDescent="0.2">
      <c r="B46" s="208"/>
      <c r="C46" s="208"/>
      <c r="E46" s="22"/>
      <c r="F46" s="18"/>
      <c r="G46" s="18"/>
      <c r="H46" s="18"/>
      <c r="I46" s="18"/>
      <c r="J46" s="18"/>
      <c r="K46" s="18"/>
      <c r="L46" s="18"/>
      <c r="M46" s="18"/>
      <c r="N46" s="18"/>
      <c r="O46" s="18"/>
      <c r="R46" s="18"/>
      <c r="S46" s="203"/>
      <c r="T46" s="209"/>
    </row>
    <row r="47" spans="1:20" x14ac:dyDescent="0.2">
      <c r="S47" s="6"/>
    </row>
    <row r="52" spans="19:19" x14ac:dyDescent="0.2">
      <c r="S52" s="6"/>
    </row>
    <row r="53" spans="19:19" x14ac:dyDescent="0.2">
      <c r="S53" s="6"/>
    </row>
    <row r="54" spans="19:19" x14ac:dyDescent="0.2">
      <c r="S54" s="6"/>
    </row>
    <row r="55" spans="19:19" x14ac:dyDescent="0.2">
      <c r="S55" s="6"/>
    </row>
  </sheetData>
  <sheetProtection password="C616" sheet="1" objects="1" scenarios="1"/>
  <mergeCells count="5">
    <mergeCell ref="G11:H11"/>
    <mergeCell ref="M11:N11"/>
    <mergeCell ref="P11:Q11"/>
    <mergeCell ref="I11:K11"/>
    <mergeCell ref="D4:S4"/>
  </mergeCells>
  <phoneticPr fontId="12" type="noConversion"/>
  <conditionalFormatting sqref="D14:D39">
    <cfRule type="expression" dxfId="1" priority="1">
      <formula>AND(D14="",OR(B14&lt;&gt;"",C14&lt;&gt;"",E14&lt;&gt;"",F14&lt;&gt;"",G14&lt;&gt;"",J14&lt;&gt;"",L14&lt;&gt;"",O14&lt;&gt;""))</formula>
    </cfRule>
  </conditionalFormatting>
  <dataValidations xWindow="282" yWindow="575" count="7">
    <dataValidation errorStyle="information" allowBlank="1" showInputMessage="1" showErrorMessage="1" errorTitle="Vorgabe Luftmenge" error="Falls Luftmenge kleiner als Vorgabe, wird mit Vorgabe gerechnet" sqref="H14:H39 K14:K39" xr:uid="{00000000-0002-0000-0000-000000000000}"/>
    <dataValidation type="list" allowBlank="1" showInputMessage="1" showErrorMessage="1" sqref="D14:D39" xr:uid="{00000000-0002-0000-0000-000001000000}">
      <formula1>Nutzung</formula1>
    </dataValidation>
    <dataValidation type="list" allowBlank="1" showInputMessage="1" showErrorMessage="1" sqref="F14:F39" xr:uid="{00000000-0002-0000-0000-000002000000}">
      <formula1>Lüftungsart</formula1>
    </dataValidation>
    <dataValidation type="list" allowBlank="1" showInputMessage="1" showErrorMessage="1" sqref="O14:O39" xr:uid="{00000000-0002-0000-0000-000003000000}">
      <formula1>WRG</formula1>
    </dataValidation>
    <dataValidation type="list" allowBlank="1" showInputMessage="1" showErrorMessage="1" sqref="L14:L39" xr:uid="{00000000-0002-0000-0000-000004000000}">
      <formula1>Regelungsart</formula1>
    </dataValidation>
    <dataValidation type="list" allowBlank="1" showInputMessage="1" showErrorMessage="1" sqref="C14:C39" xr:uid="{00000000-0002-0000-0000-000005000000}">
      <formula1>JaNein</formula1>
    </dataValidation>
    <dataValidation type="list" allowBlank="1" showInputMessage="1" showErrorMessage="1" sqref="I14:I39" xr:uid="{00000000-0002-0000-0000-000006000000}">
      <formula1>ECAC</formula1>
    </dataValidation>
  </dataValidations>
  <pageMargins left="0.47244094488188981" right="0.31496062992125984" top="0.47244094488188981" bottom="0.19685039370078741" header="0.23622047244094491" footer="7.874015748031496E-2"/>
  <pageSetup paperSize="9" scale="10" pageOrder="overThenDown" orientation="landscape" r:id="rId1"/>
  <headerFooter scaleWithDoc="0" alignWithMargins="0">
    <oddHeader xml:space="preserve">&amp;R&amp;8  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4EAB2F8C-2487-45DD-ABE8-DB415942B7C4}">
            <xm:f>AND($D14&lt;&gt;"",$E14="",Berechnung!$C6=1)</xm:f>
            <x14:dxf>
              <fill>
                <patternFill>
                  <bgColor rgb="FFFFC000"/>
                </patternFill>
              </fill>
            </x14:dxf>
          </x14:cfRule>
          <xm:sqref>E14:E39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1:F419"/>
  <sheetViews>
    <sheetView workbookViewId="0">
      <pane xSplit="2" ySplit="3" topLeftCell="C11" activePane="bottomRight" state="frozen"/>
      <selection pane="topRight" activeCell="C1" sqref="C1"/>
      <selection pane="bottomLeft" activeCell="A4" sqref="A4"/>
      <selection pane="bottomRight" activeCell="D20" sqref="D20"/>
    </sheetView>
  </sheetViews>
  <sheetFormatPr baseColWidth="10" defaultColWidth="11.5703125" defaultRowHeight="12.75" x14ac:dyDescent="0.2"/>
  <cols>
    <col min="1" max="1" width="2.140625" style="8" customWidth="1"/>
    <col min="2" max="2" width="11.5703125" style="8"/>
    <col min="3" max="3" width="79.28515625" style="8" customWidth="1"/>
    <col min="4" max="4" width="76.140625" style="8" customWidth="1"/>
    <col min="5" max="5" width="11.5703125" style="283"/>
    <col min="6" max="6" width="11.42578125" style="283" customWidth="1"/>
    <col min="7" max="16384" width="11.5703125" style="8"/>
  </cols>
  <sheetData>
    <row r="1" spans="2:6" ht="26.1" customHeight="1" x14ac:dyDescent="0.25">
      <c r="B1" s="282" t="s">
        <v>318</v>
      </c>
    </row>
    <row r="3" spans="2:6" s="284" customFormat="1" ht="26.1" customHeight="1" x14ac:dyDescent="0.2">
      <c r="B3" s="284" t="s">
        <v>311</v>
      </c>
      <c r="C3" s="284" t="s">
        <v>312</v>
      </c>
      <c r="D3" s="284" t="s">
        <v>313</v>
      </c>
      <c r="E3" s="285" t="s">
        <v>314</v>
      </c>
      <c r="F3" s="285" t="s">
        <v>315</v>
      </c>
    </row>
    <row r="4" spans="2:6" ht="26.1" customHeight="1" x14ac:dyDescent="0.2">
      <c r="B4" s="286">
        <v>42602</v>
      </c>
      <c r="C4" s="287" t="s">
        <v>319</v>
      </c>
      <c r="D4" s="8" t="s">
        <v>320</v>
      </c>
      <c r="E4" s="288" t="s">
        <v>316</v>
      </c>
      <c r="F4" s="298" t="s">
        <v>317</v>
      </c>
    </row>
    <row r="5" spans="2:6" s="290" customFormat="1" ht="26.1" customHeight="1" x14ac:dyDescent="0.2">
      <c r="B5" s="289">
        <v>42651</v>
      </c>
      <c r="C5" s="290" t="s">
        <v>323</v>
      </c>
      <c r="D5" s="290" t="s">
        <v>324</v>
      </c>
      <c r="E5" s="288" t="s">
        <v>316</v>
      </c>
      <c r="F5" s="298">
        <v>1.1000000000000001</v>
      </c>
    </row>
    <row r="6" spans="2:6" s="290" customFormat="1" ht="26.1" customHeight="1" x14ac:dyDescent="0.2">
      <c r="B6" s="289">
        <v>42930</v>
      </c>
      <c r="C6" s="290" t="s">
        <v>328</v>
      </c>
      <c r="D6" s="290" t="s">
        <v>329</v>
      </c>
      <c r="E6" s="288" t="s">
        <v>330</v>
      </c>
      <c r="F6" s="283">
        <v>1.1000000000000001</v>
      </c>
    </row>
    <row r="7" spans="2:6" s="290" customFormat="1" ht="26.1" customHeight="1" x14ac:dyDescent="0.2">
      <c r="B7" s="289">
        <v>43122</v>
      </c>
      <c r="C7" s="291" t="s">
        <v>331</v>
      </c>
      <c r="D7" s="291" t="s">
        <v>332</v>
      </c>
      <c r="E7" s="288" t="s">
        <v>316</v>
      </c>
      <c r="F7" s="298">
        <v>1.2</v>
      </c>
    </row>
    <row r="8" spans="2:6" s="290" customFormat="1" ht="96" customHeight="1" x14ac:dyDescent="0.2">
      <c r="B8" s="289">
        <v>43421</v>
      </c>
      <c r="C8" s="331" t="s">
        <v>378</v>
      </c>
      <c r="D8" s="331" t="s">
        <v>348</v>
      </c>
      <c r="E8" s="288" t="s">
        <v>316</v>
      </c>
      <c r="F8" s="283">
        <v>1.3</v>
      </c>
    </row>
    <row r="9" spans="2:6" s="290" customFormat="1" ht="57" customHeight="1" x14ac:dyDescent="0.2">
      <c r="B9" s="289">
        <v>43421</v>
      </c>
      <c r="C9" s="331" t="s">
        <v>347</v>
      </c>
      <c r="D9" s="331" t="s">
        <v>349</v>
      </c>
      <c r="E9" s="288" t="s">
        <v>316</v>
      </c>
      <c r="F9" s="283">
        <v>1.3</v>
      </c>
    </row>
    <row r="10" spans="2:6" s="290" customFormat="1" ht="81.75" customHeight="1" x14ac:dyDescent="0.2">
      <c r="B10" s="289">
        <v>43421</v>
      </c>
      <c r="C10" s="331" t="s">
        <v>350</v>
      </c>
      <c r="D10" s="331" t="s">
        <v>351</v>
      </c>
      <c r="E10" s="288" t="s">
        <v>316</v>
      </c>
      <c r="F10" s="283">
        <v>1.3</v>
      </c>
    </row>
    <row r="11" spans="2:6" s="290" customFormat="1" ht="43.5" customHeight="1" x14ac:dyDescent="0.2">
      <c r="B11" s="289">
        <v>43421</v>
      </c>
      <c r="C11" s="331" t="s">
        <v>361</v>
      </c>
      <c r="D11" s="331" t="s">
        <v>360</v>
      </c>
      <c r="E11" s="288" t="s">
        <v>316</v>
      </c>
      <c r="F11" s="283">
        <v>1.3</v>
      </c>
    </row>
    <row r="12" spans="2:6" s="290" customFormat="1" ht="26.1" customHeight="1" x14ac:dyDescent="0.2">
      <c r="B12" s="289">
        <v>43421</v>
      </c>
      <c r="C12" s="331" t="s">
        <v>358</v>
      </c>
      <c r="D12" s="331" t="s">
        <v>359</v>
      </c>
      <c r="E12" s="288" t="s">
        <v>316</v>
      </c>
      <c r="F12" s="283">
        <v>1.3</v>
      </c>
    </row>
    <row r="13" spans="2:6" s="290" customFormat="1" ht="21.75" customHeight="1" x14ac:dyDescent="0.2">
      <c r="B13" s="289">
        <v>43421</v>
      </c>
      <c r="C13" s="331" t="s">
        <v>371</v>
      </c>
      <c r="D13" s="331" t="s">
        <v>372</v>
      </c>
      <c r="E13" s="288" t="s">
        <v>316</v>
      </c>
      <c r="F13" s="283">
        <v>1.3</v>
      </c>
    </row>
    <row r="14" spans="2:6" s="290" customFormat="1" ht="33.75" customHeight="1" x14ac:dyDescent="0.2">
      <c r="B14" s="289">
        <v>43421</v>
      </c>
      <c r="C14" s="331" t="s">
        <v>366</v>
      </c>
      <c r="D14" s="331" t="s">
        <v>365</v>
      </c>
      <c r="E14" s="288" t="s">
        <v>316</v>
      </c>
      <c r="F14" s="283">
        <v>1.3</v>
      </c>
    </row>
    <row r="15" spans="2:6" s="290" customFormat="1" ht="26.1" customHeight="1" x14ac:dyDescent="0.2">
      <c r="B15" s="289">
        <v>43421</v>
      </c>
      <c r="C15" s="331" t="s">
        <v>370</v>
      </c>
      <c r="D15" s="331" t="s">
        <v>369</v>
      </c>
      <c r="E15" s="288" t="s">
        <v>316</v>
      </c>
      <c r="F15" s="283">
        <v>1.3</v>
      </c>
    </row>
    <row r="16" spans="2:6" s="290" customFormat="1" ht="21.75" customHeight="1" x14ac:dyDescent="0.2">
      <c r="B16" s="289">
        <v>43421</v>
      </c>
      <c r="C16" s="331" t="s">
        <v>375</v>
      </c>
      <c r="D16" s="331" t="s">
        <v>376</v>
      </c>
      <c r="E16" s="288" t="s">
        <v>316</v>
      </c>
      <c r="F16" s="283">
        <v>1.3</v>
      </c>
    </row>
    <row r="17" spans="2:6" s="290" customFormat="1" ht="26.1" customHeight="1" x14ac:dyDescent="0.2">
      <c r="B17" s="289">
        <v>43421</v>
      </c>
      <c r="C17" s="331" t="s">
        <v>374</v>
      </c>
      <c r="D17" s="331" t="s">
        <v>373</v>
      </c>
      <c r="E17" s="288" t="s">
        <v>316</v>
      </c>
      <c r="F17" s="283">
        <v>1.3</v>
      </c>
    </row>
    <row r="18" spans="2:6" s="290" customFormat="1" ht="26.1" customHeight="1" x14ac:dyDescent="0.2">
      <c r="B18" s="289">
        <v>43488</v>
      </c>
      <c r="C18" s="331" t="s">
        <v>629</v>
      </c>
      <c r="D18" s="331" t="s">
        <v>630</v>
      </c>
      <c r="E18" s="293" t="s">
        <v>330</v>
      </c>
      <c r="F18" s="293">
        <v>1.31</v>
      </c>
    </row>
    <row r="19" spans="2:6" s="290" customFormat="1" ht="26.1" customHeight="1" x14ac:dyDescent="0.2">
      <c r="B19" s="289">
        <v>43895</v>
      </c>
      <c r="C19" s="331" t="s">
        <v>631</v>
      </c>
      <c r="D19" s="331" t="s">
        <v>633</v>
      </c>
      <c r="E19" s="293" t="s">
        <v>632</v>
      </c>
      <c r="F19" s="293">
        <v>1.31</v>
      </c>
    </row>
    <row r="20" spans="2:6" s="290" customFormat="1" ht="26.1" customHeight="1" x14ac:dyDescent="0.2">
      <c r="B20" s="289"/>
      <c r="D20" s="294"/>
      <c r="E20" s="293"/>
      <c r="F20" s="293"/>
    </row>
    <row r="21" spans="2:6" s="290" customFormat="1" ht="26.1" customHeight="1" x14ac:dyDescent="0.2">
      <c r="B21" s="289"/>
      <c r="E21" s="293"/>
      <c r="F21" s="293"/>
    </row>
    <row r="22" spans="2:6" s="290" customFormat="1" ht="26.1" customHeight="1" x14ac:dyDescent="0.2">
      <c r="B22" s="289"/>
      <c r="E22" s="293"/>
      <c r="F22" s="293"/>
    </row>
    <row r="23" spans="2:6" s="290" customFormat="1" ht="26.1" customHeight="1" x14ac:dyDescent="0.2">
      <c r="B23" s="289"/>
      <c r="E23" s="293"/>
      <c r="F23" s="293"/>
    </row>
    <row r="24" spans="2:6" s="290" customFormat="1" ht="26.1" customHeight="1" x14ac:dyDescent="0.2">
      <c r="B24" s="289"/>
      <c r="E24" s="293"/>
      <c r="F24" s="293"/>
    </row>
    <row r="25" spans="2:6" s="290" customFormat="1" ht="26.1" customHeight="1" x14ac:dyDescent="0.2">
      <c r="B25" s="289"/>
      <c r="E25" s="293"/>
      <c r="F25" s="293"/>
    </row>
    <row r="26" spans="2:6" s="290" customFormat="1" ht="26.1" customHeight="1" x14ac:dyDescent="0.2">
      <c r="B26" s="289"/>
      <c r="E26" s="293"/>
      <c r="F26" s="293"/>
    </row>
    <row r="27" spans="2:6" s="290" customFormat="1" ht="26.1" customHeight="1" x14ac:dyDescent="0.2">
      <c r="B27" s="289"/>
      <c r="E27" s="293"/>
      <c r="F27" s="293"/>
    </row>
    <row r="28" spans="2:6" s="290" customFormat="1" ht="26.1" customHeight="1" x14ac:dyDescent="0.2">
      <c r="B28" s="289"/>
      <c r="E28" s="293"/>
      <c r="F28" s="293"/>
    </row>
    <row r="29" spans="2:6" s="290" customFormat="1" ht="26.1" customHeight="1" x14ac:dyDescent="0.2">
      <c r="B29" s="289"/>
      <c r="E29" s="293"/>
      <c r="F29" s="293"/>
    </row>
    <row r="30" spans="2:6" s="290" customFormat="1" ht="26.1" customHeight="1" x14ac:dyDescent="0.2">
      <c r="B30" s="289"/>
      <c r="E30" s="293"/>
      <c r="F30" s="293"/>
    </row>
    <row r="31" spans="2:6" s="290" customFormat="1" ht="26.1" customHeight="1" x14ac:dyDescent="0.2">
      <c r="B31" s="289"/>
      <c r="E31" s="293"/>
      <c r="F31" s="293"/>
    </row>
    <row r="32" spans="2:6" s="290" customFormat="1" ht="26.1" customHeight="1" x14ac:dyDescent="0.2">
      <c r="B32" s="289"/>
      <c r="E32" s="293"/>
      <c r="F32" s="293"/>
    </row>
    <row r="33" spans="2:6" s="290" customFormat="1" ht="26.1" customHeight="1" x14ac:dyDescent="0.2">
      <c r="B33" s="289"/>
      <c r="E33" s="293"/>
      <c r="F33" s="293"/>
    </row>
    <row r="34" spans="2:6" s="290" customFormat="1" ht="26.1" customHeight="1" x14ac:dyDescent="0.2">
      <c r="B34" s="289"/>
      <c r="E34" s="293"/>
      <c r="F34" s="293"/>
    </row>
    <row r="35" spans="2:6" s="290" customFormat="1" ht="26.1" customHeight="1" x14ac:dyDescent="0.2">
      <c r="B35" s="289"/>
      <c r="E35" s="293"/>
      <c r="F35" s="293"/>
    </row>
    <row r="36" spans="2:6" s="290" customFormat="1" ht="26.1" customHeight="1" x14ac:dyDescent="0.2">
      <c r="B36" s="289"/>
      <c r="E36" s="293"/>
      <c r="F36" s="293"/>
    </row>
    <row r="37" spans="2:6" s="290" customFormat="1" ht="26.1" customHeight="1" x14ac:dyDescent="0.2">
      <c r="B37" s="289"/>
      <c r="E37" s="293"/>
      <c r="F37" s="293"/>
    </row>
    <row r="38" spans="2:6" s="290" customFormat="1" ht="26.1" customHeight="1" x14ac:dyDescent="0.2">
      <c r="B38" s="289"/>
      <c r="E38" s="293"/>
      <c r="F38" s="293"/>
    </row>
    <row r="39" spans="2:6" s="290" customFormat="1" ht="26.1" customHeight="1" x14ac:dyDescent="0.2">
      <c r="B39" s="289"/>
      <c r="E39" s="293"/>
      <c r="F39" s="293"/>
    </row>
    <row r="40" spans="2:6" s="290" customFormat="1" ht="26.1" customHeight="1" x14ac:dyDescent="0.2">
      <c r="B40" s="289"/>
      <c r="E40" s="293"/>
      <c r="F40" s="293"/>
    </row>
    <row r="41" spans="2:6" s="290" customFormat="1" ht="26.1" customHeight="1" x14ac:dyDescent="0.2">
      <c r="B41" s="289"/>
      <c r="E41" s="293"/>
      <c r="F41" s="293"/>
    </row>
    <row r="42" spans="2:6" s="290" customFormat="1" ht="26.1" customHeight="1" x14ac:dyDescent="0.2">
      <c r="B42" s="289"/>
      <c r="E42" s="293"/>
      <c r="F42" s="293"/>
    </row>
    <row r="43" spans="2:6" s="290" customFormat="1" ht="26.1" customHeight="1" x14ac:dyDescent="0.2">
      <c r="B43" s="289"/>
      <c r="E43" s="293"/>
      <c r="F43" s="293"/>
    </row>
    <row r="44" spans="2:6" s="290" customFormat="1" ht="26.1" customHeight="1" x14ac:dyDescent="0.2">
      <c r="B44" s="289"/>
      <c r="E44" s="293"/>
      <c r="F44" s="293"/>
    </row>
    <row r="45" spans="2:6" s="290" customFormat="1" ht="26.1" customHeight="1" x14ac:dyDescent="0.2">
      <c r="B45" s="289"/>
      <c r="E45" s="293"/>
      <c r="F45" s="293"/>
    </row>
    <row r="46" spans="2:6" s="290" customFormat="1" ht="26.1" customHeight="1" x14ac:dyDescent="0.2">
      <c r="B46" s="289"/>
      <c r="E46" s="293"/>
      <c r="F46" s="293"/>
    </row>
    <row r="47" spans="2:6" s="290" customFormat="1" ht="26.1" customHeight="1" x14ac:dyDescent="0.2">
      <c r="B47" s="289"/>
      <c r="E47" s="293"/>
      <c r="F47" s="293"/>
    </row>
    <row r="48" spans="2:6" s="290" customFormat="1" ht="26.1" customHeight="1" x14ac:dyDescent="0.2">
      <c r="B48" s="289"/>
      <c r="E48" s="293"/>
      <c r="F48" s="293"/>
    </row>
    <row r="49" spans="2:6" s="290" customFormat="1" ht="26.1" customHeight="1" x14ac:dyDescent="0.2">
      <c r="B49" s="289"/>
      <c r="E49" s="293"/>
      <c r="F49" s="293"/>
    </row>
    <row r="50" spans="2:6" s="290" customFormat="1" ht="26.1" customHeight="1" x14ac:dyDescent="0.2">
      <c r="B50" s="289"/>
      <c r="E50" s="293"/>
      <c r="F50" s="293"/>
    </row>
    <row r="51" spans="2:6" s="290" customFormat="1" ht="26.1" customHeight="1" x14ac:dyDescent="0.2">
      <c r="B51" s="289"/>
      <c r="E51" s="293"/>
      <c r="F51" s="293"/>
    </row>
    <row r="52" spans="2:6" s="290" customFormat="1" ht="26.1" customHeight="1" x14ac:dyDescent="0.2">
      <c r="B52" s="289"/>
      <c r="E52" s="293"/>
      <c r="F52" s="293"/>
    </row>
    <row r="53" spans="2:6" s="290" customFormat="1" ht="26.1" customHeight="1" x14ac:dyDescent="0.2">
      <c r="B53" s="289"/>
      <c r="E53" s="293"/>
      <c r="F53" s="293"/>
    </row>
    <row r="54" spans="2:6" s="290" customFormat="1" ht="26.1" customHeight="1" x14ac:dyDescent="0.2">
      <c r="B54" s="289"/>
      <c r="E54" s="293"/>
      <c r="F54" s="293"/>
    </row>
    <row r="55" spans="2:6" s="290" customFormat="1" ht="26.1" customHeight="1" x14ac:dyDescent="0.2">
      <c r="B55" s="289"/>
      <c r="E55" s="293"/>
      <c r="F55" s="293"/>
    </row>
    <row r="56" spans="2:6" s="290" customFormat="1" ht="26.1" customHeight="1" x14ac:dyDescent="0.2">
      <c r="B56" s="289"/>
      <c r="E56" s="293"/>
      <c r="F56" s="293"/>
    </row>
    <row r="57" spans="2:6" s="290" customFormat="1" ht="26.1" customHeight="1" x14ac:dyDescent="0.2">
      <c r="B57" s="289"/>
      <c r="E57" s="293"/>
      <c r="F57" s="293"/>
    </row>
    <row r="58" spans="2:6" s="290" customFormat="1" ht="26.1" customHeight="1" x14ac:dyDescent="0.2">
      <c r="B58" s="289"/>
      <c r="E58" s="293"/>
      <c r="F58" s="293"/>
    </row>
    <row r="59" spans="2:6" s="290" customFormat="1" ht="26.1" customHeight="1" x14ac:dyDescent="0.2">
      <c r="B59" s="289"/>
      <c r="E59" s="293"/>
      <c r="F59" s="293"/>
    </row>
    <row r="60" spans="2:6" s="290" customFormat="1" ht="26.1" customHeight="1" x14ac:dyDescent="0.2">
      <c r="B60" s="289"/>
      <c r="E60" s="293"/>
      <c r="F60" s="293"/>
    </row>
    <row r="61" spans="2:6" s="290" customFormat="1" ht="26.1" customHeight="1" x14ac:dyDescent="0.2">
      <c r="B61" s="289"/>
      <c r="E61" s="293"/>
      <c r="F61" s="293"/>
    </row>
    <row r="62" spans="2:6" s="290" customFormat="1" ht="26.1" customHeight="1" x14ac:dyDescent="0.2">
      <c r="B62" s="289"/>
      <c r="E62" s="293"/>
      <c r="F62" s="293"/>
    </row>
    <row r="63" spans="2:6" s="290" customFormat="1" ht="26.1" customHeight="1" x14ac:dyDescent="0.2">
      <c r="B63" s="289"/>
      <c r="E63" s="293"/>
      <c r="F63" s="293"/>
    </row>
    <row r="64" spans="2:6" s="290" customFormat="1" ht="26.1" customHeight="1" x14ac:dyDescent="0.2">
      <c r="B64" s="289"/>
      <c r="E64" s="293"/>
      <c r="F64" s="293"/>
    </row>
    <row r="65" spans="2:6" s="290" customFormat="1" ht="26.1" customHeight="1" x14ac:dyDescent="0.2">
      <c r="B65" s="289"/>
      <c r="E65" s="293"/>
      <c r="F65" s="293"/>
    </row>
    <row r="66" spans="2:6" s="290" customFormat="1" ht="26.1" customHeight="1" x14ac:dyDescent="0.2">
      <c r="B66" s="289"/>
      <c r="E66" s="293"/>
      <c r="F66" s="293"/>
    </row>
    <row r="67" spans="2:6" s="290" customFormat="1" ht="26.1" customHeight="1" x14ac:dyDescent="0.2">
      <c r="B67" s="289"/>
      <c r="E67" s="293"/>
      <c r="F67" s="293"/>
    </row>
    <row r="68" spans="2:6" s="290" customFormat="1" ht="26.1" customHeight="1" x14ac:dyDescent="0.2">
      <c r="B68" s="289"/>
      <c r="E68" s="293"/>
      <c r="F68" s="293"/>
    </row>
    <row r="69" spans="2:6" s="290" customFormat="1" ht="26.1" customHeight="1" x14ac:dyDescent="0.2">
      <c r="B69" s="289"/>
      <c r="E69" s="293"/>
      <c r="F69" s="293"/>
    </row>
    <row r="70" spans="2:6" s="290" customFormat="1" ht="26.1" customHeight="1" x14ac:dyDescent="0.2">
      <c r="B70" s="289"/>
      <c r="E70" s="293"/>
      <c r="F70" s="293"/>
    </row>
    <row r="71" spans="2:6" s="290" customFormat="1" ht="26.1" customHeight="1" x14ac:dyDescent="0.2">
      <c r="B71" s="289"/>
      <c r="E71" s="293"/>
      <c r="F71" s="293"/>
    </row>
    <row r="72" spans="2:6" s="290" customFormat="1" ht="26.1" customHeight="1" x14ac:dyDescent="0.2">
      <c r="B72" s="289"/>
      <c r="E72" s="293"/>
      <c r="F72" s="293"/>
    </row>
    <row r="73" spans="2:6" s="290" customFormat="1" ht="26.1" customHeight="1" x14ac:dyDescent="0.2">
      <c r="B73" s="289"/>
      <c r="E73" s="293"/>
      <c r="F73" s="293"/>
    </row>
    <row r="74" spans="2:6" s="290" customFormat="1" ht="26.1" customHeight="1" x14ac:dyDescent="0.2">
      <c r="B74" s="289"/>
      <c r="E74" s="293"/>
      <c r="F74" s="293"/>
    </row>
    <row r="75" spans="2:6" s="290" customFormat="1" ht="26.1" customHeight="1" x14ac:dyDescent="0.2">
      <c r="B75" s="289"/>
      <c r="E75" s="293"/>
      <c r="F75" s="293"/>
    </row>
    <row r="76" spans="2:6" s="290" customFormat="1" ht="26.1" customHeight="1" x14ac:dyDescent="0.2">
      <c r="B76" s="289"/>
      <c r="E76" s="293"/>
      <c r="F76" s="293"/>
    </row>
    <row r="77" spans="2:6" s="290" customFormat="1" ht="26.1" customHeight="1" x14ac:dyDescent="0.2">
      <c r="B77" s="289"/>
      <c r="E77" s="293"/>
      <c r="F77" s="293"/>
    </row>
    <row r="78" spans="2:6" s="290" customFormat="1" ht="26.1" customHeight="1" x14ac:dyDescent="0.2">
      <c r="B78" s="289"/>
      <c r="E78" s="293"/>
      <c r="F78" s="293"/>
    </row>
    <row r="79" spans="2:6" s="290" customFormat="1" ht="26.1" customHeight="1" x14ac:dyDescent="0.2">
      <c r="B79" s="289"/>
      <c r="E79" s="293"/>
      <c r="F79" s="293"/>
    </row>
    <row r="80" spans="2:6" s="290" customFormat="1" ht="26.1" customHeight="1" x14ac:dyDescent="0.2">
      <c r="B80" s="289"/>
      <c r="E80" s="293"/>
      <c r="F80" s="293"/>
    </row>
    <row r="81" spans="2:6" s="290" customFormat="1" ht="26.1" customHeight="1" x14ac:dyDescent="0.2">
      <c r="B81" s="289"/>
      <c r="E81" s="293"/>
      <c r="F81" s="293"/>
    </row>
    <row r="82" spans="2:6" s="290" customFormat="1" ht="26.1" customHeight="1" x14ac:dyDescent="0.2">
      <c r="B82" s="289"/>
      <c r="E82" s="293"/>
      <c r="F82" s="293"/>
    </row>
    <row r="83" spans="2:6" s="290" customFormat="1" ht="26.1" customHeight="1" x14ac:dyDescent="0.2">
      <c r="B83" s="289"/>
      <c r="E83" s="293"/>
      <c r="F83" s="293"/>
    </row>
    <row r="84" spans="2:6" s="290" customFormat="1" ht="26.1" customHeight="1" x14ac:dyDescent="0.2">
      <c r="B84" s="289"/>
      <c r="E84" s="293"/>
      <c r="F84" s="293"/>
    </row>
    <row r="85" spans="2:6" s="290" customFormat="1" ht="26.1" customHeight="1" x14ac:dyDescent="0.2">
      <c r="B85" s="289"/>
      <c r="E85" s="293"/>
      <c r="F85" s="293"/>
    </row>
    <row r="86" spans="2:6" s="290" customFormat="1" ht="26.1" customHeight="1" x14ac:dyDescent="0.2">
      <c r="B86" s="289"/>
      <c r="E86" s="293"/>
      <c r="F86" s="293"/>
    </row>
    <row r="87" spans="2:6" s="290" customFormat="1" ht="26.1" customHeight="1" x14ac:dyDescent="0.2">
      <c r="B87" s="289"/>
      <c r="E87" s="293"/>
      <c r="F87" s="293"/>
    </row>
    <row r="88" spans="2:6" s="290" customFormat="1" ht="26.1" customHeight="1" x14ac:dyDescent="0.2">
      <c r="B88" s="289"/>
      <c r="E88" s="293"/>
      <c r="F88" s="293"/>
    </row>
    <row r="89" spans="2:6" s="290" customFormat="1" ht="26.1" customHeight="1" x14ac:dyDescent="0.2">
      <c r="B89" s="289"/>
      <c r="E89" s="293"/>
      <c r="F89" s="293"/>
    </row>
    <row r="90" spans="2:6" s="290" customFormat="1" ht="26.1" customHeight="1" x14ac:dyDescent="0.2">
      <c r="B90" s="289"/>
      <c r="E90" s="293"/>
      <c r="F90" s="293"/>
    </row>
    <row r="91" spans="2:6" s="290" customFormat="1" ht="26.1" customHeight="1" x14ac:dyDescent="0.2">
      <c r="B91" s="289"/>
      <c r="E91" s="293"/>
      <c r="F91" s="293"/>
    </row>
    <row r="92" spans="2:6" s="290" customFormat="1" ht="26.1" customHeight="1" x14ac:dyDescent="0.2">
      <c r="B92" s="289"/>
      <c r="E92" s="293"/>
      <c r="F92" s="293"/>
    </row>
    <row r="93" spans="2:6" s="290" customFormat="1" ht="26.1" customHeight="1" x14ac:dyDescent="0.2">
      <c r="B93" s="289"/>
      <c r="E93" s="293"/>
      <c r="F93" s="293"/>
    </row>
    <row r="94" spans="2:6" s="290" customFormat="1" ht="26.1" customHeight="1" x14ac:dyDescent="0.2">
      <c r="B94" s="289"/>
      <c r="E94" s="293"/>
      <c r="F94" s="293"/>
    </row>
    <row r="95" spans="2:6" s="290" customFormat="1" ht="26.1" customHeight="1" x14ac:dyDescent="0.2">
      <c r="B95" s="289"/>
      <c r="E95" s="293"/>
      <c r="F95" s="293"/>
    </row>
    <row r="96" spans="2:6" s="290" customFormat="1" ht="26.1" customHeight="1" x14ac:dyDescent="0.2">
      <c r="B96" s="289"/>
      <c r="E96" s="293"/>
      <c r="F96" s="293"/>
    </row>
    <row r="97" spans="2:6" s="290" customFormat="1" ht="26.1" customHeight="1" x14ac:dyDescent="0.2">
      <c r="B97" s="289"/>
      <c r="E97" s="293"/>
      <c r="F97" s="293"/>
    </row>
    <row r="98" spans="2:6" s="290" customFormat="1" ht="26.1" customHeight="1" x14ac:dyDescent="0.2">
      <c r="B98" s="289"/>
      <c r="E98" s="293"/>
      <c r="F98" s="293"/>
    </row>
    <row r="99" spans="2:6" s="290" customFormat="1" ht="26.1" customHeight="1" x14ac:dyDescent="0.2">
      <c r="B99" s="289"/>
      <c r="E99" s="293"/>
      <c r="F99" s="293"/>
    </row>
    <row r="100" spans="2:6" s="290" customFormat="1" ht="26.1" customHeight="1" x14ac:dyDescent="0.2">
      <c r="B100" s="289"/>
      <c r="E100" s="293"/>
      <c r="F100" s="293"/>
    </row>
    <row r="101" spans="2:6" s="290" customFormat="1" ht="26.1" customHeight="1" x14ac:dyDescent="0.2">
      <c r="B101" s="289"/>
      <c r="E101" s="293"/>
      <c r="F101" s="293"/>
    </row>
    <row r="102" spans="2:6" s="290" customFormat="1" ht="26.1" customHeight="1" x14ac:dyDescent="0.2">
      <c r="B102" s="289"/>
      <c r="E102" s="293"/>
      <c r="F102" s="293"/>
    </row>
    <row r="103" spans="2:6" s="290" customFormat="1" ht="26.1" customHeight="1" x14ac:dyDescent="0.2">
      <c r="B103" s="289"/>
      <c r="E103" s="293"/>
      <c r="F103" s="293"/>
    </row>
    <row r="104" spans="2:6" s="290" customFormat="1" ht="26.1" customHeight="1" x14ac:dyDescent="0.2">
      <c r="B104" s="289"/>
      <c r="E104" s="293"/>
      <c r="F104" s="293"/>
    </row>
    <row r="105" spans="2:6" s="290" customFormat="1" ht="26.1" customHeight="1" x14ac:dyDescent="0.2">
      <c r="B105" s="289"/>
      <c r="E105" s="293"/>
      <c r="F105" s="293"/>
    </row>
    <row r="106" spans="2:6" s="290" customFormat="1" ht="26.1" customHeight="1" x14ac:dyDescent="0.2">
      <c r="B106" s="289"/>
      <c r="E106" s="293"/>
      <c r="F106" s="293"/>
    </row>
    <row r="107" spans="2:6" s="290" customFormat="1" ht="26.1" customHeight="1" x14ac:dyDescent="0.2">
      <c r="B107" s="289"/>
      <c r="E107" s="293"/>
      <c r="F107" s="293"/>
    </row>
    <row r="108" spans="2:6" s="290" customFormat="1" ht="26.1" customHeight="1" x14ac:dyDescent="0.2">
      <c r="B108" s="289"/>
      <c r="E108" s="293"/>
      <c r="F108" s="293"/>
    </row>
    <row r="109" spans="2:6" s="290" customFormat="1" ht="26.1" customHeight="1" x14ac:dyDescent="0.2">
      <c r="B109" s="289"/>
      <c r="E109" s="293"/>
      <c r="F109" s="293"/>
    </row>
    <row r="110" spans="2:6" s="290" customFormat="1" ht="26.1" customHeight="1" x14ac:dyDescent="0.2">
      <c r="B110" s="289"/>
      <c r="E110" s="293"/>
      <c r="F110" s="293"/>
    </row>
    <row r="111" spans="2:6" s="290" customFormat="1" ht="26.1" customHeight="1" x14ac:dyDescent="0.2">
      <c r="B111" s="289"/>
      <c r="E111" s="293"/>
      <c r="F111" s="293"/>
    </row>
    <row r="112" spans="2:6" s="290" customFormat="1" ht="26.1" customHeight="1" x14ac:dyDescent="0.2">
      <c r="B112" s="289"/>
      <c r="E112" s="293"/>
      <c r="F112" s="293"/>
    </row>
    <row r="113" spans="2:6" s="290" customFormat="1" ht="26.1" customHeight="1" x14ac:dyDescent="0.2">
      <c r="B113" s="289"/>
      <c r="E113" s="293"/>
      <c r="F113" s="293"/>
    </row>
    <row r="114" spans="2:6" s="290" customFormat="1" ht="26.1" customHeight="1" x14ac:dyDescent="0.2">
      <c r="B114" s="289"/>
      <c r="E114" s="293"/>
      <c r="F114" s="293"/>
    </row>
    <row r="115" spans="2:6" s="290" customFormat="1" ht="26.1" customHeight="1" x14ac:dyDescent="0.2">
      <c r="B115" s="289"/>
      <c r="E115" s="293"/>
      <c r="F115" s="293"/>
    </row>
    <row r="116" spans="2:6" s="290" customFormat="1" ht="26.1" customHeight="1" x14ac:dyDescent="0.2">
      <c r="B116" s="289"/>
      <c r="E116" s="293"/>
      <c r="F116" s="293"/>
    </row>
    <row r="117" spans="2:6" s="290" customFormat="1" ht="26.1" customHeight="1" x14ac:dyDescent="0.2">
      <c r="B117" s="289"/>
      <c r="E117" s="293"/>
      <c r="F117" s="293"/>
    </row>
    <row r="118" spans="2:6" s="290" customFormat="1" ht="26.1" customHeight="1" x14ac:dyDescent="0.2">
      <c r="B118" s="289"/>
      <c r="E118" s="293"/>
      <c r="F118" s="293"/>
    </row>
    <row r="119" spans="2:6" s="290" customFormat="1" ht="26.1" customHeight="1" x14ac:dyDescent="0.2">
      <c r="B119" s="289"/>
      <c r="E119" s="293"/>
      <c r="F119" s="293"/>
    </row>
    <row r="120" spans="2:6" s="290" customFormat="1" ht="26.1" customHeight="1" x14ac:dyDescent="0.2">
      <c r="B120" s="289"/>
      <c r="E120" s="293"/>
      <c r="F120" s="293"/>
    </row>
    <row r="121" spans="2:6" s="290" customFormat="1" ht="26.1" customHeight="1" x14ac:dyDescent="0.2">
      <c r="B121" s="289"/>
      <c r="E121" s="293"/>
      <c r="F121" s="293"/>
    </row>
    <row r="122" spans="2:6" s="290" customFormat="1" ht="26.1" customHeight="1" x14ac:dyDescent="0.2">
      <c r="B122" s="289"/>
      <c r="E122" s="293"/>
      <c r="F122" s="293"/>
    </row>
    <row r="123" spans="2:6" s="290" customFormat="1" ht="26.1" customHeight="1" x14ac:dyDescent="0.2">
      <c r="B123" s="289"/>
      <c r="E123" s="293"/>
      <c r="F123" s="293"/>
    </row>
    <row r="124" spans="2:6" s="290" customFormat="1" ht="26.1" customHeight="1" x14ac:dyDescent="0.2">
      <c r="B124" s="289"/>
      <c r="E124" s="293"/>
      <c r="F124" s="293"/>
    </row>
    <row r="125" spans="2:6" s="290" customFormat="1" ht="26.1" customHeight="1" x14ac:dyDescent="0.2">
      <c r="B125" s="289"/>
      <c r="E125" s="293"/>
      <c r="F125" s="293"/>
    </row>
    <row r="126" spans="2:6" s="290" customFormat="1" ht="26.1" customHeight="1" x14ac:dyDescent="0.2">
      <c r="B126" s="289"/>
      <c r="E126" s="293"/>
      <c r="F126" s="293"/>
    </row>
    <row r="127" spans="2:6" s="290" customFormat="1" ht="26.1" customHeight="1" x14ac:dyDescent="0.2">
      <c r="B127" s="289"/>
      <c r="E127" s="293"/>
      <c r="F127" s="293"/>
    </row>
    <row r="128" spans="2:6" s="290" customFormat="1" ht="26.1" customHeight="1" x14ac:dyDescent="0.2">
      <c r="B128" s="289"/>
      <c r="E128" s="293"/>
      <c r="F128" s="293"/>
    </row>
    <row r="129" spans="2:6" s="290" customFormat="1" ht="26.1" customHeight="1" x14ac:dyDescent="0.2">
      <c r="B129" s="289"/>
      <c r="E129" s="293"/>
      <c r="F129" s="293"/>
    </row>
    <row r="130" spans="2:6" s="290" customFormat="1" ht="26.1" customHeight="1" x14ac:dyDescent="0.2">
      <c r="B130" s="289"/>
      <c r="E130" s="293"/>
      <c r="F130" s="293"/>
    </row>
    <row r="131" spans="2:6" s="290" customFormat="1" ht="26.1" customHeight="1" x14ac:dyDescent="0.2">
      <c r="B131" s="289"/>
      <c r="E131" s="293"/>
      <c r="F131" s="293"/>
    </row>
    <row r="132" spans="2:6" s="290" customFormat="1" ht="26.1" customHeight="1" x14ac:dyDescent="0.2">
      <c r="B132" s="289"/>
      <c r="E132" s="293"/>
      <c r="F132" s="293"/>
    </row>
    <row r="133" spans="2:6" s="290" customFormat="1" ht="26.1" customHeight="1" x14ac:dyDescent="0.2">
      <c r="B133" s="289"/>
      <c r="E133" s="293"/>
      <c r="F133" s="293"/>
    </row>
    <row r="134" spans="2:6" s="290" customFormat="1" ht="26.1" customHeight="1" x14ac:dyDescent="0.2">
      <c r="B134" s="289"/>
      <c r="E134" s="293"/>
      <c r="F134" s="293"/>
    </row>
    <row r="135" spans="2:6" s="290" customFormat="1" ht="26.1" customHeight="1" x14ac:dyDescent="0.2">
      <c r="B135" s="289"/>
      <c r="E135" s="293"/>
      <c r="F135" s="293"/>
    </row>
    <row r="136" spans="2:6" s="290" customFormat="1" ht="26.1" customHeight="1" x14ac:dyDescent="0.2">
      <c r="B136" s="289"/>
      <c r="E136" s="293"/>
      <c r="F136" s="293"/>
    </row>
    <row r="137" spans="2:6" s="290" customFormat="1" ht="26.1" customHeight="1" x14ac:dyDescent="0.2">
      <c r="B137" s="289"/>
      <c r="E137" s="293"/>
      <c r="F137" s="293"/>
    </row>
    <row r="138" spans="2:6" s="290" customFormat="1" ht="26.1" customHeight="1" x14ac:dyDescent="0.2">
      <c r="B138" s="289"/>
      <c r="E138" s="293"/>
      <c r="F138" s="293"/>
    </row>
    <row r="139" spans="2:6" s="290" customFormat="1" ht="26.1" customHeight="1" x14ac:dyDescent="0.2">
      <c r="B139" s="289"/>
      <c r="E139" s="293"/>
      <c r="F139" s="293"/>
    </row>
    <row r="140" spans="2:6" s="290" customFormat="1" ht="26.1" customHeight="1" x14ac:dyDescent="0.2">
      <c r="B140" s="289"/>
      <c r="E140" s="293"/>
      <c r="F140" s="293"/>
    </row>
    <row r="141" spans="2:6" s="290" customFormat="1" ht="26.1" customHeight="1" x14ac:dyDescent="0.2">
      <c r="B141" s="289"/>
      <c r="E141" s="293"/>
      <c r="F141" s="293"/>
    </row>
    <row r="142" spans="2:6" s="290" customFormat="1" ht="26.1" customHeight="1" x14ac:dyDescent="0.2">
      <c r="B142" s="289"/>
      <c r="E142" s="293"/>
      <c r="F142" s="293"/>
    </row>
    <row r="143" spans="2:6" s="290" customFormat="1" ht="26.1" customHeight="1" x14ac:dyDescent="0.2">
      <c r="B143" s="289"/>
      <c r="E143" s="293"/>
      <c r="F143" s="293"/>
    </row>
    <row r="144" spans="2:6" s="290" customFormat="1" ht="26.1" customHeight="1" x14ac:dyDescent="0.2">
      <c r="B144" s="289"/>
      <c r="E144" s="293"/>
      <c r="F144" s="293"/>
    </row>
    <row r="145" spans="2:6" s="290" customFormat="1" ht="26.1" customHeight="1" x14ac:dyDescent="0.2">
      <c r="B145" s="289"/>
      <c r="E145" s="293"/>
      <c r="F145" s="293"/>
    </row>
    <row r="146" spans="2:6" s="290" customFormat="1" ht="26.1" customHeight="1" x14ac:dyDescent="0.2">
      <c r="B146" s="289"/>
      <c r="E146" s="293"/>
      <c r="F146" s="293"/>
    </row>
    <row r="147" spans="2:6" s="290" customFormat="1" ht="26.1" customHeight="1" x14ac:dyDescent="0.2">
      <c r="B147" s="289"/>
      <c r="E147" s="293"/>
      <c r="F147" s="293"/>
    </row>
    <row r="148" spans="2:6" s="290" customFormat="1" ht="26.1" customHeight="1" x14ac:dyDescent="0.2">
      <c r="B148" s="289"/>
      <c r="E148" s="293"/>
      <c r="F148" s="293"/>
    </row>
    <row r="149" spans="2:6" s="290" customFormat="1" ht="26.1" customHeight="1" x14ac:dyDescent="0.2">
      <c r="B149" s="289"/>
      <c r="E149" s="293"/>
      <c r="F149" s="293"/>
    </row>
    <row r="150" spans="2:6" s="290" customFormat="1" ht="26.1" customHeight="1" x14ac:dyDescent="0.2">
      <c r="B150" s="289"/>
      <c r="E150" s="293"/>
      <c r="F150" s="293"/>
    </row>
    <row r="151" spans="2:6" s="290" customFormat="1" ht="26.1" customHeight="1" x14ac:dyDescent="0.2">
      <c r="B151" s="289"/>
      <c r="E151" s="293"/>
      <c r="F151" s="293"/>
    </row>
    <row r="152" spans="2:6" s="290" customFormat="1" ht="26.1" customHeight="1" x14ac:dyDescent="0.2">
      <c r="B152" s="289"/>
      <c r="E152" s="293"/>
      <c r="F152" s="293"/>
    </row>
    <row r="153" spans="2:6" s="290" customFormat="1" ht="26.1" customHeight="1" x14ac:dyDescent="0.2">
      <c r="B153" s="289"/>
      <c r="E153" s="293"/>
      <c r="F153" s="293"/>
    </row>
    <row r="154" spans="2:6" s="290" customFormat="1" ht="26.1" customHeight="1" x14ac:dyDescent="0.2">
      <c r="B154" s="289"/>
      <c r="E154" s="293"/>
      <c r="F154" s="293"/>
    </row>
    <row r="155" spans="2:6" s="290" customFormat="1" ht="26.1" customHeight="1" x14ac:dyDescent="0.2">
      <c r="B155" s="289"/>
      <c r="E155" s="293"/>
      <c r="F155" s="293"/>
    </row>
    <row r="156" spans="2:6" s="290" customFormat="1" ht="26.1" customHeight="1" x14ac:dyDescent="0.2">
      <c r="B156" s="289"/>
      <c r="E156" s="293"/>
      <c r="F156" s="293"/>
    </row>
    <row r="157" spans="2:6" s="290" customFormat="1" ht="26.1" customHeight="1" x14ac:dyDescent="0.2">
      <c r="B157" s="289"/>
      <c r="E157" s="293"/>
      <c r="F157" s="293"/>
    </row>
    <row r="158" spans="2:6" s="290" customFormat="1" ht="26.1" customHeight="1" x14ac:dyDescent="0.2">
      <c r="B158" s="289"/>
      <c r="E158" s="293"/>
      <c r="F158" s="293"/>
    </row>
    <row r="159" spans="2:6" s="290" customFormat="1" ht="26.1" customHeight="1" x14ac:dyDescent="0.2">
      <c r="B159" s="289"/>
      <c r="E159" s="293"/>
      <c r="F159" s="293"/>
    </row>
    <row r="160" spans="2:6" s="290" customFormat="1" ht="26.1" customHeight="1" x14ac:dyDescent="0.2">
      <c r="B160" s="289"/>
      <c r="E160" s="293"/>
      <c r="F160" s="293"/>
    </row>
    <row r="161" spans="2:6" s="290" customFormat="1" ht="26.1" customHeight="1" x14ac:dyDescent="0.2">
      <c r="B161" s="289"/>
      <c r="E161" s="293"/>
      <c r="F161" s="293"/>
    </row>
    <row r="162" spans="2:6" s="290" customFormat="1" ht="26.1" customHeight="1" x14ac:dyDescent="0.2">
      <c r="B162" s="289"/>
      <c r="E162" s="293"/>
      <c r="F162" s="293"/>
    </row>
    <row r="163" spans="2:6" s="290" customFormat="1" ht="26.1" customHeight="1" x14ac:dyDescent="0.2">
      <c r="B163" s="289"/>
      <c r="E163" s="293"/>
      <c r="F163" s="293"/>
    </row>
    <row r="164" spans="2:6" s="290" customFormat="1" ht="26.1" customHeight="1" x14ac:dyDescent="0.2">
      <c r="B164" s="289"/>
      <c r="E164" s="293"/>
      <c r="F164" s="293"/>
    </row>
    <row r="165" spans="2:6" s="290" customFormat="1" ht="26.1" customHeight="1" x14ac:dyDescent="0.2">
      <c r="B165" s="289"/>
      <c r="E165" s="293"/>
      <c r="F165" s="293"/>
    </row>
    <row r="166" spans="2:6" s="290" customFormat="1" ht="26.1" customHeight="1" x14ac:dyDescent="0.2">
      <c r="B166" s="289"/>
      <c r="E166" s="293"/>
      <c r="F166" s="293"/>
    </row>
    <row r="167" spans="2:6" s="290" customFormat="1" ht="26.1" customHeight="1" x14ac:dyDescent="0.2">
      <c r="B167" s="289"/>
      <c r="E167" s="293"/>
      <c r="F167" s="293"/>
    </row>
    <row r="168" spans="2:6" s="290" customFormat="1" ht="26.1" customHeight="1" x14ac:dyDescent="0.2">
      <c r="B168" s="289"/>
      <c r="E168" s="293"/>
      <c r="F168" s="293"/>
    </row>
    <row r="169" spans="2:6" s="290" customFormat="1" ht="26.1" customHeight="1" x14ac:dyDescent="0.2">
      <c r="B169" s="289"/>
      <c r="E169" s="293"/>
      <c r="F169" s="293"/>
    </row>
    <row r="170" spans="2:6" s="290" customFormat="1" ht="26.1" customHeight="1" x14ac:dyDescent="0.2">
      <c r="B170" s="289"/>
      <c r="E170" s="293"/>
      <c r="F170" s="293"/>
    </row>
    <row r="171" spans="2:6" s="290" customFormat="1" ht="26.1" customHeight="1" x14ac:dyDescent="0.2">
      <c r="B171" s="289"/>
      <c r="E171" s="293"/>
      <c r="F171" s="293"/>
    </row>
    <row r="172" spans="2:6" s="290" customFormat="1" ht="26.1" customHeight="1" x14ac:dyDescent="0.2">
      <c r="B172" s="289"/>
      <c r="E172" s="293"/>
      <c r="F172" s="293"/>
    </row>
    <row r="173" spans="2:6" s="290" customFormat="1" ht="26.1" customHeight="1" x14ac:dyDescent="0.2">
      <c r="B173" s="289"/>
      <c r="E173" s="293"/>
      <c r="F173" s="293"/>
    </row>
    <row r="174" spans="2:6" s="290" customFormat="1" ht="26.1" customHeight="1" x14ac:dyDescent="0.2">
      <c r="B174" s="289"/>
      <c r="E174" s="293"/>
      <c r="F174" s="293"/>
    </row>
    <row r="175" spans="2:6" s="290" customFormat="1" ht="26.1" customHeight="1" x14ac:dyDescent="0.2">
      <c r="B175" s="289"/>
      <c r="E175" s="293"/>
      <c r="F175" s="293"/>
    </row>
    <row r="176" spans="2:6" s="290" customFormat="1" ht="26.1" customHeight="1" x14ac:dyDescent="0.2">
      <c r="B176" s="289"/>
      <c r="E176" s="293"/>
      <c r="F176" s="293"/>
    </row>
    <row r="177" spans="2:6" s="290" customFormat="1" ht="26.1" customHeight="1" x14ac:dyDescent="0.2">
      <c r="B177" s="289"/>
      <c r="E177" s="293"/>
      <c r="F177" s="293"/>
    </row>
    <row r="178" spans="2:6" s="290" customFormat="1" ht="26.1" customHeight="1" x14ac:dyDescent="0.2">
      <c r="B178" s="289"/>
      <c r="E178" s="293"/>
      <c r="F178" s="293"/>
    </row>
    <row r="179" spans="2:6" s="290" customFormat="1" ht="26.1" customHeight="1" x14ac:dyDescent="0.2">
      <c r="B179" s="289"/>
      <c r="E179" s="293"/>
      <c r="F179" s="293"/>
    </row>
    <row r="180" spans="2:6" s="290" customFormat="1" ht="26.1" customHeight="1" x14ac:dyDescent="0.2">
      <c r="B180" s="289"/>
      <c r="E180" s="293"/>
      <c r="F180" s="293"/>
    </row>
    <row r="181" spans="2:6" s="290" customFormat="1" ht="26.1" customHeight="1" x14ac:dyDescent="0.2">
      <c r="B181" s="289"/>
      <c r="E181" s="293"/>
      <c r="F181" s="293"/>
    </row>
    <row r="182" spans="2:6" s="290" customFormat="1" ht="26.1" customHeight="1" x14ac:dyDescent="0.2">
      <c r="B182" s="289"/>
      <c r="E182" s="293"/>
      <c r="F182" s="293"/>
    </row>
    <row r="183" spans="2:6" s="290" customFormat="1" ht="26.1" customHeight="1" x14ac:dyDescent="0.2">
      <c r="B183" s="289"/>
      <c r="E183" s="293"/>
      <c r="F183" s="293"/>
    </row>
    <row r="184" spans="2:6" s="290" customFormat="1" ht="26.1" customHeight="1" x14ac:dyDescent="0.2">
      <c r="B184" s="289"/>
      <c r="E184" s="293"/>
      <c r="F184" s="293"/>
    </row>
    <row r="185" spans="2:6" s="290" customFormat="1" ht="26.1" customHeight="1" x14ac:dyDescent="0.2">
      <c r="B185" s="289"/>
      <c r="E185" s="293"/>
      <c r="F185" s="293"/>
    </row>
    <row r="186" spans="2:6" s="290" customFormat="1" ht="26.1" customHeight="1" x14ac:dyDescent="0.2">
      <c r="B186" s="289"/>
      <c r="E186" s="293"/>
      <c r="F186" s="293"/>
    </row>
    <row r="187" spans="2:6" s="290" customFormat="1" ht="26.1" customHeight="1" x14ac:dyDescent="0.2">
      <c r="B187" s="289"/>
      <c r="E187" s="293"/>
      <c r="F187" s="293"/>
    </row>
    <row r="188" spans="2:6" s="290" customFormat="1" ht="26.1" customHeight="1" x14ac:dyDescent="0.2">
      <c r="B188" s="289"/>
      <c r="E188" s="293"/>
      <c r="F188" s="293"/>
    </row>
    <row r="189" spans="2:6" s="290" customFormat="1" ht="26.1" customHeight="1" x14ac:dyDescent="0.2">
      <c r="B189" s="289"/>
      <c r="E189" s="293"/>
      <c r="F189" s="293"/>
    </row>
    <row r="190" spans="2:6" s="290" customFormat="1" ht="26.1" customHeight="1" x14ac:dyDescent="0.2">
      <c r="B190" s="289"/>
      <c r="E190" s="293"/>
      <c r="F190" s="293"/>
    </row>
    <row r="191" spans="2:6" s="290" customFormat="1" ht="26.1" customHeight="1" x14ac:dyDescent="0.2">
      <c r="B191" s="289"/>
      <c r="E191" s="293"/>
      <c r="F191" s="293"/>
    </row>
    <row r="192" spans="2:6" s="290" customFormat="1" ht="26.1" customHeight="1" x14ac:dyDescent="0.2">
      <c r="B192" s="289"/>
      <c r="E192" s="293"/>
      <c r="F192" s="293"/>
    </row>
    <row r="193" spans="2:6" s="290" customFormat="1" ht="26.1" customHeight="1" x14ac:dyDescent="0.2">
      <c r="B193" s="289"/>
      <c r="E193" s="293"/>
      <c r="F193" s="293"/>
    </row>
    <row r="194" spans="2:6" s="290" customFormat="1" ht="26.1" customHeight="1" x14ac:dyDescent="0.2">
      <c r="B194" s="289"/>
      <c r="E194" s="293"/>
      <c r="F194" s="293"/>
    </row>
    <row r="195" spans="2:6" s="290" customFormat="1" ht="26.1" customHeight="1" x14ac:dyDescent="0.2">
      <c r="B195" s="289"/>
      <c r="E195" s="293"/>
      <c r="F195" s="293"/>
    </row>
    <row r="196" spans="2:6" s="290" customFormat="1" ht="26.1" customHeight="1" x14ac:dyDescent="0.2">
      <c r="B196" s="289"/>
      <c r="E196" s="293"/>
      <c r="F196" s="293"/>
    </row>
    <row r="197" spans="2:6" s="290" customFormat="1" ht="26.1" customHeight="1" x14ac:dyDescent="0.2">
      <c r="B197" s="289"/>
      <c r="E197" s="293"/>
      <c r="F197" s="293"/>
    </row>
    <row r="198" spans="2:6" s="290" customFormat="1" ht="26.1" customHeight="1" x14ac:dyDescent="0.2">
      <c r="B198" s="289"/>
      <c r="E198" s="293"/>
      <c r="F198" s="293"/>
    </row>
    <row r="199" spans="2:6" s="290" customFormat="1" ht="26.1" customHeight="1" x14ac:dyDescent="0.2">
      <c r="B199" s="289"/>
      <c r="E199" s="293"/>
      <c r="F199" s="293"/>
    </row>
    <row r="200" spans="2:6" s="290" customFormat="1" ht="26.1" customHeight="1" x14ac:dyDescent="0.2">
      <c r="B200" s="289"/>
      <c r="E200" s="293"/>
      <c r="F200" s="293"/>
    </row>
    <row r="201" spans="2:6" s="290" customFormat="1" ht="26.1" customHeight="1" x14ac:dyDescent="0.2">
      <c r="B201" s="289"/>
      <c r="E201" s="293"/>
      <c r="F201" s="293"/>
    </row>
    <row r="202" spans="2:6" s="290" customFormat="1" ht="26.1" customHeight="1" x14ac:dyDescent="0.2">
      <c r="B202" s="289"/>
      <c r="E202" s="293"/>
      <c r="F202" s="293"/>
    </row>
    <row r="203" spans="2:6" s="290" customFormat="1" ht="26.1" customHeight="1" x14ac:dyDescent="0.2">
      <c r="B203" s="289"/>
      <c r="E203" s="293"/>
      <c r="F203" s="293"/>
    </row>
    <row r="204" spans="2:6" s="290" customFormat="1" ht="26.1" customHeight="1" x14ac:dyDescent="0.2">
      <c r="B204" s="289"/>
      <c r="E204" s="293"/>
      <c r="F204" s="293"/>
    </row>
    <row r="205" spans="2:6" s="290" customFormat="1" ht="26.1" customHeight="1" x14ac:dyDescent="0.2">
      <c r="B205" s="289"/>
      <c r="E205" s="293"/>
      <c r="F205" s="293"/>
    </row>
    <row r="206" spans="2:6" s="290" customFormat="1" ht="26.1" customHeight="1" x14ac:dyDescent="0.2">
      <c r="B206" s="289"/>
      <c r="E206" s="293"/>
      <c r="F206" s="293"/>
    </row>
    <row r="207" spans="2:6" s="290" customFormat="1" ht="26.1" customHeight="1" x14ac:dyDescent="0.2">
      <c r="B207" s="289"/>
      <c r="E207" s="293"/>
      <c r="F207" s="293"/>
    </row>
    <row r="208" spans="2:6" s="290" customFormat="1" ht="26.1" customHeight="1" x14ac:dyDescent="0.2">
      <c r="B208" s="289"/>
      <c r="E208" s="293"/>
      <c r="F208" s="293"/>
    </row>
    <row r="209" spans="2:6" s="290" customFormat="1" ht="26.1" customHeight="1" x14ac:dyDescent="0.2">
      <c r="B209" s="289"/>
      <c r="E209" s="293"/>
      <c r="F209" s="293"/>
    </row>
    <row r="210" spans="2:6" s="290" customFormat="1" ht="26.1" customHeight="1" x14ac:dyDescent="0.2">
      <c r="B210" s="289"/>
      <c r="E210" s="293"/>
      <c r="F210" s="293"/>
    </row>
    <row r="211" spans="2:6" s="290" customFormat="1" ht="26.1" customHeight="1" x14ac:dyDescent="0.2">
      <c r="B211" s="289"/>
      <c r="E211" s="293"/>
      <c r="F211" s="293"/>
    </row>
    <row r="212" spans="2:6" s="290" customFormat="1" ht="26.1" customHeight="1" x14ac:dyDescent="0.2">
      <c r="B212" s="289"/>
      <c r="E212" s="293"/>
      <c r="F212" s="293"/>
    </row>
    <row r="213" spans="2:6" s="290" customFormat="1" ht="26.1" customHeight="1" x14ac:dyDescent="0.2">
      <c r="B213" s="289"/>
      <c r="E213" s="293"/>
      <c r="F213" s="293"/>
    </row>
    <row r="214" spans="2:6" s="290" customFormat="1" ht="26.1" customHeight="1" x14ac:dyDescent="0.2">
      <c r="B214" s="289"/>
      <c r="E214" s="293"/>
      <c r="F214" s="293"/>
    </row>
    <row r="215" spans="2:6" s="290" customFormat="1" ht="26.1" customHeight="1" x14ac:dyDescent="0.2">
      <c r="B215" s="289"/>
      <c r="E215" s="293"/>
      <c r="F215" s="293"/>
    </row>
    <row r="216" spans="2:6" s="290" customFormat="1" ht="26.1" customHeight="1" x14ac:dyDescent="0.2">
      <c r="B216" s="289"/>
      <c r="E216" s="293"/>
      <c r="F216" s="293"/>
    </row>
    <row r="217" spans="2:6" s="290" customFormat="1" ht="26.1" customHeight="1" x14ac:dyDescent="0.2">
      <c r="B217" s="289"/>
      <c r="E217" s="293"/>
      <c r="F217" s="293"/>
    </row>
    <row r="218" spans="2:6" s="290" customFormat="1" ht="26.1" customHeight="1" x14ac:dyDescent="0.2">
      <c r="B218" s="289"/>
      <c r="E218" s="293"/>
      <c r="F218" s="293"/>
    </row>
    <row r="219" spans="2:6" s="290" customFormat="1" ht="26.1" customHeight="1" x14ac:dyDescent="0.2">
      <c r="B219" s="289"/>
      <c r="E219" s="293"/>
      <c r="F219" s="293"/>
    </row>
    <row r="220" spans="2:6" s="290" customFormat="1" ht="26.1" customHeight="1" x14ac:dyDescent="0.2">
      <c r="B220" s="289"/>
      <c r="E220" s="293"/>
      <c r="F220" s="293"/>
    </row>
    <row r="221" spans="2:6" s="290" customFormat="1" ht="26.1" customHeight="1" x14ac:dyDescent="0.2">
      <c r="B221" s="289"/>
      <c r="E221" s="293"/>
      <c r="F221" s="293"/>
    </row>
    <row r="222" spans="2:6" s="290" customFormat="1" ht="26.1" customHeight="1" x14ac:dyDescent="0.2">
      <c r="B222" s="289"/>
      <c r="E222" s="293"/>
      <c r="F222" s="293"/>
    </row>
    <row r="223" spans="2:6" s="290" customFormat="1" ht="26.1" customHeight="1" x14ac:dyDescent="0.2">
      <c r="B223" s="289"/>
      <c r="E223" s="293"/>
      <c r="F223" s="293"/>
    </row>
    <row r="224" spans="2:6" s="290" customFormat="1" ht="26.1" customHeight="1" x14ac:dyDescent="0.2">
      <c r="B224" s="289"/>
      <c r="E224" s="293"/>
      <c r="F224" s="293"/>
    </row>
    <row r="225" spans="2:6" s="290" customFormat="1" ht="26.1" customHeight="1" x14ac:dyDescent="0.2">
      <c r="B225" s="289"/>
      <c r="E225" s="293"/>
      <c r="F225" s="293"/>
    </row>
    <row r="226" spans="2:6" s="290" customFormat="1" ht="26.1" customHeight="1" x14ac:dyDescent="0.2">
      <c r="B226" s="289"/>
      <c r="E226" s="293"/>
      <c r="F226" s="293"/>
    </row>
    <row r="227" spans="2:6" s="290" customFormat="1" ht="26.1" customHeight="1" x14ac:dyDescent="0.2">
      <c r="B227" s="289"/>
      <c r="E227" s="293"/>
      <c r="F227" s="293"/>
    </row>
    <row r="228" spans="2:6" s="290" customFormat="1" ht="26.1" customHeight="1" x14ac:dyDescent="0.2">
      <c r="B228" s="289"/>
      <c r="E228" s="293"/>
      <c r="F228" s="293"/>
    </row>
    <row r="229" spans="2:6" s="290" customFormat="1" ht="26.1" customHeight="1" x14ac:dyDescent="0.2">
      <c r="B229" s="289"/>
      <c r="E229" s="293"/>
      <c r="F229" s="293"/>
    </row>
    <row r="230" spans="2:6" s="290" customFormat="1" ht="26.1" customHeight="1" x14ac:dyDescent="0.2">
      <c r="B230" s="289"/>
      <c r="E230" s="293"/>
      <c r="F230" s="293"/>
    </row>
    <row r="231" spans="2:6" s="290" customFormat="1" ht="26.1" customHeight="1" x14ac:dyDescent="0.2">
      <c r="B231" s="289"/>
      <c r="E231" s="293"/>
      <c r="F231" s="293"/>
    </row>
    <row r="232" spans="2:6" s="290" customFormat="1" ht="26.1" customHeight="1" x14ac:dyDescent="0.2">
      <c r="B232" s="289"/>
      <c r="E232" s="293"/>
      <c r="F232" s="293"/>
    </row>
    <row r="233" spans="2:6" s="290" customFormat="1" ht="26.1" customHeight="1" x14ac:dyDescent="0.2">
      <c r="B233" s="289"/>
      <c r="E233" s="293"/>
      <c r="F233" s="293"/>
    </row>
    <row r="234" spans="2:6" s="290" customFormat="1" ht="26.1" customHeight="1" x14ac:dyDescent="0.2">
      <c r="B234" s="289"/>
      <c r="E234" s="293"/>
      <c r="F234" s="293"/>
    </row>
    <row r="235" spans="2:6" s="290" customFormat="1" ht="26.1" customHeight="1" x14ac:dyDescent="0.2">
      <c r="B235" s="289"/>
      <c r="E235" s="293"/>
      <c r="F235" s="293"/>
    </row>
    <row r="236" spans="2:6" s="290" customFormat="1" ht="26.1" customHeight="1" x14ac:dyDescent="0.2">
      <c r="B236" s="289"/>
      <c r="E236" s="293"/>
      <c r="F236" s="293"/>
    </row>
    <row r="237" spans="2:6" s="290" customFormat="1" ht="26.1" customHeight="1" x14ac:dyDescent="0.2">
      <c r="B237" s="289"/>
      <c r="E237" s="293"/>
      <c r="F237" s="293"/>
    </row>
    <row r="238" spans="2:6" s="290" customFormat="1" ht="26.1" customHeight="1" x14ac:dyDescent="0.2">
      <c r="B238" s="289"/>
      <c r="E238" s="293"/>
      <c r="F238" s="293"/>
    </row>
    <row r="239" spans="2:6" s="290" customFormat="1" ht="26.1" customHeight="1" x14ac:dyDescent="0.2">
      <c r="B239" s="289"/>
      <c r="E239" s="293"/>
      <c r="F239" s="293"/>
    </row>
    <row r="240" spans="2:6" s="290" customFormat="1" ht="26.1" customHeight="1" x14ac:dyDescent="0.2">
      <c r="B240" s="289"/>
      <c r="E240" s="293"/>
      <c r="F240" s="293"/>
    </row>
    <row r="241" spans="2:6" s="290" customFormat="1" ht="26.1" customHeight="1" x14ac:dyDescent="0.2">
      <c r="B241" s="289"/>
      <c r="E241" s="293"/>
      <c r="F241" s="293"/>
    </row>
    <row r="242" spans="2:6" s="290" customFormat="1" ht="26.1" customHeight="1" x14ac:dyDescent="0.2">
      <c r="B242" s="289"/>
      <c r="E242" s="293"/>
      <c r="F242" s="293"/>
    </row>
    <row r="243" spans="2:6" s="290" customFormat="1" ht="26.1" customHeight="1" x14ac:dyDescent="0.2">
      <c r="B243" s="289"/>
      <c r="E243" s="293"/>
      <c r="F243" s="293"/>
    </row>
    <row r="244" spans="2:6" s="290" customFormat="1" ht="26.1" customHeight="1" x14ac:dyDescent="0.2">
      <c r="B244" s="289"/>
      <c r="E244" s="293"/>
      <c r="F244" s="293"/>
    </row>
    <row r="245" spans="2:6" s="290" customFormat="1" ht="26.1" customHeight="1" x14ac:dyDescent="0.2">
      <c r="B245" s="289"/>
      <c r="E245" s="293"/>
      <c r="F245" s="293"/>
    </row>
    <row r="246" spans="2:6" s="290" customFormat="1" ht="26.1" customHeight="1" x14ac:dyDescent="0.2">
      <c r="B246" s="289"/>
      <c r="E246" s="293"/>
      <c r="F246" s="293"/>
    </row>
    <row r="247" spans="2:6" s="290" customFormat="1" ht="26.1" customHeight="1" x14ac:dyDescent="0.2">
      <c r="B247" s="289"/>
      <c r="E247" s="293"/>
      <c r="F247" s="293"/>
    </row>
    <row r="248" spans="2:6" s="290" customFormat="1" ht="26.1" customHeight="1" x14ac:dyDescent="0.2">
      <c r="B248" s="289"/>
      <c r="E248" s="293"/>
      <c r="F248" s="293"/>
    </row>
    <row r="249" spans="2:6" s="290" customFormat="1" ht="26.1" customHeight="1" x14ac:dyDescent="0.2">
      <c r="B249" s="289"/>
      <c r="E249" s="293"/>
      <c r="F249" s="293"/>
    </row>
    <row r="250" spans="2:6" s="290" customFormat="1" ht="26.1" customHeight="1" x14ac:dyDescent="0.2">
      <c r="B250" s="289"/>
      <c r="E250" s="293"/>
      <c r="F250" s="293"/>
    </row>
    <row r="251" spans="2:6" s="290" customFormat="1" ht="26.1" customHeight="1" x14ac:dyDescent="0.2">
      <c r="B251" s="289"/>
      <c r="E251" s="293"/>
      <c r="F251" s="293"/>
    </row>
    <row r="252" spans="2:6" s="290" customFormat="1" ht="26.1" customHeight="1" x14ac:dyDescent="0.2">
      <c r="B252" s="289"/>
      <c r="E252" s="293"/>
      <c r="F252" s="293"/>
    </row>
    <row r="253" spans="2:6" s="290" customFormat="1" ht="26.1" customHeight="1" x14ac:dyDescent="0.2">
      <c r="B253" s="289"/>
      <c r="E253" s="293"/>
      <c r="F253" s="293"/>
    </row>
    <row r="254" spans="2:6" s="290" customFormat="1" ht="26.1" customHeight="1" x14ac:dyDescent="0.2">
      <c r="B254" s="289"/>
      <c r="E254" s="293"/>
      <c r="F254" s="293"/>
    </row>
    <row r="255" spans="2:6" s="290" customFormat="1" ht="26.1" customHeight="1" x14ac:dyDescent="0.2">
      <c r="B255" s="289"/>
      <c r="E255" s="293"/>
      <c r="F255" s="293"/>
    </row>
    <row r="256" spans="2:6" s="290" customFormat="1" ht="26.1" customHeight="1" x14ac:dyDescent="0.2">
      <c r="B256" s="289"/>
      <c r="E256" s="293"/>
      <c r="F256" s="293"/>
    </row>
    <row r="257" spans="2:6" s="290" customFormat="1" ht="26.1" customHeight="1" x14ac:dyDescent="0.2">
      <c r="B257" s="289"/>
      <c r="E257" s="293"/>
      <c r="F257" s="293"/>
    </row>
    <row r="258" spans="2:6" s="290" customFormat="1" ht="26.1" customHeight="1" x14ac:dyDescent="0.2">
      <c r="B258" s="289"/>
      <c r="E258" s="293"/>
      <c r="F258" s="293"/>
    </row>
    <row r="259" spans="2:6" s="290" customFormat="1" ht="26.1" customHeight="1" x14ac:dyDescent="0.2">
      <c r="B259" s="289"/>
      <c r="E259" s="293"/>
      <c r="F259" s="293"/>
    </row>
    <row r="260" spans="2:6" s="290" customFormat="1" ht="26.1" customHeight="1" x14ac:dyDescent="0.2">
      <c r="B260" s="289"/>
      <c r="E260" s="293"/>
      <c r="F260" s="293"/>
    </row>
    <row r="261" spans="2:6" s="290" customFormat="1" ht="26.1" customHeight="1" x14ac:dyDescent="0.2">
      <c r="B261" s="289"/>
      <c r="E261" s="293"/>
      <c r="F261" s="293"/>
    </row>
    <row r="262" spans="2:6" s="290" customFormat="1" ht="26.1" customHeight="1" x14ac:dyDescent="0.2">
      <c r="B262" s="289"/>
      <c r="E262" s="293"/>
      <c r="F262" s="293"/>
    </row>
    <row r="263" spans="2:6" s="290" customFormat="1" ht="26.1" customHeight="1" x14ac:dyDescent="0.2">
      <c r="B263" s="289"/>
      <c r="E263" s="293"/>
      <c r="F263" s="293"/>
    </row>
    <row r="264" spans="2:6" s="290" customFormat="1" ht="26.1" customHeight="1" x14ac:dyDescent="0.2">
      <c r="B264" s="289"/>
      <c r="E264" s="293"/>
      <c r="F264" s="293"/>
    </row>
    <row r="265" spans="2:6" s="290" customFormat="1" ht="26.1" customHeight="1" x14ac:dyDescent="0.2">
      <c r="B265" s="289"/>
      <c r="E265" s="293"/>
      <c r="F265" s="293"/>
    </row>
    <row r="266" spans="2:6" s="290" customFormat="1" ht="26.1" customHeight="1" x14ac:dyDescent="0.2">
      <c r="B266" s="289"/>
      <c r="E266" s="293"/>
      <c r="F266" s="293"/>
    </row>
    <row r="267" spans="2:6" s="290" customFormat="1" ht="26.1" customHeight="1" x14ac:dyDescent="0.2">
      <c r="B267" s="289"/>
      <c r="E267" s="293"/>
      <c r="F267" s="293"/>
    </row>
    <row r="268" spans="2:6" s="290" customFormat="1" ht="26.1" customHeight="1" x14ac:dyDescent="0.2">
      <c r="B268" s="289"/>
      <c r="E268" s="293"/>
      <c r="F268" s="293"/>
    </row>
    <row r="269" spans="2:6" s="290" customFormat="1" ht="26.1" customHeight="1" x14ac:dyDescent="0.2">
      <c r="B269" s="289"/>
      <c r="E269" s="293"/>
      <c r="F269" s="293"/>
    </row>
    <row r="270" spans="2:6" s="290" customFormat="1" ht="26.1" customHeight="1" x14ac:dyDescent="0.2">
      <c r="B270" s="289"/>
      <c r="E270" s="293"/>
      <c r="F270" s="293"/>
    </row>
    <row r="271" spans="2:6" s="290" customFormat="1" ht="26.1" customHeight="1" x14ac:dyDescent="0.2">
      <c r="B271" s="289"/>
      <c r="E271" s="293"/>
      <c r="F271" s="293"/>
    </row>
    <row r="272" spans="2:6" s="290" customFormat="1" ht="26.1" customHeight="1" x14ac:dyDescent="0.2">
      <c r="B272" s="289"/>
      <c r="E272" s="293"/>
      <c r="F272" s="293"/>
    </row>
    <row r="273" spans="2:6" s="290" customFormat="1" ht="26.1" customHeight="1" x14ac:dyDescent="0.2">
      <c r="B273" s="289"/>
      <c r="E273" s="293"/>
      <c r="F273" s="293"/>
    </row>
    <row r="274" spans="2:6" s="290" customFormat="1" ht="26.1" customHeight="1" x14ac:dyDescent="0.2">
      <c r="B274" s="289"/>
      <c r="E274" s="293"/>
      <c r="F274" s="293"/>
    </row>
    <row r="275" spans="2:6" s="290" customFormat="1" ht="26.1" customHeight="1" x14ac:dyDescent="0.2">
      <c r="B275" s="289"/>
      <c r="E275" s="293"/>
      <c r="F275" s="293"/>
    </row>
    <row r="276" spans="2:6" s="290" customFormat="1" ht="26.1" customHeight="1" x14ac:dyDescent="0.2">
      <c r="B276" s="289"/>
      <c r="E276" s="293"/>
      <c r="F276" s="293"/>
    </row>
    <row r="277" spans="2:6" s="290" customFormat="1" ht="26.1" customHeight="1" x14ac:dyDescent="0.2">
      <c r="B277" s="289"/>
      <c r="E277" s="293"/>
      <c r="F277" s="293"/>
    </row>
    <row r="278" spans="2:6" s="290" customFormat="1" ht="26.1" customHeight="1" x14ac:dyDescent="0.2">
      <c r="B278" s="289"/>
      <c r="E278" s="293"/>
      <c r="F278" s="293"/>
    </row>
    <row r="279" spans="2:6" s="290" customFormat="1" ht="26.1" customHeight="1" x14ac:dyDescent="0.2">
      <c r="B279" s="289"/>
      <c r="E279" s="293"/>
      <c r="F279" s="293"/>
    </row>
    <row r="280" spans="2:6" s="290" customFormat="1" ht="26.1" customHeight="1" x14ac:dyDescent="0.2">
      <c r="B280" s="289"/>
      <c r="E280" s="293"/>
      <c r="F280" s="293"/>
    </row>
    <row r="281" spans="2:6" s="290" customFormat="1" ht="26.1" customHeight="1" x14ac:dyDescent="0.2">
      <c r="B281" s="289"/>
      <c r="E281" s="293"/>
      <c r="F281" s="293"/>
    </row>
    <row r="282" spans="2:6" s="290" customFormat="1" ht="26.1" customHeight="1" x14ac:dyDescent="0.2">
      <c r="B282" s="289"/>
      <c r="E282" s="293"/>
      <c r="F282" s="293"/>
    </row>
    <row r="283" spans="2:6" s="290" customFormat="1" ht="26.1" customHeight="1" x14ac:dyDescent="0.2">
      <c r="B283" s="289"/>
      <c r="E283" s="293"/>
      <c r="F283" s="293"/>
    </row>
    <row r="284" spans="2:6" s="290" customFormat="1" ht="26.1" customHeight="1" x14ac:dyDescent="0.2">
      <c r="B284" s="289"/>
      <c r="E284" s="293"/>
      <c r="F284" s="293"/>
    </row>
    <row r="285" spans="2:6" s="290" customFormat="1" ht="26.1" customHeight="1" x14ac:dyDescent="0.2">
      <c r="B285" s="295"/>
      <c r="E285" s="293"/>
      <c r="F285" s="293"/>
    </row>
    <row r="286" spans="2:6" s="290" customFormat="1" ht="26.1" customHeight="1" x14ac:dyDescent="0.2">
      <c r="B286" s="295"/>
      <c r="E286" s="293"/>
      <c r="F286" s="293"/>
    </row>
    <row r="287" spans="2:6" s="290" customFormat="1" ht="26.1" customHeight="1" x14ac:dyDescent="0.2">
      <c r="B287" s="295"/>
      <c r="E287" s="293"/>
      <c r="F287" s="85"/>
    </row>
    <row r="288" spans="2:6" s="290" customFormat="1" ht="26.1" customHeight="1" x14ac:dyDescent="0.2">
      <c r="B288" s="295"/>
      <c r="E288" s="293"/>
      <c r="F288" s="85"/>
    </row>
    <row r="289" spans="2:6" s="290" customFormat="1" ht="26.1" customHeight="1" x14ac:dyDescent="0.2">
      <c r="B289" s="295"/>
      <c r="E289" s="293"/>
      <c r="F289" s="85"/>
    </row>
    <row r="290" spans="2:6" s="290" customFormat="1" ht="26.1" customHeight="1" x14ac:dyDescent="0.2">
      <c r="B290" s="289"/>
      <c r="E290" s="293"/>
      <c r="F290" s="85"/>
    </row>
    <row r="291" spans="2:6" s="290" customFormat="1" ht="26.1" customHeight="1" x14ac:dyDescent="0.2">
      <c r="B291" s="289"/>
      <c r="E291" s="293"/>
      <c r="F291" s="85"/>
    </row>
    <row r="292" spans="2:6" s="290" customFormat="1" ht="26.1" customHeight="1" x14ac:dyDescent="0.2">
      <c r="B292" s="289"/>
      <c r="E292" s="293"/>
      <c r="F292" s="85"/>
    </row>
    <row r="293" spans="2:6" s="290" customFormat="1" ht="26.1" customHeight="1" x14ac:dyDescent="0.2">
      <c r="B293" s="289"/>
      <c r="E293" s="293"/>
      <c r="F293" s="85"/>
    </row>
    <row r="294" spans="2:6" s="290" customFormat="1" ht="26.1" customHeight="1" x14ac:dyDescent="0.2">
      <c r="B294" s="289"/>
      <c r="E294" s="293"/>
      <c r="F294" s="85"/>
    </row>
    <row r="295" spans="2:6" s="290" customFormat="1" ht="26.1" customHeight="1" x14ac:dyDescent="0.2">
      <c r="B295" s="289"/>
      <c r="E295" s="293"/>
      <c r="F295" s="85"/>
    </row>
    <row r="296" spans="2:6" s="290" customFormat="1" ht="26.1" customHeight="1" x14ac:dyDescent="0.2">
      <c r="B296" s="289"/>
      <c r="E296" s="293"/>
      <c r="F296" s="85"/>
    </row>
    <row r="297" spans="2:6" s="290" customFormat="1" ht="26.1" customHeight="1" x14ac:dyDescent="0.2">
      <c r="B297" s="289"/>
      <c r="E297" s="293"/>
      <c r="F297" s="85"/>
    </row>
    <row r="298" spans="2:6" s="290" customFormat="1" ht="26.1" customHeight="1" x14ac:dyDescent="0.2">
      <c r="B298" s="289"/>
      <c r="E298" s="293"/>
      <c r="F298" s="85"/>
    </row>
    <row r="299" spans="2:6" s="290" customFormat="1" ht="26.1" customHeight="1" x14ac:dyDescent="0.2">
      <c r="B299" s="289"/>
      <c r="E299" s="293"/>
      <c r="F299" s="85"/>
    </row>
    <row r="300" spans="2:6" s="290" customFormat="1" ht="26.1" customHeight="1" x14ac:dyDescent="0.2">
      <c r="B300" s="289"/>
      <c r="E300" s="293"/>
      <c r="F300" s="85"/>
    </row>
    <row r="301" spans="2:6" s="290" customFormat="1" ht="26.1" customHeight="1" x14ac:dyDescent="0.2">
      <c r="B301" s="289"/>
      <c r="E301" s="293"/>
      <c r="F301" s="85"/>
    </row>
    <row r="302" spans="2:6" s="290" customFormat="1" ht="26.1" customHeight="1" x14ac:dyDescent="0.2">
      <c r="B302" s="289"/>
      <c r="E302" s="293"/>
      <c r="F302" s="85"/>
    </row>
    <row r="303" spans="2:6" s="290" customFormat="1" ht="26.1" customHeight="1" x14ac:dyDescent="0.2">
      <c r="B303" s="289"/>
      <c r="E303" s="293"/>
      <c r="F303" s="85"/>
    </row>
    <row r="304" spans="2:6" s="290" customFormat="1" ht="26.1" customHeight="1" x14ac:dyDescent="0.2">
      <c r="B304" s="289"/>
      <c r="E304" s="293"/>
      <c r="F304" s="85"/>
    </row>
    <row r="305" spans="2:6" s="290" customFormat="1" ht="26.1" customHeight="1" x14ac:dyDescent="0.2">
      <c r="B305" s="289"/>
      <c r="E305" s="293"/>
      <c r="F305" s="85"/>
    </row>
    <row r="306" spans="2:6" s="290" customFormat="1" ht="26.1" customHeight="1" x14ac:dyDescent="0.2">
      <c r="B306" s="289"/>
      <c r="E306" s="293"/>
      <c r="F306" s="85"/>
    </row>
    <row r="307" spans="2:6" s="290" customFormat="1" ht="26.1" customHeight="1" x14ac:dyDescent="0.2">
      <c r="B307" s="289"/>
      <c r="E307" s="293"/>
      <c r="F307" s="85"/>
    </row>
    <row r="308" spans="2:6" s="290" customFormat="1" ht="26.1" customHeight="1" x14ac:dyDescent="0.2">
      <c r="B308" s="289"/>
      <c r="E308" s="293"/>
      <c r="F308" s="85"/>
    </row>
    <row r="309" spans="2:6" s="290" customFormat="1" ht="26.1" customHeight="1" x14ac:dyDescent="0.2">
      <c r="B309" s="289"/>
      <c r="E309" s="293"/>
      <c r="F309" s="85"/>
    </row>
    <row r="310" spans="2:6" s="290" customFormat="1" ht="26.1" customHeight="1" x14ac:dyDescent="0.2">
      <c r="B310" s="289"/>
      <c r="E310" s="293"/>
      <c r="F310" s="85"/>
    </row>
    <row r="311" spans="2:6" s="290" customFormat="1" ht="26.1" customHeight="1" x14ac:dyDescent="0.2">
      <c r="B311" s="289"/>
      <c r="E311" s="293"/>
      <c r="F311" s="85"/>
    </row>
    <row r="312" spans="2:6" s="290" customFormat="1" ht="26.1" customHeight="1" x14ac:dyDescent="0.2">
      <c r="B312" s="289"/>
      <c r="E312" s="293"/>
      <c r="F312" s="85"/>
    </row>
    <row r="313" spans="2:6" s="290" customFormat="1" ht="26.1" customHeight="1" x14ac:dyDescent="0.2">
      <c r="B313" s="289"/>
      <c r="E313" s="293"/>
      <c r="F313" s="85"/>
    </row>
    <row r="314" spans="2:6" s="290" customFormat="1" ht="26.1" customHeight="1" x14ac:dyDescent="0.2">
      <c r="B314" s="289"/>
      <c r="E314" s="293"/>
      <c r="F314" s="85"/>
    </row>
    <row r="315" spans="2:6" s="290" customFormat="1" ht="26.1" customHeight="1" x14ac:dyDescent="0.2">
      <c r="B315" s="289"/>
      <c r="E315" s="293"/>
      <c r="F315" s="85"/>
    </row>
    <row r="316" spans="2:6" s="290" customFormat="1" ht="26.1" customHeight="1" x14ac:dyDescent="0.2">
      <c r="B316" s="289"/>
      <c r="E316" s="293"/>
      <c r="F316" s="85"/>
    </row>
    <row r="317" spans="2:6" s="290" customFormat="1" ht="26.1" customHeight="1" x14ac:dyDescent="0.2">
      <c r="B317" s="289"/>
      <c r="E317" s="293"/>
      <c r="F317" s="85"/>
    </row>
    <row r="318" spans="2:6" s="290" customFormat="1" ht="26.1" customHeight="1" x14ac:dyDescent="0.2">
      <c r="B318" s="289"/>
      <c r="E318" s="293"/>
      <c r="F318" s="85"/>
    </row>
    <row r="319" spans="2:6" s="290" customFormat="1" ht="26.1" customHeight="1" x14ac:dyDescent="0.2">
      <c r="B319" s="289"/>
      <c r="E319" s="293"/>
      <c r="F319" s="85"/>
    </row>
    <row r="320" spans="2:6" s="290" customFormat="1" ht="26.1" customHeight="1" x14ac:dyDescent="0.2">
      <c r="B320" s="289"/>
      <c r="E320" s="293"/>
      <c r="F320" s="85"/>
    </row>
    <row r="321" spans="2:6" s="290" customFormat="1" ht="26.1" customHeight="1" x14ac:dyDescent="0.2">
      <c r="B321" s="289"/>
      <c r="E321" s="293"/>
      <c r="F321" s="85"/>
    </row>
    <row r="322" spans="2:6" s="290" customFormat="1" ht="26.1" customHeight="1" x14ac:dyDescent="0.2">
      <c r="B322" s="289"/>
      <c r="E322" s="293"/>
      <c r="F322" s="85"/>
    </row>
    <row r="323" spans="2:6" s="290" customFormat="1" ht="26.1" customHeight="1" x14ac:dyDescent="0.2">
      <c r="B323" s="289"/>
      <c r="E323" s="293"/>
      <c r="F323" s="85"/>
    </row>
    <row r="324" spans="2:6" s="290" customFormat="1" ht="26.1" customHeight="1" x14ac:dyDescent="0.2">
      <c r="B324" s="289"/>
      <c r="E324" s="293"/>
      <c r="F324" s="85"/>
    </row>
    <row r="325" spans="2:6" s="290" customFormat="1" ht="26.1" customHeight="1" x14ac:dyDescent="0.2">
      <c r="B325" s="289"/>
      <c r="E325" s="293"/>
      <c r="F325" s="85"/>
    </row>
    <row r="326" spans="2:6" s="290" customFormat="1" ht="26.1" customHeight="1" x14ac:dyDescent="0.2">
      <c r="B326" s="289"/>
      <c r="E326" s="293"/>
      <c r="F326" s="85"/>
    </row>
    <row r="327" spans="2:6" s="290" customFormat="1" ht="26.1" customHeight="1" x14ac:dyDescent="0.2">
      <c r="B327" s="289"/>
      <c r="E327" s="293"/>
      <c r="F327" s="85"/>
    </row>
    <row r="328" spans="2:6" s="290" customFormat="1" ht="26.1" customHeight="1" x14ac:dyDescent="0.2">
      <c r="B328" s="289"/>
      <c r="E328" s="293"/>
      <c r="F328" s="85"/>
    </row>
    <row r="329" spans="2:6" s="290" customFormat="1" ht="26.1" customHeight="1" x14ac:dyDescent="0.2">
      <c r="B329" s="289"/>
      <c r="E329" s="293"/>
      <c r="F329" s="85"/>
    </row>
    <row r="330" spans="2:6" s="290" customFormat="1" ht="26.1" customHeight="1" x14ac:dyDescent="0.2">
      <c r="B330" s="289"/>
      <c r="E330" s="293"/>
      <c r="F330" s="85"/>
    </row>
    <row r="331" spans="2:6" s="290" customFormat="1" ht="26.1" customHeight="1" x14ac:dyDescent="0.2">
      <c r="B331" s="289"/>
      <c r="E331" s="293"/>
      <c r="F331" s="85"/>
    </row>
    <row r="332" spans="2:6" s="290" customFormat="1" ht="26.1" customHeight="1" x14ac:dyDescent="0.2">
      <c r="B332" s="289"/>
      <c r="E332" s="293"/>
      <c r="F332" s="85"/>
    </row>
    <row r="333" spans="2:6" s="290" customFormat="1" ht="26.1" customHeight="1" x14ac:dyDescent="0.2">
      <c r="B333" s="289"/>
      <c r="E333" s="293"/>
      <c r="F333" s="85"/>
    </row>
    <row r="334" spans="2:6" s="290" customFormat="1" ht="26.1" customHeight="1" x14ac:dyDescent="0.2">
      <c r="B334" s="289"/>
      <c r="E334" s="293"/>
      <c r="F334" s="85"/>
    </row>
    <row r="335" spans="2:6" s="290" customFormat="1" ht="26.1" customHeight="1" x14ac:dyDescent="0.2">
      <c r="B335" s="289"/>
      <c r="E335" s="293"/>
      <c r="F335" s="85"/>
    </row>
    <row r="336" spans="2:6" s="290" customFormat="1" ht="26.1" customHeight="1" x14ac:dyDescent="0.2">
      <c r="B336" s="289"/>
      <c r="E336" s="293"/>
      <c r="F336" s="85"/>
    </row>
    <row r="337" spans="2:6" s="290" customFormat="1" ht="26.1" customHeight="1" x14ac:dyDescent="0.2">
      <c r="B337" s="289"/>
      <c r="E337" s="293"/>
      <c r="F337" s="85"/>
    </row>
    <row r="338" spans="2:6" s="290" customFormat="1" ht="26.1" customHeight="1" x14ac:dyDescent="0.2">
      <c r="B338" s="289"/>
      <c r="E338" s="293"/>
      <c r="F338" s="85"/>
    </row>
    <row r="339" spans="2:6" s="290" customFormat="1" ht="26.1" customHeight="1" x14ac:dyDescent="0.2">
      <c r="B339" s="289"/>
      <c r="E339" s="293"/>
      <c r="F339" s="85"/>
    </row>
    <row r="340" spans="2:6" s="290" customFormat="1" ht="26.1" customHeight="1" x14ac:dyDescent="0.2">
      <c r="B340" s="289"/>
      <c r="E340" s="293"/>
      <c r="F340" s="85"/>
    </row>
    <row r="341" spans="2:6" s="290" customFormat="1" ht="26.1" customHeight="1" x14ac:dyDescent="0.2">
      <c r="B341" s="289"/>
      <c r="E341" s="293"/>
      <c r="F341" s="85"/>
    </row>
    <row r="342" spans="2:6" s="290" customFormat="1" ht="26.1" customHeight="1" x14ac:dyDescent="0.2">
      <c r="B342" s="289"/>
      <c r="E342" s="293"/>
      <c r="F342" s="85"/>
    </row>
    <row r="343" spans="2:6" s="290" customFormat="1" ht="26.1" customHeight="1" x14ac:dyDescent="0.2">
      <c r="B343" s="289"/>
      <c r="E343" s="293"/>
      <c r="F343" s="85"/>
    </row>
    <row r="344" spans="2:6" s="290" customFormat="1" ht="26.1" customHeight="1" x14ac:dyDescent="0.2">
      <c r="B344" s="289"/>
      <c r="E344" s="293"/>
      <c r="F344" s="85"/>
    </row>
    <row r="345" spans="2:6" s="290" customFormat="1" ht="26.1" customHeight="1" x14ac:dyDescent="0.2">
      <c r="B345" s="289"/>
      <c r="E345" s="293"/>
      <c r="F345" s="85"/>
    </row>
    <row r="346" spans="2:6" s="290" customFormat="1" ht="26.1" customHeight="1" x14ac:dyDescent="0.2">
      <c r="B346" s="289"/>
      <c r="E346" s="293"/>
      <c r="F346" s="293"/>
    </row>
    <row r="347" spans="2:6" s="290" customFormat="1" ht="26.1" customHeight="1" x14ac:dyDescent="0.2">
      <c r="B347" s="289"/>
      <c r="E347" s="293"/>
      <c r="F347" s="293"/>
    </row>
    <row r="348" spans="2:6" s="290" customFormat="1" ht="26.1" customHeight="1" x14ac:dyDescent="0.2">
      <c r="B348" s="289"/>
      <c r="E348" s="293"/>
      <c r="F348" s="293"/>
    </row>
    <row r="349" spans="2:6" s="290" customFormat="1" ht="26.1" customHeight="1" x14ac:dyDescent="0.2">
      <c r="B349" s="289"/>
      <c r="E349" s="293"/>
      <c r="F349" s="293"/>
    </row>
    <row r="350" spans="2:6" s="290" customFormat="1" ht="26.1" customHeight="1" x14ac:dyDescent="0.2">
      <c r="B350" s="289"/>
      <c r="E350" s="293"/>
      <c r="F350" s="293"/>
    </row>
    <row r="351" spans="2:6" s="290" customFormat="1" ht="26.1" customHeight="1" x14ac:dyDescent="0.2">
      <c r="B351" s="289"/>
      <c r="E351" s="293"/>
      <c r="F351" s="293"/>
    </row>
    <row r="352" spans="2:6" s="290" customFormat="1" ht="26.1" customHeight="1" x14ac:dyDescent="0.2">
      <c r="B352" s="289"/>
      <c r="E352" s="293"/>
      <c r="F352" s="293"/>
    </row>
    <row r="353" spans="2:6" s="290" customFormat="1" ht="26.1" customHeight="1" x14ac:dyDescent="0.2">
      <c r="B353" s="289"/>
      <c r="E353" s="293"/>
      <c r="F353" s="293"/>
    </row>
    <row r="354" spans="2:6" s="290" customFormat="1" ht="26.1" customHeight="1" x14ac:dyDescent="0.2">
      <c r="B354" s="289"/>
      <c r="E354" s="293"/>
      <c r="F354" s="293"/>
    </row>
    <row r="355" spans="2:6" s="290" customFormat="1" ht="26.1" customHeight="1" x14ac:dyDescent="0.2">
      <c r="B355" s="289"/>
      <c r="E355" s="293"/>
      <c r="F355" s="293"/>
    </row>
    <row r="356" spans="2:6" s="290" customFormat="1" ht="26.1" customHeight="1" x14ac:dyDescent="0.2">
      <c r="B356" s="289"/>
      <c r="E356" s="293"/>
      <c r="F356" s="293"/>
    </row>
    <row r="357" spans="2:6" s="290" customFormat="1" ht="26.1" customHeight="1" x14ac:dyDescent="0.2">
      <c r="B357" s="289"/>
      <c r="E357" s="293"/>
      <c r="F357" s="293"/>
    </row>
    <row r="358" spans="2:6" s="290" customFormat="1" ht="26.1" customHeight="1" x14ac:dyDescent="0.2">
      <c r="B358" s="289"/>
      <c r="E358" s="293"/>
      <c r="F358" s="293"/>
    </row>
    <row r="359" spans="2:6" s="290" customFormat="1" ht="26.1" customHeight="1" x14ac:dyDescent="0.2">
      <c r="B359" s="289"/>
      <c r="E359" s="293"/>
      <c r="F359" s="293"/>
    </row>
    <row r="360" spans="2:6" s="290" customFormat="1" ht="26.1" customHeight="1" x14ac:dyDescent="0.2">
      <c r="B360" s="289"/>
      <c r="E360" s="293"/>
      <c r="F360" s="293"/>
    </row>
    <row r="361" spans="2:6" s="290" customFormat="1" ht="26.1" customHeight="1" x14ac:dyDescent="0.2">
      <c r="B361" s="289"/>
      <c r="E361" s="293"/>
      <c r="F361" s="293"/>
    </row>
    <row r="362" spans="2:6" s="290" customFormat="1" ht="26.1" customHeight="1" x14ac:dyDescent="0.2">
      <c r="B362" s="289"/>
      <c r="E362" s="293"/>
      <c r="F362" s="293"/>
    </row>
    <row r="363" spans="2:6" s="290" customFormat="1" ht="26.1" customHeight="1" x14ac:dyDescent="0.2">
      <c r="B363" s="289"/>
      <c r="E363" s="293"/>
      <c r="F363" s="293"/>
    </row>
    <row r="364" spans="2:6" s="290" customFormat="1" ht="26.1" customHeight="1" x14ac:dyDescent="0.2">
      <c r="B364" s="289"/>
      <c r="E364" s="293"/>
      <c r="F364" s="293"/>
    </row>
    <row r="365" spans="2:6" s="290" customFormat="1" ht="26.1" customHeight="1" x14ac:dyDescent="0.2">
      <c r="B365" s="289"/>
      <c r="E365" s="293"/>
      <c r="F365" s="293"/>
    </row>
    <row r="366" spans="2:6" s="290" customFormat="1" ht="26.1" customHeight="1" x14ac:dyDescent="0.2">
      <c r="B366" s="289"/>
      <c r="E366" s="293"/>
      <c r="F366" s="293"/>
    </row>
    <row r="367" spans="2:6" s="290" customFormat="1" ht="26.1" customHeight="1" x14ac:dyDescent="0.2">
      <c r="B367" s="289"/>
      <c r="E367" s="293"/>
      <c r="F367" s="293"/>
    </row>
    <row r="368" spans="2:6" s="290" customFormat="1" ht="26.1" customHeight="1" x14ac:dyDescent="0.2">
      <c r="B368" s="289"/>
      <c r="E368" s="293"/>
      <c r="F368" s="293"/>
    </row>
    <row r="369" spans="2:6" s="290" customFormat="1" ht="26.1" customHeight="1" x14ac:dyDescent="0.2">
      <c r="B369" s="289"/>
      <c r="E369" s="293"/>
      <c r="F369" s="293"/>
    </row>
    <row r="370" spans="2:6" s="290" customFormat="1" ht="26.1" customHeight="1" x14ac:dyDescent="0.2">
      <c r="B370" s="289"/>
      <c r="E370" s="293"/>
      <c r="F370" s="293"/>
    </row>
    <row r="371" spans="2:6" s="290" customFormat="1" ht="26.1" customHeight="1" x14ac:dyDescent="0.2">
      <c r="B371" s="289"/>
      <c r="E371" s="293"/>
      <c r="F371" s="293"/>
    </row>
    <row r="372" spans="2:6" s="290" customFormat="1" ht="26.1" customHeight="1" x14ac:dyDescent="0.2">
      <c r="B372" s="289"/>
      <c r="E372" s="293"/>
      <c r="F372" s="293"/>
    </row>
    <row r="373" spans="2:6" s="290" customFormat="1" ht="26.1" customHeight="1" x14ac:dyDescent="0.2">
      <c r="B373" s="289"/>
      <c r="E373" s="293"/>
      <c r="F373" s="293"/>
    </row>
    <row r="374" spans="2:6" s="290" customFormat="1" ht="26.1" customHeight="1" x14ac:dyDescent="0.2">
      <c r="B374" s="289"/>
      <c r="E374" s="293"/>
      <c r="F374" s="293"/>
    </row>
    <row r="375" spans="2:6" s="290" customFormat="1" ht="26.1" customHeight="1" x14ac:dyDescent="0.2">
      <c r="B375" s="289"/>
      <c r="E375" s="293"/>
      <c r="F375" s="293"/>
    </row>
    <row r="376" spans="2:6" s="290" customFormat="1" ht="26.1" customHeight="1" x14ac:dyDescent="0.2">
      <c r="B376" s="289"/>
      <c r="E376" s="293"/>
      <c r="F376" s="293"/>
    </row>
    <row r="377" spans="2:6" s="290" customFormat="1" ht="26.1" customHeight="1" x14ac:dyDescent="0.2">
      <c r="B377" s="289"/>
      <c r="E377" s="293"/>
      <c r="F377" s="293"/>
    </row>
    <row r="378" spans="2:6" s="290" customFormat="1" ht="26.1" customHeight="1" x14ac:dyDescent="0.2">
      <c r="B378" s="289"/>
      <c r="E378" s="293"/>
      <c r="F378" s="293"/>
    </row>
    <row r="379" spans="2:6" s="290" customFormat="1" ht="26.1" customHeight="1" x14ac:dyDescent="0.2">
      <c r="B379" s="289"/>
      <c r="E379" s="293"/>
      <c r="F379" s="293"/>
    </row>
    <row r="380" spans="2:6" s="290" customFormat="1" ht="26.1" customHeight="1" x14ac:dyDescent="0.2">
      <c r="B380" s="289"/>
      <c r="E380" s="293"/>
      <c r="F380" s="293"/>
    </row>
    <row r="381" spans="2:6" s="290" customFormat="1" ht="26.1" customHeight="1" x14ac:dyDescent="0.2">
      <c r="B381" s="295"/>
      <c r="E381" s="293"/>
      <c r="F381" s="293"/>
    </row>
    <row r="382" spans="2:6" s="290" customFormat="1" ht="26.1" customHeight="1" x14ac:dyDescent="0.2">
      <c r="B382" s="295"/>
      <c r="E382" s="293"/>
      <c r="F382" s="293"/>
    </row>
    <row r="383" spans="2:6" s="290" customFormat="1" ht="26.1" customHeight="1" x14ac:dyDescent="0.2">
      <c r="B383" s="295"/>
      <c r="E383" s="293"/>
      <c r="F383" s="293"/>
    </row>
    <row r="384" spans="2:6" s="290" customFormat="1" ht="26.1" customHeight="1" x14ac:dyDescent="0.2">
      <c r="B384" s="289"/>
      <c r="E384" s="293"/>
      <c r="F384" s="85"/>
    </row>
    <row r="385" spans="2:6" s="290" customFormat="1" ht="26.1" customHeight="1" x14ac:dyDescent="0.2">
      <c r="B385" s="289"/>
      <c r="E385" s="293"/>
      <c r="F385" s="293"/>
    </row>
    <row r="386" spans="2:6" s="290" customFormat="1" ht="26.1" customHeight="1" x14ac:dyDescent="0.2">
      <c r="B386" s="289"/>
      <c r="E386" s="293"/>
      <c r="F386" s="293"/>
    </row>
    <row r="387" spans="2:6" s="290" customFormat="1" ht="26.1" customHeight="1" x14ac:dyDescent="0.2">
      <c r="B387" s="289"/>
      <c r="E387" s="293"/>
      <c r="F387" s="293"/>
    </row>
    <row r="388" spans="2:6" s="290" customFormat="1" ht="26.1" customHeight="1" x14ac:dyDescent="0.2">
      <c r="B388" s="289"/>
      <c r="E388" s="293"/>
      <c r="F388" s="293"/>
    </row>
    <row r="389" spans="2:6" s="290" customFormat="1" ht="26.1" customHeight="1" x14ac:dyDescent="0.2">
      <c r="B389" s="289"/>
      <c r="E389" s="293"/>
      <c r="F389" s="293"/>
    </row>
    <row r="390" spans="2:6" s="290" customFormat="1" ht="26.1" customHeight="1" x14ac:dyDescent="0.2">
      <c r="B390" s="289"/>
      <c r="E390" s="293"/>
      <c r="F390" s="293"/>
    </row>
    <row r="391" spans="2:6" s="290" customFormat="1" ht="26.1" customHeight="1" x14ac:dyDescent="0.2">
      <c r="B391" s="289"/>
      <c r="E391" s="293"/>
      <c r="F391" s="293"/>
    </row>
    <row r="392" spans="2:6" s="290" customFormat="1" ht="26.1" customHeight="1" x14ac:dyDescent="0.2">
      <c r="B392" s="289"/>
      <c r="E392" s="293"/>
      <c r="F392" s="293"/>
    </row>
    <row r="393" spans="2:6" s="290" customFormat="1" ht="26.1" customHeight="1" x14ac:dyDescent="0.2">
      <c r="B393" s="289"/>
      <c r="E393" s="293"/>
      <c r="F393" s="293"/>
    </row>
    <row r="394" spans="2:6" s="290" customFormat="1" ht="26.1" customHeight="1" x14ac:dyDescent="0.2">
      <c r="B394" s="289"/>
      <c r="E394" s="293"/>
      <c r="F394" s="293"/>
    </row>
    <row r="395" spans="2:6" s="290" customFormat="1" ht="26.1" customHeight="1" x14ac:dyDescent="0.2">
      <c r="B395" s="289"/>
      <c r="E395" s="293"/>
      <c r="F395" s="293"/>
    </row>
    <row r="396" spans="2:6" s="290" customFormat="1" ht="26.1" customHeight="1" x14ac:dyDescent="0.2">
      <c r="B396" s="289"/>
      <c r="E396" s="293"/>
      <c r="F396" s="293"/>
    </row>
    <row r="397" spans="2:6" s="290" customFormat="1" ht="26.1" customHeight="1" x14ac:dyDescent="0.2">
      <c r="B397" s="289"/>
      <c r="E397" s="293"/>
      <c r="F397" s="293"/>
    </row>
    <row r="398" spans="2:6" s="290" customFormat="1" ht="26.1" customHeight="1" x14ac:dyDescent="0.2">
      <c r="B398" s="289"/>
      <c r="E398" s="293"/>
      <c r="F398" s="293"/>
    </row>
    <row r="399" spans="2:6" s="290" customFormat="1" ht="26.1" customHeight="1" x14ac:dyDescent="0.2">
      <c r="B399" s="289"/>
      <c r="E399" s="293"/>
      <c r="F399" s="293"/>
    </row>
    <row r="400" spans="2:6" s="290" customFormat="1" ht="26.1" customHeight="1" x14ac:dyDescent="0.2">
      <c r="B400" s="289"/>
      <c r="E400" s="293"/>
      <c r="F400" s="293"/>
    </row>
    <row r="401" spans="2:6" s="290" customFormat="1" ht="26.1" customHeight="1" x14ac:dyDescent="0.2">
      <c r="B401" s="289"/>
      <c r="E401" s="293"/>
      <c r="F401" s="293"/>
    </row>
    <row r="402" spans="2:6" s="290" customFormat="1" ht="26.1" customHeight="1" x14ac:dyDescent="0.2">
      <c r="B402" s="289"/>
      <c r="E402" s="293"/>
      <c r="F402" s="293"/>
    </row>
    <row r="403" spans="2:6" s="290" customFormat="1" ht="26.1" customHeight="1" x14ac:dyDescent="0.2">
      <c r="B403" s="289"/>
      <c r="E403" s="293"/>
      <c r="F403" s="293"/>
    </row>
    <row r="404" spans="2:6" s="290" customFormat="1" ht="26.1" customHeight="1" x14ac:dyDescent="0.2">
      <c r="B404" s="289"/>
      <c r="E404" s="293"/>
      <c r="F404" s="293"/>
    </row>
    <row r="405" spans="2:6" s="290" customFormat="1" ht="26.1" customHeight="1" x14ac:dyDescent="0.2">
      <c r="B405" s="289"/>
      <c r="C405" s="292"/>
      <c r="D405" s="291"/>
      <c r="E405" s="293"/>
      <c r="F405" s="293"/>
    </row>
    <row r="406" spans="2:6" s="290" customFormat="1" ht="26.1" customHeight="1" x14ac:dyDescent="0.2">
      <c r="B406" s="289"/>
      <c r="C406" s="291"/>
      <c r="D406" s="291"/>
      <c r="E406" s="296"/>
      <c r="F406" s="293"/>
    </row>
    <row r="407" spans="2:6" s="291" customFormat="1" ht="26.1" customHeight="1" x14ac:dyDescent="0.2">
      <c r="B407" s="297"/>
      <c r="E407" s="296"/>
      <c r="F407" s="293"/>
    </row>
    <row r="408" spans="2:6" s="291" customFormat="1" ht="26.1" customHeight="1" x14ac:dyDescent="0.2">
      <c r="B408" s="297"/>
      <c r="E408" s="296"/>
      <c r="F408" s="293"/>
    </row>
    <row r="409" spans="2:6" s="291" customFormat="1" ht="26.1" customHeight="1" x14ac:dyDescent="0.2">
      <c r="B409" s="297"/>
      <c r="E409" s="296"/>
      <c r="F409" s="293"/>
    </row>
    <row r="410" spans="2:6" s="291" customFormat="1" ht="26.1" customHeight="1" x14ac:dyDescent="0.2">
      <c r="B410" s="297"/>
      <c r="E410" s="296"/>
      <c r="F410" s="293"/>
    </row>
    <row r="411" spans="2:6" s="291" customFormat="1" ht="26.1" customHeight="1" x14ac:dyDescent="0.2">
      <c r="B411" s="297"/>
      <c r="E411" s="296"/>
      <c r="F411" s="293"/>
    </row>
    <row r="412" spans="2:6" s="291" customFormat="1" ht="26.1" customHeight="1" x14ac:dyDescent="0.2">
      <c r="B412" s="297"/>
      <c r="E412" s="296"/>
      <c r="F412" s="293"/>
    </row>
    <row r="413" spans="2:6" s="291" customFormat="1" ht="26.1" customHeight="1" x14ac:dyDescent="0.2">
      <c r="B413" s="297"/>
      <c r="E413" s="296"/>
      <c r="F413" s="293"/>
    </row>
    <row r="414" spans="2:6" s="291" customFormat="1" ht="26.1" customHeight="1" x14ac:dyDescent="0.2">
      <c r="B414" s="297"/>
      <c r="E414" s="296"/>
      <c r="F414" s="293"/>
    </row>
    <row r="415" spans="2:6" s="291" customFormat="1" ht="26.1" customHeight="1" x14ac:dyDescent="0.2">
      <c r="B415" s="297"/>
      <c r="E415" s="296"/>
      <c r="F415" s="293"/>
    </row>
    <row r="416" spans="2:6" s="290" customFormat="1" ht="26.1" customHeight="1" x14ac:dyDescent="0.2">
      <c r="B416" s="289"/>
      <c r="C416" s="291"/>
      <c r="E416" s="296"/>
      <c r="F416" s="293"/>
    </row>
    <row r="417" spans="2:6" s="290" customFormat="1" ht="26.1" customHeight="1" x14ac:dyDescent="0.2">
      <c r="B417" s="289"/>
      <c r="C417" s="291"/>
      <c r="E417" s="296"/>
      <c r="F417" s="293"/>
    </row>
    <row r="418" spans="2:6" s="290" customFormat="1" ht="26.1" customHeight="1" x14ac:dyDescent="0.2">
      <c r="B418" s="289"/>
      <c r="C418" s="291"/>
      <c r="E418" s="296"/>
      <c r="F418" s="293"/>
    </row>
    <row r="419" spans="2:6" s="290" customFormat="1" ht="26.1" customHeight="1" x14ac:dyDescent="0.2">
      <c r="B419" s="289"/>
      <c r="C419" s="291"/>
      <c r="E419" s="296"/>
      <c r="F419" s="293"/>
    </row>
  </sheetData>
  <sheetProtection algorithmName="SHA-512" hashValue="OGfEimSWGgxRc/XVjqSQSmWWF30MUaDka8MRx2zHPvr9OI4d/GJGIjemgIuBgEvsNNAjcUpHTKbkOjUO8w492A==" saltValue="ooaG8bxUw0Sw08rXF3gtT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J200"/>
  <sheetViews>
    <sheetView zoomScale="90" zoomScaleNormal="90" workbookViewId="0">
      <selection activeCell="D1" sqref="D1"/>
    </sheetView>
  </sheetViews>
  <sheetFormatPr baseColWidth="10" defaultColWidth="11.5703125" defaultRowHeight="12" x14ac:dyDescent="0.2"/>
  <cols>
    <col min="1" max="1" width="6.85546875" style="256" customWidth="1"/>
    <col min="2" max="2" width="12.7109375" style="257" customWidth="1"/>
    <col min="3" max="3" width="10.7109375" style="257" customWidth="1"/>
    <col min="4" max="4" width="46.28515625" style="256" customWidth="1"/>
    <col min="5" max="5" width="51.28515625" style="258" customWidth="1"/>
    <col min="6" max="6" width="46.28515625" style="259" customWidth="1"/>
    <col min="7" max="7" width="46.28515625" style="260" customWidth="1"/>
    <col min="8" max="16384" width="11.5703125" style="253"/>
  </cols>
  <sheetData>
    <row r="1" spans="1:10" s="255" customFormat="1" ht="25.9" customHeight="1" x14ac:dyDescent="0.35">
      <c r="A1" s="247">
        <f>VLOOKUP(C1,H1:I3,2)</f>
        <v>3</v>
      </c>
      <c r="B1" s="248" t="s">
        <v>181</v>
      </c>
      <c r="C1" s="249" t="s">
        <v>188</v>
      </c>
      <c r="D1" s="299" t="s">
        <v>192</v>
      </c>
      <c r="E1" s="250" t="s">
        <v>183</v>
      </c>
      <c r="F1" s="251"/>
      <c r="G1" s="252"/>
      <c r="H1" s="253" t="str">
        <f>E3</f>
        <v>deutsch</v>
      </c>
      <c r="I1" s="254">
        <v>1</v>
      </c>
    </row>
    <row r="2" spans="1:10" ht="25.9" customHeight="1" x14ac:dyDescent="0.2">
      <c r="H2" s="253" t="str">
        <f>F3</f>
        <v>französisch</v>
      </c>
      <c r="I2" s="254">
        <v>2</v>
      </c>
    </row>
    <row r="3" spans="1:10" s="266" customFormat="1" ht="25.9" customHeight="1" x14ac:dyDescent="0.25">
      <c r="A3" s="261"/>
      <c r="B3" s="262" t="s">
        <v>184</v>
      </c>
      <c r="C3" s="262" t="s">
        <v>185</v>
      </c>
      <c r="D3" s="261" t="s">
        <v>186</v>
      </c>
      <c r="E3" s="263" t="s">
        <v>182</v>
      </c>
      <c r="F3" s="264" t="s">
        <v>187</v>
      </c>
      <c r="G3" s="265" t="s">
        <v>188</v>
      </c>
      <c r="H3" s="253" t="str">
        <f>G3</f>
        <v>italienisch</v>
      </c>
      <c r="I3" s="254">
        <v>3</v>
      </c>
    </row>
    <row r="4" spans="1:10" ht="25.9" customHeight="1" x14ac:dyDescent="0.2">
      <c r="A4" s="256">
        <v>1</v>
      </c>
      <c r="B4" s="257" t="s">
        <v>201</v>
      </c>
      <c r="D4" s="267" t="str">
        <f>INDEX($E$4:$G$200,$A4,$A$1)</f>
        <v>v1.31</v>
      </c>
      <c r="E4" s="258" t="s">
        <v>625</v>
      </c>
      <c r="F4" s="259" t="str">
        <f>E4</f>
        <v>v1.31</v>
      </c>
      <c r="G4" s="260" t="str">
        <f>E4</f>
        <v>v1.31</v>
      </c>
    </row>
    <row r="5" spans="1:10" ht="25.9" customHeight="1" x14ac:dyDescent="0.2">
      <c r="A5" s="256">
        <v>2</v>
      </c>
      <c r="B5" s="257" t="s">
        <v>201</v>
      </c>
      <c r="C5" s="257" t="s">
        <v>198</v>
      </c>
      <c r="D5" s="267" t="str">
        <f t="shared" ref="D5:D68" si="0">INDEX($E$4:$G$200,$A5,$A$1)</f>
        <v>Versione 2019.1 (1.31), valevole fino al 31.12.2022</v>
      </c>
      <c r="E5" s="258" t="s">
        <v>634</v>
      </c>
      <c r="F5" s="259" t="s">
        <v>635</v>
      </c>
      <c r="G5" s="260" t="s">
        <v>636</v>
      </c>
      <c r="H5" s="253" t="s">
        <v>325</v>
      </c>
      <c r="I5" s="300">
        <v>1</v>
      </c>
      <c r="J5" s="301"/>
    </row>
    <row r="6" spans="1:10" ht="25.9" customHeight="1" x14ac:dyDescent="0.2">
      <c r="A6" s="256">
        <v>3</v>
      </c>
      <c r="B6" s="257" t="s">
        <v>201</v>
      </c>
      <c r="C6" s="257" t="s">
        <v>189</v>
      </c>
      <c r="D6" s="267" t="str">
        <f t="shared" si="0"/>
        <v>Calcolo del fabbisogno per la ventilazione (EN-101d)</v>
      </c>
      <c r="E6" s="258" t="s">
        <v>626</v>
      </c>
      <c r="F6" s="259" t="s">
        <v>627</v>
      </c>
      <c r="G6" s="260" t="s">
        <v>628</v>
      </c>
      <c r="H6" s="253" t="s">
        <v>192</v>
      </c>
      <c r="I6" s="300">
        <v>2</v>
      </c>
      <c r="J6" s="301"/>
    </row>
    <row r="7" spans="1:10" ht="25.9" customHeight="1" x14ac:dyDescent="0.2">
      <c r="A7" s="256">
        <v>4</v>
      </c>
      <c r="B7" s="257" t="s">
        <v>201</v>
      </c>
      <c r="C7" s="257" t="s">
        <v>202</v>
      </c>
      <c r="D7" s="267" t="str">
        <f t="shared" si="0"/>
        <v>Nr.</v>
      </c>
      <c r="E7" s="258" t="s">
        <v>48</v>
      </c>
      <c r="F7" s="259" t="s">
        <v>379</v>
      </c>
      <c r="G7" s="260" t="s">
        <v>69</v>
      </c>
      <c r="H7" s="253" t="s">
        <v>326</v>
      </c>
      <c r="I7" s="302">
        <f>VLOOKUP(D1,H5:I6,2,FALSE)</f>
        <v>2</v>
      </c>
      <c r="J7" s="301"/>
    </row>
    <row r="8" spans="1:10" ht="25.9" customHeight="1" x14ac:dyDescent="0.2">
      <c r="A8" s="256">
        <v>5</v>
      </c>
      <c r="B8" s="257" t="s">
        <v>201</v>
      </c>
      <c r="C8" s="257" t="s">
        <v>203</v>
      </c>
      <c r="D8" s="267" t="str">
        <f t="shared" si="0"/>
        <v>AE</v>
      </c>
      <c r="E8" s="258" t="s">
        <v>62</v>
      </c>
      <c r="F8" s="259" t="s">
        <v>380</v>
      </c>
      <c r="G8" s="260" t="s">
        <v>396</v>
      </c>
      <c r="H8" s="253" t="s">
        <v>327</v>
      </c>
      <c r="I8" s="300" t="b">
        <f>I7=1</f>
        <v>0</v>
      </c>
      <c r="J8" s="301"/>
    </row>
    <row r="9" spans="1:10" ht="25.9" customHeight="1" x14ac:dyDescent="0.2">
      <c r="A9" s="256">
        <v>6</v>
      </c>
      <c r="B9" s="257" t="s">
        <v>201</v>
      </c>
      <c r="C9" s="257" t="s">
        <v>204</v>
      </c>
      <c r="D9" s="267" t="str">
        <f t="shared" si="0"/>
        <v>Utilizzo</v>
      </c>
      <c r="E9" s="258" t="s">
        <v>49</v>
      </c>
      <c r="F9" s="259" t="s">
        <v>381</v>
      </c>
      <c r="G9" s="260" t="s">
        <v>397</v>
      </c>
      <c r="I9" s="301"/>
      <c r="J9" s="301"/>
    </row>
    <row r="10" spans="1:10" ht="26.1" customHeight="1" x14ac:dyDescent="0.2">
      <c r="A10" s="256">
        <v>7</v>
      </c>
      <c r="B10" s="257" t="s">
        <v>201</v>
      </c>
      <c r="C10" s="257" t="s">
        <v>205</v>
      </c>
      <c r="D10" s="267" t="str">
        <f t="shared" si="0"/>
        <v>Superficie</v>
      </c>
      <c r="E10" s="258" t="s">
        <v>82</v>
      </c>
      <c r="F10" s="259" t="s">
        <v>382</v>
      </c>
      <c r="G10" s="260" t="s">
        <v>398</v>
      </c>
    </row>
    <row r="11" spans="1:10" ht="26.1" customHeight="1" x14ac:dyDescent="0.2">
      <c r="A11" s="256">
        <v>8</v>
      </c>
      <c r="B11" s="257" t="s">
        <v>201</v>
      </c>
      <c r="C11" s="257" t="s">
        <v>206</v>
      </c>
      <c r="D11" s="267" t="str">
        <f t="shared" si="0"/>
        <v>Tipo di ventilazione</v>
      </c>
      <c r="E11" s="258" t="s">
        <v>8</v>
      </c>
      <c r="F11" s="259" t="s">
        <v>383</v>
      </c>
      <c r="G11" s="260" t="s">
        <v>399</v>
      </c>
    </row>
    <row r="12" spans="1:10" ht="26.1" customHeight="1" x14ac:dyDescent="0.2">
      <c r="A12" s="256">
        <v>9</v>
      </c>
      <c r="B12" s="257" t="s">
        <v>201</v>
      </c>
      <c r="C12" s="257" t="s">
        <v>207</v>
      </c>
      <c r="D12" s="267" t="str">
        <f t="shared" si="0"/>
        <v>Volumi d'aria (dimensionamento)</v>
      </c>
      <c r="E12" s="269" t="s">
        <v>157</v>
      </c>
      <c r="F12" s="270" t="s">
        <v>384</v>
      </c>
      <c r="G12" s="260" t="s">
        <v>400</v>
      </c>
    </row>
    <row r="13" spans="1:10" ht="26.1" customHeight="1" x14ac:dyDescent="0.2">
      <c r="A13" s="256">
        <v>10</v>
      </c>
      <c r="B13" s="257" t="s">
        <v>201</v>
      </c>
      <c r="C13" s="257" t="s">
        <v>208</v>
      </c>
      <c r="D13" s="267" t="str">
        <f t="shared" si="0"/>
        <v xml:space="preserve">Ventilatori (+ pompe RC con circuito idraulico)
</v>
      </c>
      <c r="E13" s="258" t="s">
        <v>179</v>
      </c>
      <c r="F13" s="259" t="s">
        <v>385</v>
      </c>
      <c r="G13" s="260" t="s">
        <v>401</v>
      </c>
    </row>
    <row r="14" spans="1:10" ht="26.1" customHeight="1" x14ac:dyDescent="0.2">
      <c r="A14" s="256">
        <v>11</v>
      </c>
      <c r="B14" s="257" t="s">
        <v>201</v>
      </c>
      <c r="C14" s="257" t="s">
        <v>209</v>
      </c>
      <c r="D14" s="267" t="str">
        <f t="shared" si="0"/>
        <v>Regolazione/controllo</v>
      </c>
      <c r="E14" s="258" t="s">
        <v>52</v>
      </c>
      <c r="F14" s="259" t="s">
        <v>386</v>
      </c>
      <c r="G14" s="260" t="s">
        <v>402</v>
      </c>
    </row>
    <row r="15" spans="1:10" ht="26.1" customHeight="1" x14ac:dyDescent="0.2">
      <c r="A15" s="256">
        <v>12</v>
      </c>
      <c r="B15" s="257" t="s">
        <v>201</v>
      </c>
      <c r="C15" s="257" t="s">
        <v>210</v>
      </c>
      <c r="D15" s="267" t="str">
        <f t="shared" si="0"/>
        <v>Ore a pieno carico; ventilazione</v>
      </c>
      <c r="E15" s="258" t="s">
        <v>362</v>
      </c>
      <c r="F15" s="259" t="s">
        <v>387</v>
      </c>
      <c r="G15" s="260" t="s">
        <v>403</v>
      </c>
    </row>
    <row r="16" spans="1:10" s="274" customFormat="1" ht="26.1" customHeight="1" x14ac:dyDescent="0.2">
      <c r="A16" s="256">
        <v>13</v>
      </c>
      <c r="B16" s="257" t="s">
        <v>201</v>
      </c>
      <c r="C16" s="257" t="s">
        <v>212</v>
      </c>
      <c r="D16" s="267" t="str">
        <f t="shared" si="0"/>
        <v>Tipo RC</v>
      </c>
      <c r="E16" s="271" t="s">
        <v>50</v>
      </c>
      <c r="F16" s="272" t="s">
        <v>388</v>
      </c>
      <c r="G16" s="273" t="s">
        <v>404</v>
      </c>
    </row>
    <row r="17" spans="1:7" ht="26.1" customHeight="1" x14ac:dyDescent="0.2">
      <c r="A17" s="256">
        <v>14</v>
      </c>
      <c r="B17" s="257" t="s">
        <v>201</v>
      </c>
      <c r="C17" s="257" t="s">
        <v>213</v>
      </c>
      <c r="D17" s="267" t="str">
        <f t="shared" si="0"/>
        <v>Rendimento medio annuo</v>
      </c>
      <c r="E17" s="258" t="s">
        <v>6</v>
      </c>
      <c r="F17" s="259" t="s">
        <v>389</v>
      </c>
      <c r="G17" s="260" t="s">
        <v>405</v>
      </c>
    </row>
    <row r="18" spans="1:7" ht="26.1" customHeight="1" x14ac:dyDescent="0.2">
      <c r="A18" s="256">
        <v>15</v>
      </c>
      <c r="B18" s="257" t="s">
        <v>201</v>
      </c>
      <c r="C18" s="257" t="s">
        <v>211</v>
      </c>
      <c r="D18" s="267" t="str">
        <f t="shared" si="0"/>
        <v>Portata d'aria esterna term. det.</v>
      </c>
      <c r="E18" s="258" t="s">
        <v>180</v>
      </c>
      <c r="F18" s="259" t="s">
        <v>390</v>
      </c>
      <c r="G18" s="260" t="s">
        <v>406</v>
      </c>
    </row>
    <row r="19" spans="1:7" ht="26.1" customHeight="1" x14ac:dyDescent="0.2">
      <c r="A19" s="256">
        <v>16</v>
      </c>
      <c r="B19" s="257" t="s">
        <v>201</v>
      </c>
      <c r="C19" s="257" t="s">
        <v>214</v>
      </c>
      <c r="D19" s="267" t="str">
        <f t="shared" si="0"/>
        <v>Fabbisogno di corrente per la ventilazione</v>
      </c>
      <c r="E19" s="258" t="s">
        <v>71</v>
      </c>
      <c r="F19" s="259" t="s">
        <v>391</v>
      </c>
      <c r="G19" s="260" t="s">
        <v>407</v>
      </c>
    </row>
    <row r="20" spans="1:7" ht="26.1" customHeight="1" x14ac:dyDescent="0.2">
      <c r="A20" s="256">
        <v>17</v>
      </c>
      <c r="D20" s="267" t="str">
        <f t="shared" si="0"/>
        <v>MINERGIE</v>
      </c>
      <c r="E20" s="258" t="s">
        <v>192</v>
      </c>
      <c r="F20" s="259" t="s">
        <v>192</v>
      </c>
      <c r="G20" s="260" t="s">
        <v>192</v>
      </c>
    </row>
    <row r="21" spans="1:7" ht="26.1" customHeight="1" x14ac:dyDescent="0.2">
      <c r="A21" s="256">
        <v>18</v>
      </c>
      <c r="D21" s="267" t="str">
        <f t="shared" si="0"/>
        <v>MINERGIE-P</v>
      </c>
      <c r="E21" s="258" t="s">
        <v>193</v>
      </c>
      <c r="F21" s="259" t="s">
        <v>193</v>
      </c>
      <c r="G21" s="260" t="s">
        <v>193</v>
      </c>
    </row>
    <row r="22" spans="1:7" ht="26.1" customHeight="1" x14ac:dyDescent="0.2">
      <c r="A22" s="256">
        <v>19</v>
      </c>
      <c r="D22" s="267" t="str">
        <f t="shared" si="0"/>
        <v>MINERGIE-A</v>
      </c>
      <c r="E22" s="258" t="s">
        <v>194</v>
      </c>
      <c r="F22" s="259" t="s">
        <v>194</v>
      </c>
      <c r="G22" s="260" t="s">
        <v>194</v>
      </c>
    </row>
    <row r="23" spans="1:7" ht="26.1" customHeight="1" x14ac:dyDescent="0.2">
      <c r="A23" s="256">
        <v>20</v>
      </c>
      <c r="D23" s="267" t="str">
        <f t="shared" si="0"/>
        <v>Rispetta</v>
      </c>
      <c r="E23" s="258" t="s">
        <v>195</v>
      </c>
      <c r="F23" s="259" t="s">
        <v>392</v>
      </c>
      <c r="G23" s="260" t="s">
        <v>408</v>
      </c>
    </row>
    <row r="24" spans="1:7" ht="26.1" customHeight="1" x14ac:dyDescent="0.2">
      <c r="A24" s="256">
        <v>21</v>
      </c>
      <c r="D24" s="267" t="str">
        <f t="shared" si="0"/>
        <v>Non rispetta</v>
      </c>
      <c r="E24" s="258" t="s">
        <v>196</v>
      </c>
      <c r="F24" s="259" t="s">
        <v>393</v>
      </c>
      <c r="G24" s="260" t="s">
        <v>409</v>
      </c>
    </row>
    <row r="25" spans="1:7" ht="26.1" customHeight="1" x14ac:dyDescent="0.2">
      <c r="A25" s="256">
        <v>22</v>
      </c>
      <c r="B25" s="257" t="s">
        <v>224</v>
      </c>
      <c r="C25" s="257" t="s">
        <v>225</v>
      </c>
      <c r="D25" s="267" t="str">
        <f t="shared" si="0"/>
        <v>Si</v>
      </c>
      <c r="E25" s="258" t="s">
        <v>59</v>
      </c>
      <c r="F25" s="259" t="s">
        <v>394</v>
      </c>
      <c r="G25" s="260" t="s">
        <v>410</v>
      </c>
    </row>
    <row r="26" spans="1:7" ht="26.1" customHeight="1" x14ac:dyDescent="0.2">
      <c r="A26" s="256">
        <v>23</v>
      </c>
      <c r="B26" s="257" t="s">
        <v>224</v>
      </c>
      <c r="C26" s="257" t="s">
        <v>226</v>
      </c>
      <c r="D26" s="267" t="str">
        <f t="shared" si="0"/>
        <v>No</v>
      </c>
      <c r="E26" s="275" t="s">
        <v>60</v>
      </c>
      <c r="F26" s="276" t="s">
        <v>395</v>
      </c>
      <c r="G26" s="260" t="s">
        <v>411</v>
      </c>
    </row>
    <row r="27" spans="1:7" ht="26.1" customHeight="1" x14ac:dyDescent="0.2">
      <c r="A27" s="256">
        <v>24</v>
      </c>
      <c r="D27" s="267" t="str">
        <f t="shared" si="0"/>
        <v>N.a.</v>
      </c>
      <c r="E27" s="258" t="s">
        <v>197</v>
      </c>
      <c r="F27" s="259" t="s">
        <v>197</v>
      </c>
      <c r="G27" s="260" t="s">
        <v>412</v>
      </c>
    </row>
    <row r="28" spans="1:7" ht="26.1" customHeight="1" x14ac:dyDescent="0.2">
      <c r="A28" s="256">
        <v>25</v>
      </c>
      <c r="B28" s="257" t="s">
        <v>201</v>
      </c>
      <c r="C28" s="257" t="s">
        <v>216</v>
      </c>
      <c r="D28" s="267" t="str">
        <f t="shared" si="0"/>
        <v>Progetto:</v>
      </c>
      <c r="E28" s="258" t="s">
        <v>5</v>
      </c>
      <c r="F28" s="259" t="s">
        <v>413</v>
      </c>
      <c r="G28" s="260" t="s">
        <v>414</v>
      </c>
    </row>
    <row r="29" spans="1:7" ht="26.1" customHeight="1" x14ac:dyDescent="0.2">
      <c r="A29" s="256">
        <v>26</v>
      </c>
      <c r="B29" s="257" t="s">
        <v>201</v>
      </c>
      <c r="C29" s="257" t="s">
        <v>215</v>
      </c>
      <c r="D29" s="267" t="str">
        <f t="shared" si="0"/>
        <v>Le celle con sfondo verde e giallo scurosono obbligatorie, sfondo giallo chiaro facoltative</v>
      </c>
      <c r="E29" s="258" t="s">
        <v>163</v>
      </c>
      <c r="F29" s="259" t="s">
        <v>415</v>
      </c>
      <c r="G29" s="260" t="s">
        <v>416</v>
      </c>
    </row>
    <row r="30" spans="1:7" ht="26.1" customHeight="1" x14ac:dyDescent="0.2">
      <c r="A30" s="256">
        <v>27</v>
      </c>
      <c r="B30" s="257" t="s">
        <v>201</v>
      </c>
      <c r="C30" s="257" t="s">
        <v>217</v>
      </c>
      <c r="D30" s="267" t="str">
        <f t="shared" si="0"/>
        <v>Riportare nel formulario EN101b o nel formulario Minergie.</v>
      </c>
      <c r="E30" s="258" t="s">
        <v>218</v>
      </c>
      <c r="F30" s="259" t="s">
        <v>417</v>
      </c>
      <c r="G30" s="260" t="s">
        <v>418</v>
      </c>
    </row>
    <row r="31" spans="1:7" ht="26.1" customHeight="1" x14ac:dyDescent="0.2">
      <c r="A31" s="256">
        <v>28</v>
      </c>
      <c r="B31" s="257" t="s">
        <v>201</v>
      </c>
      <c r="C31" s="257" t="s">
        <v>190</v>
      </c>
      <c r="D31" s="267" t="str">
        <f t="shared" si="0"/>
        <v>Portata d'aria esterna term. det.</v>
      </c>
      <c r="E31" s="258" t="s">
        <v>55</v>
      </c>
      <c r="F31" s="259" t="s">
        <v>390</v>
      </c>
      <c r="G31" s="260" t="s">
        <v>406</v>
      </c>
    </row>
    <row r="32" spans="1:7" ht="26.1" customHeight="1" x14ac:dyDescent="0.2">
      <c r="A32" s="256">
        <v>29</v>
      </c>
      <c r="B32" s="257" t="s">
        <v>201</v>
      </c>
      <c r="C32" s="257" t="s">
        <v>191</v>
      </c>
      <c r="D32" s="267" t="str">
        <f t="shared" si="0"/>
        <v>Fabbisogno di corrente per la ventilazione</v>
      </c>
      <c r="E32" s="258" t="s">
        <v>7</v>
      </c>
      <c r="F32" s="259" t="s">
        <v>391</v>
      </c>
      <c r="G32" s="260" t="s">
        <v>407</v>
      </c>
    </row>
    <row r="33" spans="1:7" ht="26.1" customHeight="1" x14ac:dyDescent="0.2">
      <c r="A33" s="256">
        <v>30</v>
      </c>
      <c r="B33" s="257" t="s">
        <v>201</v>
      </c>
      <c r="C33" s="257" t="s">
        <v>219</v>
      </c>
      <c r="D33" s="267" t="str">
        <f t="shared" si="0"/>
        <v>(media annua, senza infiltrazioni)</v>
      </c>
      <c r="E33" s="258" t="s">
        <v>169</v>
      </c>
      <c r="F33" s="259" t="s">
        <v>419</v>
      </c>
      <c r="G33" s="260" t="s">
        <v>420</v>
      </c>
    </row>
    <row r="34" spans="1:7" ht="26.1" customHeight="1" x14ac:dyDescent="0.2">
      <c r="A34" s="256">
        <v>31</v>
      </c>
      <c r="B34" s="257" t="s">
        <v>201</v>
      </c>
      <c r="C34" s="257" t="s">
        <v>220</v>
      </c>
      <c r="D34" s="267" t="str">
        <f t="shared" si="0"/>
        <v xml:space="preserve">Ventilatori (+ pompe RC con circuito idraulico)
</v>
      </c>
      <c r="E34" s="258" t="s">
        <v>170</v>
      </c>
      <c r="F34" s="259" t="s">
        <v>421</v>
      </c>
      <c r="G34" s="260" t="s">
        <v>401</v>
      </c>
    </row>
    <row r="35" spans="1:7" ht="26.1" customHeight="1" x14ac:dyDescent="0.2">
      <c r="A35" s="256">
        <v>32</v>
      </c>
      <c r="B35" s="257" t="s">
        <v>201</v>
      </c>
      <c r="C35" s="257" t="s">
        <v>221</v>
      </c>
      <c r="D35" s="267" t="str">
        <f t="shared" si="0"/>
        <v>AE in totale=</v>
      </c>
      <c r="E35" s="258" t="s">
        <v>87</v>
      </c>
      <c r="F35" s="259" t="s">
        <v>422</v>
      </c>
      <c r="G35" s="260" t="s">
        <v>423</v>
      </c>
    </row>
    <row r="36" spans="1:7" ht="26.1" customHeight="1" x14ac:dyDescent="0.2">
      <c r="A36" s="256">
        <v>33</v>
      </c>
      <c r="B36" s="257" t="s">
        <v>201</v>
      </c>
      <c r="C36" s="257" t="s">
        <v>222</v>
      </c>
      <c r="D36" s="267" t="str">
        <f t="shared" si="0"/>
        <v>inserito</v>
      </c>
      <c r="E36" s="258" t="s">
        <v>63</v>
      </c>
      <c r="F36" s="259" t="s">
        <v>424</v>
      </c>
      <c r="G36" s="260" t="s">
        <v>425</v>
      </c>
    </row>
    <row r="37" spans="1:7" ht="26.1" customHeight="1" x14ac:dyDescent="0.2">
      <c r="A37" s="256">
        <v>34</v>
      </c>
      <c r="B37" s="257" t="s">
        <v>201</v>
      </c>
      <c r="C37" s="257" t="s">
        <v>223</v>
      </c>
      <c r="D37" s="267" t="str">
        <f t="shared" si="0"/>
        <v>calcolato</v>
      </c>
      <c r="E37" s="258" t="s">
        <v>64</v>
      </c>
      <c r="F37" s="259" t="s">
        <v>426</v>
      </c>
      <c r="G37" s="260" t="s">
        <v>427</v>
      </c>
    </row>
    <row r="38" spans="1:7" ht="26.1" customHeight="1" x14ac:dyDescent="0.2">
      <c r="A38" s="256">
        <v>35</v>
      </c>
      <c r="B38" s="257" t="s">
        <v>224</v>
      </c>
      <c r="C38" s="257" t="s">
        <v>227</v>
      </c>
      <c r="D38" s="267" t="str">
        <f t="shared" si="0"/>
        <v>a uno stadio</v>
      </c>
      <c r="E38" s="258" t="s">
        <v>124</v>
      </c>
      <c r="F38" s="259" t="s">
        <v>428</v>
      </c>
      <c r="G38" s="260" t="s">
        <v>429</v>
      </c>
    </row>
    <row r="39" spans="1:7" ht="25.9" customHeight="1" x14ac:dyDescent="0.2">
      <c r="A39" s="256">
        <v>36</v>
      </c>
      <c r="B39" s="257" t="s">
        <v>224</v>
      </c>
      <c r="C39" s="257" t="s">
        <v>228</v>
      </c>
      <c r="D39" s="267" t="str">
        <f t="shared" si="0"/>
        <v>a uno stadio con temporizzatore</v>
      </c>
      <c r="E39" s="258" t="s">
        <v>125</v>
      </c>
      <c r="F39" s="259" t="s">
        <v>430</v>
      </c>
      <c r="G39" s="260" t="s">
        <v>431</v>
      </c>
    </row>
    <row r="40" spans="1:7" ht="26.1" customHeight="1" x14ac:dyDescent="0.2">
      <c r="A40" s="256">
        <v>37</v>
      </c>
      <c r="B40" s="257" t="s">
        <v>224</v>
      </c>
      <c r="C40" s="257" t="s">
        <v>229</v>
      </c>
      <c r="D40" s="267" t="str">
        <f t="shared" si="0"/>
        <v>a uno stadio basato sulla necessità</v>
      </c>
      <c r="E40" s="258" t="s">
        <v>126</v>
      </c>
      <c r="F40" s="259" t="s">
        <v>432</v>
      </c>
      <c r="G40" s="260" t="s">
        <v>433</v>
      </c>
    </row>
    <row r="41" spans="1:7" ht="26.1" customHeight="1" x14ac:dyDescent="0.2">
      <c r="A41" s="256">
        <v>38</v>
      </c>
      <c r="B41" s="257" t="s">
        <v>224</v>
      </c>
      <c r="C41" s="257" t="s">
        <v>230</v>
      </c>
      <c r="D41" s="267" t="str">
        <f t="shared" si="0"/>
        <v>a due stadi</v>
      </c>
      <c r="E41" s="258" t="s">
        <v>127</v>
      </c>
      <c r="F41" s="259" t="s">
        <v>434</v>
      </c>
      <c r="G41" s="260" t="s">
        <v>435</v>
      </c>
    </row>
    <row r="42" spans="1:7" ht="26.1" customHeight="1" x14ac:dyDescent="0.2">
      <c r="A42" s="256">
        <v>39</v>
      </c>
      <c r="B42" s="257" t="s">
        <v>224</v>
      </c>
      <c r="C42" s="257" t="s">
        <v>231</v>
      </c>
      <c r="D42" s="267" t="str">
        <f t="shared" si="0"/>
        <v>a due stadi con temporizzatore</v>
      </c>
      <c r="E42" s="258" t="s">
        <v>128</v>
      </c>
      <c r="F42" s="259" t="s">
        <v>436</v>
      </c>
      <c r="G42" s="260" t="s">
        <v>437</v>
      </c>
    </row>
    <row r="43" spans="1:7" ht="26.1" customHeight="1" x14ac:dyDescent="0.2">
      <c r="A43" s="256">
        <v>40</v>
      </c>
      <c r="B43" s="257" t="s">
        <v>224</v>
      </c>
      <c r="C43" s="257" t="s">
        <v>232</v>
      </c>
      <c r="D43" s="267" t="str">
        <f t="shared" si="0"/>
        <v>a due stadi basato sulla necessità</v>
      </c>
      <c r="E43" s="258" t="s">
        <v>129</v>
      </c>
      <c r="F43" s="259" t="s">
        <v>438</v>
      </c>
      <c r="G43" s="260" t="s">
        <v>439</v>
      </c>
    </row>
    <row r="44" spans="1:7" ht="26.1" customHeight="1" x14ac:dyDescent="0.2">
      <c r="A44" s="256">
        <v>41</v>
      </c>
      <c r="B44" s="257" t="s">
        <v>224</v>
      </c>
      <c r="C44" s="257" t="s">
        <v>233</v>
      </c>
      <c r="D44" s="267" t="str">
        <f t="shared" si="0"/>
        <v>a tre stadi</v>
      </c>
      <c r="E44" s="258" t="s">
        <v>136</v>
      </c>
      <c r="F44" s="259" t="s">
        <v>440</v>
      </c>
      <c r="G44" s="260" t="s">
        <v>441</v>
      </c>
    </row>
    <row r="45" spans="1:7" ht="26.1" customHeight="1" x14ac:dyDescent="0.2">
      <c r="A45" s="256">
        <v>42</v>
      </c>
      <c r="B45" s="257" t="s">
        <v>224</v>
      </c>
      <c r="C45" s="257" t="s">
        <v>234</v>
      </c>
      <c r="D45" s="267" t="str">
        <f t="shared" si="0"/>
        <v>a tre stadi con temporizzatore</v>
      </c>
      <c r="E45" s="258" t="s">
        <v>137</v>
      </c>
      <c r="F45" s="259" t="s">
        <v>442</v>
      </c>
      <c r="G45" s="260" t="s">
        <v>443</v>
      </c>
    </row>
    <row r="46" spans="1:7" ht="26.1" customHeight="1" x14ac:dyDescent="0.2">
      <c r="A46" s="256">
        <v>43</v>
      </c>
      <c r="B46" s="257" t="s">
        <v>224</v>
      </c>
      <c r="C46" s="257" t="s">
        <v>235</v>
      </c>
      <c r="D46" s="267" t="str">
        <f t="shared" si="0"/>
        <v>a tre stadi basato sulla necessità</v>
      </c>
      <c r="E46" s="258" t="s">
        <v>138</v>
      </c>
      <c r="F46" s="259" t="s">
        <v>444</v>
      </c>
      <c r="G46" s="260" t="s">
        <v>445</v>
      </c>
    </row>
    <row r="47" spans="1:7" ht="25.9" customHeight="1" x14ac:dyDescent="0.2">
      <c r="A47" s="256">
        <v>44</v>
      </c>
      <c r="B47" s="257" t="s">
        <v>224</v>
      </c>
      <c r="C47" s="257" t="s">
        <v>236</v>
      </c>
      <c r="D47" s="267" t="str">
        <f t="shared" si="0"/>
        <v>sensore temperatura</v>
      </c>
      <c r="E47" s="258" t="s">
        <v>130</v>
      </c>
      <c r="F47" s="259" t="s">
        <v>446</v>
      </c>
      <c r="G47" s="260" t="s">
        <v>447</v>
      </c>
    </row>
    <row r="48" spans="1:7" ht="25.9" customHeight="1" x14ac:dyDescent="0.2">
      <c r="A48" s="256">
        <v>45</v>
      </c>
      <c r="B48" s="257" t="s">
        <v>224</v>
      </c>
      <c r="C48" s="257" t="s">
        <v>237</v>
      </c>
      <c r="D48" s="267" t="str">
        <f t="shared" si="0"/>
        <v>sensore temperatura e CO2 per zona</v>
      </c>
      <c r="E48" s="258" t="s">
        <v>131</v>
      </c>
      <c r="F48" s="259" t="s">
        <v>448</v>
      </c>
      <c r="G48" s="260" t="s">
        <v>449</v>
      </c>
    </row>
    <row r="49" spans="1:7" ht="26.1" customHeight="1" x14ac:dyDescent="0.2">
      <c r="A49" s="256">
        <v>46</v>
      </c>
      <c r="B49" s="257" t="s">
        <v>224</v>
      </c>
      <c r="C49" s="257" t="s">
        <v>238</v>
      </c>
      <c r="D49" s="267" t="str">
        <f t="shared" si="0"/>
        <v>sensore temperatura e CO2 per locale</v>
      </c>
      <c r="E49" s="258" t="s">
        <v>132</v>
      </c>
      <c r="F49" s="259" t="s">
        <v>450</v>
      </c>
      <c r="G49" s="260" t="s">
        <v>451</v>
      </c>
    </row>
    <row r="50" spans="1:7" ht="26.1" customHeight="1" x14ac:dyDescent="0.2">
      <c r="A50" s="256">
        <v>47</v>
      </c>
      <c r="B50" s="257" t="s">
        <v>224</v>
      </c>
      <c r="C50" s="257" t="s">
        <v>239</v>
      </c>
      <c r="D50" s="267" t="str">
        <f t="shared" si="0"/>
        <v>sensore solo CO2 per zona</v>
      </c>
      <c r="E50" s="258" t="s">
        <v>133</v>
      </c>
      <c r="F50" s="259" t="s">
        <v>452</v>
      </c>
      <c r="G50" s="260" t="s">
        <v>453</v>
      </c>
    </row>
    <row r="51" spans="1:7" ht="26.1" customHeight="1" x14ac:dyDescent="0.2">
      <c r="A51" s="256">
        <v>48</v>
      </c>
      <c r="B51" s="257" t="s">
        <v>224</v>
      </c>
      <c r="C51" s="257" t="s">
        <v>240</v>
      </c>
      <c r="D51" s="267" t="str">
        <f t="shared" si="0"/>
        <v>sensore solo CO2 per locale</v>
      </c>
      <c r="E51" s="258" t="s">
        <v>134</v>
      </c>
      <c r="F51" s="259" t="s">
        <v>454</v>
      </c>
      <c r="G51" s="260" t="s">
        <v>455</v>
      </c>
    </row>
    <row r="52" spans="1:7" ht="26.1" customHeight="1" x14ac:dyDescent="0.2">
      <c r="A52" s="256">
        <v>49</v>
      </c>
      <c r="B52" s="257" t="s">
        <v>224</v>
      </c>
      <c r="C52" s="257" t="s">
        <v>241</v>
      </c>
      <c r="D52" s="267">
        <f t="shared" si="0"/>
        <v>0</v>
      </c>
      <c r="E52" s="268" t="s">
        <v>242</v>
      </c>
    </row>
    <row r="53" spans="1:7" ht="26.1" customHeight="1" x14ac:dyDescent="0.2">
      <c r="A53" s="256">
        <v>50</v>
      </c>
      <c r="B53" s="257" t="s">
        <v>224</v>
      </c>
      <c r="C53" s="257" t="s">
        <v>243</v>
      </c>
      <c r="D53" s="267" t="str">
        <f t="shared" si="0"/>
        <v>senza RC</v>
      </c>
      <c r="E53" s="258" t="s">
        <v>61</v>
      </c>
      <c r="F53" s="259" t="s">
        <v>456</v>
      </c>
      <c r="G53" s="260" t="s">
        <v>457</v>
      </c>
    </row>
    <row r="54" spans="1:7" ht="26.1" customHeight="1" x14ac:dyDescent="0.2">
      <c r="A54" s="256">
        <v>51</v>
      </c>
      <c r="B54" s="257" t="s">
        <v>224</v>
      </c>
      <c r="C54" s="257" t="s">
        <v>244</v>
      </c>
      <c r="D54" s="267" t="str">
        <f t="shared" si="0"/>
        <v>incrociato a piastre</v>
      </c>
      <c r="E54" s="258" t="s">
        <v>66</v>
      </c>
      <c r="F54" s="259" t="s">
        <v>458</v>
      </c>
      <c r="G54" s="260" t="s">
        <v>459</v>
      </c>
    </row>
    <row r="55" spans="1:7" ht="26.1" customHeight="1" x14ac:dyDescent="0.2">
      <c r="A55" s="256">
        <v>52</v>
      </c>
      <c r="B55" s="257" t="s">
        <v>224</v>
      </c>
      <c r="C55" s="257" t="s">
        <v>245</v>
      </c>
      <c r="D55" s="267" t="str">
        <f t="shared" si="0"/>
        <v>incrociato entalpico</v>
      </c>
      <c r="E55" s="258" t="s">
        <v>146</v>
      </c>
      <c r="F55" s="259" t="s">
        <v>460</v>
      </c>
      <c r="G55" s="260" t="s">
        <v>461</v>
      </c>
    </row>
    <row r="56" spans="1:7" ht="26.1" customHeight="1" x14ac:dyDescent="0.2">
      <c r="A56" s="256">
        <v>53</v>
      </c>
      <c r="B56" s="257" t="s">
        <v>224</v>
      </c>
      <c r="C56" s="257" t="s">
        <v>246</v>
      </c>
      <c r="D56" s="267" t="str">
        <f t="shared" si="0"/>
        <v>controrrente a piaste</v>
      </c>
      <c r="E56" s="258" t="s">
        <v>67</v>
      </c>
      <c r="F56" s="259" t="s">
        <v>462</v>
      </c>
      <c r="G56" s="260" t="s">
        <v>463</v>
      </c>
    </row>
    <row r="57" spans="1:7" ht="26.1" customHeight="1" x14ac:dyDescent="0.2">
      <c r="A57" s="256">
        <v>54</v>
      </c>
      <c r="B57" s="257" t="s">
        <v>224</v>
      </c>
      <c r="C57" s="257" t="s">
        <v>247</v>
      </c>
      <c r="D57" s="267" t="str">
        <f t="shared" si="0"/>
        <v>controcorrente entalpico</v>
      </c>
      <c r="E57" s="258" t="s">
        <v>147</v>
      </c>
      <c r="F57" s="259" t="s">
        <v>464</v>
      </c>
      <c r="G57" s="260" t="s">
        <v>465</v>
      </c>
    </row>
    <row r="58" spans="1:7" ht="26.1" customHeight="1" x14ac:dyDescent="0.2">
      <c r="A58" s="256">
        <v>55</v>
      </c>
      <c r="B58" s="257" t="s">
        <v>224</v>
      </c>
      <c r="C58" s="257" t="s">
        <v>248</v>
      </c>
      <c r="D58" s="267" t="str">
        <f t="shared" si="0"/>
        <v>rotativo</v>
      </c>
      <c r="E58" s="258" t="s">
        <v>11</v>
      </c>
      <c r="F58" s="259" t="s">
        <v>466</v>
      </c>
      <c r="G58" s="260" t="s">
        <v>467</v>
      </c>
    </row>
    <row r="59" spans="1:7" ht="26.1" customHeight="1" x14ac:dyDescent="0.2">
      <c r="A59" s="256">
        <v>56</v>
      </c>
      <c r="B59" s="257" t="s">
        <v>224</v>
      </c>
      <c r="C59" s="257" t="s">
        <v>249</v>
      </c>
      <c r="D59" s="267" t="str">
        <f t="shared" si="0"/>
        <v>rotativo con recupero umidità</v>
      </c>
      <c r="E59" s="258" t="s">
        <v>68</v>
      </c>
      <c r="F59" s="259" t="s">
        <v>468</v>
      </c>
      <c r="G59" s="260" t="s">
        <v>469</v>
      </c>
    </row>
    <row r="60" spans="1:7" ht="26.1" customHeight="1" x14ac:dyDescent="0.2">
      <c r="A60" s="256">
        <v>57</v>
      </c>
      <c r="B60" s="257" t="s">
        <v>224</v>
      </c>
      <c r="C60" s="257" t="s">
        <v>250</v>
      </c>
      <c r="D60" s="267" t="str">
        <f t="shared" si="0"/>
        <v>sistema idraulico a circuito chiuso</v>
      </c>
      <c r="E60" s="258" t="s">
        <v>65</v>
      </c>
      <c r="F60" s="259" t="s">
        <v>470</v>
      </c>
      <c r="G60" s="260" t="s">
        <v>471</v>
      </c>
    </row>
    <row r="61" spans="1:7" ht="26.1" customHeight="1" x14ac:dyDescent="0.2">
      <c r="A61" s="256">
        <v>58</v>
      </c>
      <c r="B61" s="257" t="s">
        <v>224</v>
      </c>
      <c r="C61" s="257" t="s">
        <v>251</v>
      </c>
      <c r="D61" s="267" t="str">
        <f t="shared" si="0"/>
        <v>sist. Idraulico c.c. -regolato</v>
      </c>
      <c r="E61" s="258" t="s">
        <v>148</v>
      </c>
      <c r="F61" s="259" t="s">
        <v>472</v>
      </c>
      <c r="G61" s="260" t="s">
        <v>473</v>
      </c>
    </row>
    <row r="62" spans="1:7" ht="26.1" customHeight="1" x14ac:dyDescent="0.2">
      <c r="A62" s="256">
        <v>59</v>
      </c>
      <c r="B62" s="257" t="s">
        <v>224</v>
      </c>
      <c r="C62" s="257" t="s">
        <v>252</v>
      </c>
      <c r="D62" s="267" t="str">
        <f t="shared" si="0"/>
        <v>sist. Idraulico c .c. -regolato-ottimizzato</v>
      </c>
      <c r="E62" s="258" t="s">
        <v>149</v>
      </c>
      <c r="F62" s="259" t="s">
        <v>474</v>
      </c>
      <c r="G62" s="260" t="s">
        <v>475</v>
      </c>
    </row>
    <row r="63" spans="1:7" ht="26.1" customHeight="1" x14ac:dyDescent="0.2">
      <c r="A63" s="256">
        <v>60</v>
      </c>
      <c r="B63" s="257" t="s">
        <v>224</v>
      </c>
      <c r="C63" s="257" t="s">
        <v>253</v>
      </c>
      <c r="D63" s="267" t="str">
        <f t="shared" si="0"/>
        <v>Pdc aria immessa e aria estratta</v>
      </c>
      <c r="E63" s="258" t="s">
        <v>150</v>
      </c>
      <c r="F63" s="259" t="s">
        <v>476</v>
      </c>
      <c r="G63" s="260" t="s">
        <v>477</v>
      </c>
    </row>
    <row r="64" spans="1:7" ht="26.1" customHeight="1" x14ac:dyDescent="0.2">
      <c r="A64" s="256">
        <v>61</v>
      </c>
      <c r="B64" s="257" t="s">
        <v>224</v>
      </c>
      <c r="C64" s="257" t="s">
        <v>254</v>
      </c>
      <c r="D64" s="267">
        <f t="shared" si="0"/>
        <v>0</v>
      </c>
      <c r="E64" s="268" t="s">
        <v>242</v>
      </c>
    </row>
    <row r="65" spans="1:7" ht="26.1" customHeight="1" x14ac:dyDescent="0.2">
      <c r="A65" s="256">
        <v>62</v>
      </c>
      <c r="B65" s="257" t="s">
        <v>224</v>
      </c>
      <c r="C65" s="257" t="s">
        <v>255</v>
      </c>
      <c r="D65" s="267">
        <f t="shared" si="0"/>
        <v>0</v>
      </c>
      <c r="E65" s="268" t="s">
        <v>242</v>
      </c>
    </row>
    <row r="66" spans="1:7" ht="26.1" customHeight="1" x14ac:dyDescent="0.2">
      <c r="A66" s="256">
        <v>63</v>
      </c>
      <c r="B66" s="257" t="s">
        <v>224</v>
      </c>
      <c r="C66" s="257" t="s">
        <v>256</v>
      </c>
      <c r="D66" s="267">
        <f t="shared" si="0"/>
        <v>0</v>
      </c>
      <c r="E66" s="268" t="s">
        <v>242</v>
      </c>
    </row>
    <row r="67" spans="1:7" ht="26.1" customHeight="1" x14ac:dyDescent="0.2">
      <c r="A67" s="256">
        <v>64</v>
      </c>
      <c r="B67" s="257" t="s">
        <v>224</v>
      </c>
      <c r="C67" s="257" t="s">
        <v>257</v>
      </c>
      <c r="D67" s="267">
        <f t="shared" si="0"/>
        <v>0</v>
      </c>
      <c r="E67" s="268" t="s">
        <v>242</v>
      </c>
    </row>
    <row r="68" spans="1:7" ht="26.1" customHeight="1" x14ac:dyDescent="0.2">
      <c r="A68" s="256">
        <v>65</v>
      </c>
      <c r="B68" s="257" t="s">
        <v>224</v>
      </c>
      <c r="C68" s="257" t="s">
        <v>199</v>
      </c>
      <c r="D68" s="267" t="str">
        <f t="shared" si="0"/>
        <v>plurifamiliare - AE =</v>
      </c>
      <c r="E68" s="258" t="s">
        <v>109</v>
      </c>
      <c r="F68" s="259" t="s">
        <v>478</v>
      </c>
      <c r="G68" s="260" t="s">
        <v>479</v>
      </c>
    </row>
    <row r="69" spans="1:7" ht="26.1" customHeight="1" x14ac:dyDescent="0.2">
      <c r="A69" s="256">
        <v>66</v>
      </c>
      <c r="B69" s="257" t="s">
        <v>224</v>
      </c>
      <c r="C69" s="257" t="s">
        <v>258</v>
      </c>
      <c r="D69" s="267" t="str">
        <f t="shared" ref="D69:D132" si="1">INDEX($E$4:$G$200,$A69,$A$1)</f>
        <v>monofamiliare - AE =</v>
      </c>
      <c r="E69" s="258" t="s">
        <v>110</v>
      </c>
      <c r="F69" s="259" t="s">
        <v>480</v>
      </c>
      <c r="G69" s="260" t="s">
        <v>481</v>
      </c>
    </row>
    <row r="70" spans="1:7" ht="26.1" customHeight="1" x14ac:dyDescent="0.2">
      <c r="A70" s="256">
        <v>67</v>
      </c>
      <c r="B70" s="257" t="s">
        <v>224</v>
      </c>
      <c r="C70" s="257" t="s">
        <v>259</v>
      </c>
      <c r="D70" s="267" t="str">
        <f t="shared" si="1"/>
        <v>amministrativo - AE =</v>
      </c>
      <c r="E70" s="258" t="s">
        <v>120</v>
      </c>
      <c r="F70" s="259" t="s">
        <v>482</v>
      </c>
      <c r="G70" s="260" t="s">
        <v>483</v>
      </c>
    </row>
    <row r="71" spans="1:7" ht="26.1" customHeight="1" x14ac:dyDescent="0.2">
      <c r="A71" s="256">
        <v>68</v>
      </c>
      <c r="B71" s="257" t="s">
        <v>224</v>
      </c>
      <c r="C71" s="257" t="s">
        <v>260</v>
      </c>
      <c r="D71" s="267" t="str">
        <f t="shared" si="1"/>
        <v>scuola - AE =</v>
      </c>
      <c r="E71" s="258" t="s">
        <v>112</v>
      </c>
      <c r="F71" s="259" t="s">
        <v>484</v>
      </c>
      <c r="G71" s="260" t="s">
        <v>485</v>
      </c>
    </row>
    <row r="72" spans="1:7" ht="26.1" customHeight="1" x14ac:dyDescent="0.2">
      <c r="A72" s="256">
        <v>69</v>
      </c>
      <c r="B72" s="257" t="s">
        <v>224</v>
      </c>
      <c r="C72" s="257" t="s">
        <v>261</v>
      </c>
      <c r="D72" s="267" t="str">
        <f t="shared" si="1"/>
        <v>negozio - AE =</v>
      </c>
      <c r="E72" s="258" t="s">
        <v>111</v>
      </c>
      <c r="F72" s="259" t="s">
        <v>486</v>
      </c>
      <c r="G72" s="260" t="s">
        <v>487</v>
      </c>
    </row>
    <row r="73" spans="1:7" ht="26.1" customHeight="1" x14ac:dyDescent="0.2">
      <c r="A73" s="256">
        <v>70</v>
      </c>
      <c r="B73" s="257" t="s">
        <v>224</v>
      </c>
      <c r="C73" s="257" t="s">
        <v>262</v>
      </c>
      <c r="D73" s="267" t="str">
        <f t="shared" si="1"/>
        <v>ristorante - AE =</v>
      </c>
      <c r="E73" s="258" t="s">
        <v>113</v>
      </c>
      <c r="F73" s="259" t="s">
        <v>488</v>
      </c>
      <c r="G73" s="260" t="s">
        <v>489</v>
      </c>
    </row>
    <row r="74" spans="1:7" ht="26.1" customHeight="1" x14ac:dyDescent="0.2">
      <c r="A74" s="256">
        <v>71</v>
      </c>
      <c r="B74" s="257" t="s">
        <v>224</v>
      </c>
      <c r="C74" s="257" t="s">
        <v>263</v>
      </c>
      <c r="D74" s="267" t="str">
        <f t="shared" si="1"/>
        <v xml:space="preserve">locale pubblico - AE = </v>
      </c>
      <c r="E74" s="277" t="s">
        <v>114</v>
      </c>
      <c r="F74" s="270" t="s">
        <v>490</v>
      </c>
      <c r="G74" s="278" t="s">
        <v>491</v>
      </c>
    </row>
    <row r="75" spans="1:7" ht="26.1" customHeight="1" x14ac:dyDescent="0.2">
      <c r="A75" s="256">
        <v>72</v>
      </c>
      <c r="B75" s="257" t="s">
        <v>224</v>
      </c>
      <c r="C75" s="257" t="s">
        <v>264</v>
      </c>
      <c r="D75" s="267" t="str">
        <f t="shared" si="1"/>
        <v>ospedale - AE =</v>
      </c>
      <c r="E75" s="258" t="s">
        <v>115</v>
      </c>
      <c r="F75" s="259" t="s">
        <v>492</v>
      </c>
      <c r="G75" s="260" t="s">
        <v>493</v>
      </c>
    </row>
    <row r="76" spans="1:7" ht="26.1" customHeight="1" x14ac:dyDescent="0.2">
      <c r="A76" s="256">
        <v>73</v>
      </c>
      <c r="B76" s="257" t="s">
        <v>224</v>
      </c>
      <c r="C76" s="257" t="s">
        <v>265</v>
      </c>
      <c r="D76" s="267" t="str">
        <f t="shared" si="1"/>
        <v>industria - AE =</v>
      </c>
      <c r="E76" s="258" t="s">
        <v>116</v>
      </c>
      <c r="F76" s="259" t="s">
        <v>494</v>
      </c>
      <c r="G76" s="260" t="s">
        <v>495</v>
      </c>
    </row>
    <row r="77" spans="1:7" ht="26.1" customHeight="1" x14ac:dyDescent="0.2">
      <c r="A77" s="256">
        <v>74</v>
      </c>
      <c r="B77" s="257" t="s">
        <v>224</v>
      </c>
      <c r="C77" s="257" t="s">
        <v>266</v>
      </c>
      <c r="D77" s="267" t="str">
        <f t="shared" si="1"/>
        <v>magazzino - AE =</v>
      </c>
      <c r="E77" s="258" t="s">
        <v>119</v>
      </c>
      <c r="F77" s="259" t="s">
        <v>496</v>
      </c>
      <c r="G77" s="260" t="s">
        <v>497</v>
      </c>
    </row>
    <row r="78" spans="1:7" ht="26.1" customHeight="1" x14ac:dyDescent="0.2">
      <c r="A78" s="256">
        <v>75</v>
      </c>
      <c r="B78" s="257" t="s">
        <v>224</v>
      </c>
      <c r="C78" s="257" t="s">
        <v>267</v>
      </c>
      <c r="D78" s="267" t="str">
        <f t="shared" si="1"/>
        <v>imp. Sportivo -AE =</v>
      </c>
      <c r="E78" s="258" t="s">
        <v>117</v>
      </c>
      <c r="F78" s="259" t="s">
        <v>498</v>
      </c>
      <c r="G78" s="260" t="s">
        <v>499</v>
      </c>
    </row>
    <row r="79" spans="1:7" ht="26.1" customHeight="1" x14ac:dyDescent="0.2">
      <c r="A79" s="256">
        <v>76</v>
      </c>
      <c r="B79" s="257" t="s">
        <v>224</v>
      </c>
      <c r="C79" s="257" t="s">
        <v>200</v>
      </c>
      <c r="D79" s="267" t="str">
        <f t="shared" si="1"/>
        <v>piscina coperta -AE =</v>
      </c>
      <c r="E79" s="258" t="s">
        <v>118</v>
      </c>
      <c r="F79" s="259" t="s">
        <v>500</v>
      </c>
      <c r="G79" s="260" t="s">
        <v>501</v>
      </c>
    </row>
    <row r="80" spans="1:7" ht="26.1" customHeight="1" x14ac:dyDescent="0.2">
      <c r="A80" s="256">
        <v>77</v>
      </c>
      <c r="B80" s="257" t="s">
        <v>224</v>
      </c>
      <c r="C80" s="257" t="s">
        <v>268</v>
      </c>
      <c r="D80" s="267" t="str">
        <f t="shared" si="1"/>
        <v>abitazione plurifamiliare</v>
      </c>
      <c r="E80" s="258" t="s">
        <v>340</v>
      </c>
      <c r="F80" s="259" t="s">
        <v>584</v>
      </c>
      <c r="G80" s="260" t="s">
        <v>581</v>
      </c>
    </row>
    <row r="81" spans="1:7" ht="26.1" customHeight="1" x14ac:dyDescent="0.2">
      <c r="A81" s="256">
        <v>78</v>
      </c>
      <c r="B81" s="257" t="s">
        <v>224</v>
      </c>
      <c r="C81" s="257" t="s">
        <v>269</v>
      </c>
      <c r="D81" s="267" t="str">
        <f t="shared" si="1"/>
        <v>abitazione monofamiliare</v>
      </c>
      <c r="E81" s="258" t="s">
        <v>339</v>
      </c>
      <c r="F81" s="259" t="s">
        <v>583</v>
      </c>
      <c r="G81" s="260" t="s">
        <v>582</v>
      </c>
    </row>
    <row r="82" spans="1:7" ht="26.1" customHeight="1" x14ac:dyDescent="0.2">
      <c r="A82" s="256">
        <v>79</v>
      </c>
      <c r="B82" s="257" t="s">
        <v>224</v>
      </c>
      <c r="C82" s="257" t="s">
        <v>270</v>
      </c>
      <c r="D82" s="267" t="str">
        <f t="shared" si="1"/>
        <v>camera d'albergo</v>
      </c>
      <c r="E82" s="258" t="s">
        <v>13</v>
      </c>
      <c r="F82" s="259" t="s">
        <v>502</v>
      </c>
      <c r="G82" s="260" t="s">
        <v>503</v>
      </c>
    </row>
    <row r="83" spans="1:7" ht="26.1" customHeight="1" x14ac:dyDescent="0.2">
      <c r="A83" s="256">
        <v>80</v>
      </c>
      <c r="B83" s="257" t="s">
        <v>224</v>
      </c>
      <c r="C83" s="257" t="s">
        <v>271</v>
      </c>
      <c r="D83" s="267" t="str">
        <f t="shared" si="1"/>
        <v>ricezione, lobby</v>
      </c>
      <c r="E83" s="258" t="s">
        <v>14</v>
      </c>
      <c r="F83" s="259" t="s">
        <v>504</v>
      </c>
      <c r="G83" s="260" t="s">
        <v>505</v>
      </c>
    </row>
    <row r="84" spans="1:7" ht="26.1" customHeight="1" x14ac:dyDescent="0.2">
      <c r="A84" s="256">
        <v>81</v>
      </c>
      <c r="B84" s="257" t="s">
        <v>224</v>
      </c>
      <c r="C84" s="257" t="s">
        <v>272</v>
      </c>
      <c r="D84" s="267" t="str">
        <f t="shared" si="1"/>
        <v>uffici singoli e di gruppo</v>
      </c>
      <c r="E84" s="258" t="s">
        <v>15</v>
      </c>
      <c r="F84" s="259" t="s">
        <v>506</v>
      </c>
      <c r="G84" s="260" t="s">
        <v>507</v>
      </c>
    </row>
    <row r="85" spans="1:7" ht="26.1" customHeight="1" x14ac:dyDescent="0.2">
      <c r="A85" s="256">
        <v>82</v>
      </c>
      <c r="B85" s="257" t="s">
        <v>224</v>
      </c>
      <c r="C85" s="257" t="s">
        <v>273</v>
      </c>
      <c r="D85" s="267" t="str">
        <f t="shared" si="1"/>
        <v>uffici grandi</v>
      </c>
      <c r="E85" s="258" t="s">
        <v>16</v>
      </c>
      <c r="F85" s="259" t="s">
        <v>508</v>
      </c>
      <c r="G85" s="260" t="s">
        <v>509</v>
      </c>
    </row>
    <row r="86" spans="1:7" ht="26.1" customHeight="1" x14ac:dyDescent="0.2">
      <c r="A86" s="256">
        <v>83</v>
      </c>
      <c r="B86" s="257" t="s">
        <v>224</v>
      </c>
      <c r="C86" s="257" t="s">
        <v>274</v>
      </c>
      <c r="D86" s="267" t="str">
        <f t="shared" si="1"/>
        <v>sala riunioni</v>
      </c>
      <c r="E86" s="258" t="s">
        <v>17</v>
      </c>
      <c r="F86" s="259" t="s">
        <v>510</v>
      </c>
      <c r="G86" s="260" t="s">
        <v>511</v>
      </c>
    </row>
    <row r="87" spans="1:7" ht="26.1" customHeight="1" x14ac:dyDescent="0.2">
      <c r="A87" s="256">
        <v>84</v>
      </c>
      <c r="B87" s="257" t="s">
        <v>224</v>
      </c>
      <c r="C87" s="257" t="s">
        <v>275</v>
      </c>
      <c r="D87" s="267" t="str">
        <f t="shared" si="1"/>
        <v>ricezione, area clienti</v>
      </c>
      <c r="E87" s="258" t="s">
        <v>18</v>
      </c>
      <c r="F87" s="259" t="s">
        <v>512</v>
      </c>
      <c r="G87" s="260" t="s">
        <v>513</v>
      </c>
    </row>
    <row r="88" spans="1:7" ht="26.1" customHeight="1" x14ac:dyDescent="0.2">
      <c r="A88" s="256">
        <v>85</v>
      </c>
      <c r="B88" s="257" t="s">
        <v>224</v>
      </c>
      <c r="C88" s="257" t="s">
        <v>276</v>
      </c>
      <c r="D88" s="267" t="str">
        <f t="shared" si="1"/>
        <v>aula</v>
      </c>
      <c r="E88" s="258" t="s">
        <v>19</v>
      </c>
      <c r="F88" s="259" t="s">
        <v>514</v>
      </c>
      <c r="G88" s="260" t="s">
        <v>515</v>
      </c>
    </row>
    <row r="89" spans="1:7" ht="26.1" customHeight="1" x14ac:dyDescent="0.2">
      <c r="A89" s="256">
        <v>86</v>
      </c>
      <c r="B89" s="257" t="s">
        <v>224</v>
      </c>
      <c r="C89" s="257" t="s">
        <v>277</v>
      </c>
      <c r="D89" s="267" t="str">
        <f t="shared" si="1"/>
        <v>locale docenti</v>
      </c>
      <c r="E89" s="258" t="s">
        <v>20</v>
      </c>
      <c r="F89" s="259" t="s">
        <v>516</v>
      </c>
      <c r="G89" s="260" t="s">
        <v>517</v>
      </c>
    </row>
    <row r="90" spans="1:7" ht="26.1" customHeight="1" x14ac:dyDescent="0.2">
      <c r="A90" s="256">
        <v>87</v>
      </c>
      <c r="B90" s="257" t="s">
        <v>224</v>
      </c>
      <c r="C90" s="257" t="s">
        <v>278</v>
      </c>
      <c r="D90" s="267" t="str">
        <f t="shared" si="1"/>
        <v>bibioteca</v>
      </c>
      <c r="E90" s="258" t="s">
        <v>21</v>
      </c>
      <c r="F90" s="259" t="s">
        <v>518</v>
      </c>
      <c r="G90" s="260" t="s">
        <v>519</v>
      </c>
    </row>
    <row r="91" spans="1:7" ht="26.1" customHeight="1" x14ac:dyDescent="0.2">
      <c r="A91" s="256">
        <v>88</v>
      </c>
      <c r="B91" s="257" t="s">
        <v>224</v>
      </c>
      <c r="C91" s="257" t="s">
        <v>279</v>
      </c>
      <c r="D91" s="267" t="str">
        <f t="shared" si="1"/>
        <v>sala conferenze</v>
      </c>
      <c r="E91" s="258" t="s">
        <v>22</v>
      </c>
      <c r="F91" s="259" t="s">
        <v>520</v>
      </c>
      <c r="G91" s="260" t="s">
        <v>521</v>
      </c>
    </row>
    <row r="92" spans="1:7" ht="26.1" customHeight="1" x14ac:dyDescent="0.2">
      <c r="A92" s="256">
        <v>89</v>
      </c>
      <c r="B92" s="257" t="s">
        <v>224</v>
      </c>
      <c r="C92" s="257" t="s">
        <v>280</v>
      </c>
      <c r="D92" s="267" t="str">
        <f t="shared" si="1"/>
        <v>aula speciale</v>
      </c>
      <c r="E92" s="258" t="s">
        <v>353</v>
      </c>
      <c r="F92" s="259" t="s">
        <v>578</v>
      </c>
      <c r="G92" s="260" t="s">
        <v>577</v>
      </c>
    </row>
    <row r="93" spans="1:7" ht="26.1" customHeight="1" x14ac:dyDescent="0.2">
      <c r="A93" s="256">
        <v>90</v>
      </c>
      <c r="B93" s="257" t="s">
        <v>224</v>
      </c>
      <c r="C93" s="257" t="s">
        <v>281</v>
      </c>
      <c r="D93" s="267" t="str">
        <f t="shared" si="1"/>
        <v>negozio di alimentari</v>
      </c>
      <c r="E93" s="258" t="s">
        <v>23</v>
      </c>
      <c r="F93" s="259" t="s">
        <v>522</v>
      </c>
      <c r="G93" s="260" t="s">
        <v>523</v>
      </c>
    </row>
    <row r="94" spans="1:7" ht="26.1" customHeight="1" x14ac:dyDescent="0.2">
      <c r="A94" s="256">
        <v>91</v>
      </c>
      <c r="B94" s="257" t="s">
        <v>224</v>
      </c>
      <c r="C94" s="257" t="s">
        <v>282</v>
      </c>
      <c r="D94" s="267" t="str">
        <f t="shared" si="1"/>
        <v>negozi specializzati e grandi magazzini</v>
      </c>
      <c r="E94" s="258" t="s">
        <v>355</v>
      </c>
      <c r="F94" s="259" t="s">
        <v>524</v>
      </c>
      <c r="G94" s="260" t="s">
        <v>525</v>
      </c>
    </row>
    <row r="95" spans="1:7" ht="26.1" customHeight="1" x14ac:dyDescent="0.2">
      <c r="A95" s="256">
        <v>92</v>
      </c>
      <c r="B95" s="257" t="s">
        <v>224</v>
      </c>
      <c r="C95" s="257" t="s">
        <v>283</v>
      </c>
      <c r="D95" s="267" t="str">
        <f t="shared" si="1"/>
        <v>negozio (mobilia, costruzione, giardino)</v>
      </c>
      <c r="E95" s="258" t="s">
        <v>354</v>
      </c>
      <c r="F95" s="259" t="s">
        <v>579</v>
      </c>
      <c r="G95" s="260" t="s">
        <v>580</v>
      </c>
    </row>
    <row r="96" spans="1:7" ht="26.1" customHeight="1" x14ac:dyDescent="0.2">
      <c r="A96" s="256">
        <v>93</v>
      </c>
      <c r="B96" s="257" t="s">
        <v>224</v>
      </c>
      <c r="C96" s="257" t="s">
        <v>284</v>
      </c>
      <c r="D96" s="267" t="str">
        <f t="shared" si="1"/>
        <v>ristorante</v>
      </c>
      <c r="E96" s="258" t="s">
        <v>24</v>
      </c>
      <c r="F96" s="259" t="s">
        <v>24</v>
      </c>
      <c r="G96" s="260" t="s">
        <v>526</v>
      </c>
    </row>
    <row r="97" spans="1:7" ht="26.1" customHeight="1" x14ac:dyDescent="0.2">
      <c r="A97" s="256">
        <v>94</v>
      </c>
      <c r="B97" s="257" t="s">
        <v>224</v>
      </c>
      <c r="C97" s="257" t="s">
        <v>285</v>
      </c>
      <c r="D97" s="267" t="str">
        <f t="shared" si="1"/>
        <v>ristorante self service</v>
      </c>
      <c r="E97" s="258" t="s">
        <v>25</v>
      </c>
      <c r="F97" s="259" t="s">
        <v>527</v>
      </c>
      <c r="G97" s="260" t="s">
        <v>528</v>
      </c>
    </row>
    <row r="98" spans="1:7" ht="26.1" customHeight="1" x14ac:dyDescent="0.2">
      <c r="A98" s="256">
        <v>95</v>
      </c>
      <c r="B98" s="257" t="s">
        <v>224</v>
      </c>
      <c r="C98" s="257" t="s">
        <v>286</v>
      </c>
      <c r="D98" s="267" t="str">
        <f t="shared" si="1"/>
        <v>cucina ristorante</v>
      </c>
      <c r="E98" s="258" t="s">
        <v>26</v>
      </c>
      <c r="F98" s="259" t="s">
        <v>529</v>
      </c>
      <c r="G98" s="260" t="s">
        <v>530</v>
      </c>
    </row>
    <row r="99" spans="1:7" ht="26.1" customHeight="1" x14ac:dyDescent="0.2">
      <c r="A99" s="256">
        <v>96</v>
      </c>
      <c r="B99" s="257" t="s">
        <v>224</v>
      </c>
      <c r="C99" s="257" t="s">
        <v>287</v>
      </c>
      <c r="D99" s="267" t="str">
        <f t="shared" si="1"/>
        <v>cucina ristorante self service</v>
      </c>
      <c r="E99" s="258" t="s">
        <v>27</v>
      </c>
      <c r="F99" s="259" t="s">
        <v>531</v>
      </c>
      <c r="G99" s="260" t="s">
        <v>532</v>
      </c>
    </row>
    <row r="100" spans="1:7" ht="26.1" customHeight="1" x14ac:dyDescent="0.2">
      <c r="A100" s="256">
        <v>97</v>
      </c>
      <c r="B100" s="257" t="s">
        <v>224</v>
      </c>
      <c r="C100" s="257" t="s">
        <v>288</v>
      </c>
      <c r="D100" s="267" t="str">
        <f t="shared" si="1"/>
        <v>sala teatro</v>
      </c>
      <c r="E100" s="258" t="s">
        <v>28</v>
      </c>
      <c r="F100" s="259" t="s">
        <v>533</v>
      </c>
      <c r="G100" s="260" t="s">
        <v>534</v>
      </c>
    </row>
    <row r="101" spans="1:7" ht="26.1" customHeight="1" x14ac:dyDescent="0.2">
      <c r="A101" s="256">
        <v>98</v>
      </c>
      <c r="B101" s="257" t="s">
        <v>224</v>
      </c>
      <c r="C101" s="257" t="s">
        <v>289</v>
      </c>
      <c r="D101" s="267" t="str">
        <f t="shared" si="1"/>
        <v>sala multiuso</v>
      </c>
      <c r="E101" s="258" t="s">
        <v>29</v>
      </c>
      <c r="F101" s="259" t="s">
        <v>535</v>
      </c>
      <c r="G101" s="260" t="s">
        <v>536</v>
      </c>
    </row>
    <row r="102" spans="1:7" ht="26.1" customHeight="1" x14ac:dyDescent="0.2">
      <c r="A102" s="256">
        <v>99</v>
      </c>
      <c r="B102" s="257" t="s">
        <v>224</v>
      </c>
      <c r="C102" s="257" t="s">
        <v>290</v>
      </c>
      <c r="D102" s="267" t="str">
        <f t="shared" si="1"/>
        <v>sala espositiva</v>
      </c>
      <c r="E102" s="258" t="s">
        <v>30</v>
      </c>
      <c r="F102" s="259" t="s">
        <v>537</v>
      </c>
      <c r="G102" s="260" t="s">
        <v>538</v>
      </c>
    </row>
    <row r="103" spans="1:7" ht="26.1" customHeight="1" x14ac:dyDescent="0.2">
      <c r="A103" s="256">
        <v>100</v>
      </c>
      <c r="B103" s="257" t="s">
        <v>224</v>
      </c>
      <c r="C103" s="257" t="s">
        <v>291</v>
      </c>
      <c r="D103" s="267" t="str">
        <f t="shared" si="1"/>
        <v>camera d'ospedale</v>
      </c>
      <c r="E103" s="258" t="s">
        <v>31</v>
      </c>
      <c r="F103" s="259" t="s">
        <v>539</v>
      </c>
      <c r="G103" s="260" t="s">
        <v>540</v>
      </c>
    </row>
    <row r="104" spans="1:7" ht="26.1" customHeight="1" x14ac:dyDescent="0.2">
      <c r="A104" s="256">
        <v>101</v>
      </c>
      <c r="B104" s="257" t="s">
        <v>224</v>
      </c>
      <c r="C104" s="257" t="s">
        <v>292</v>
      </c>
      <c r="D104" s="267" t="str">
        <f t="shared" si="1"/>
        <v>ripostiglio</v>
      </c>
      <c r="E104" s="258" t="s">
        <v>32</v>
      </c>
      <c r="F104" s="259" t="s">
        <v>541</v>
      </c>
      <c r="G104" s="260" t="s">
        <v>542</v>
      </c>
    </row>
    <row r="105" spans="1:7" ht="26.1" customHeight="1" x14ac:dyDescent="0.2">
      <c r="A105" s="256">
        <v>102</v>
      </c>
      <c r="B105" s="257" t="s">
        <v>224</v>
      </c>
      <c r="C105" s="257" t="s">
        <v>293</v>
      </c>
      <c r="D105" s="267" t="str">
        <f t="shared" si="1"/>
        <v>sala trattamento</v>
      </c>
      <c r="E105" s="258" t="s">
        <v>33</v>
      </c>
      <c r="F105" s="259" t="s">
        <v>543</v>
      </c>
      <c r="G105" s="260" t="s">
        <v>544</v>
      </c>
    </row>
    <row r="106" spans="1:7" ht="26.1" customHeight="1" x14ac:dyDescent="0.2">
      <c r="A106" s="256">
        <v>103</v>
      </c>
      <c r="B106" s="257" t="s">
        <v>224</v>
      </c>
      <c r="C106" s="257" t="s">
        <v>294</v>
      </c>
      <c r="D106" s="267" t="str">
        <f t="shared" si="1"/>
        <v>produzione (lavoro grosso)</v>
      </c>
      <c r="E106" s="258" t="s">
        <v>34</v>
      </c>
      <c r="F106" s="259" t="s">
        <v>545</v>
      </c>
      <c r="G106" s="260" t="s">
        <v>546</v>
      </c>
    </row>
    <row r="107" spans="1:7" ht="26.1" customHeight="1" x14ac:dyDescent="0.2">
      <c r="A107" s="256">
        <v>104</v>
      </c>
      <c r="B107" s="257" t="s">
        <v>224</v>
      </c>
      <c r="C107" s="257" t="s">
        <v>295</v>
      </c>
      <c r="D107" s="267" t="str">
        <f t="shared" si="1"/>
        <v>produzione (lavoro fine)</v>
      </c>
      <c r="E107" s="258" t="s">
        <v>35</v>
      </c>
      <c r="F107" s="259" t="s">
        <v>547</v>
      </c>
      <c r="G107" s="260" t="s">
        <v>548</v>
      </c>
    </row>
    <row r="108" spans="1:7" ht="26.1" customHeight="1" x14ac:dyDescent="0.2">
      <c r="A108" s="256">
        <v>105</v>
      </c>
      <c r="B108" s="257" t="s">
        <v>224</v>
      </c>
      <c r="C108" s="257" t="s">
        <v>296</v>
      </c>
      <c r="D108" s="267" t="str">
        <f t="shared" si="1"/>
        <v>Laboratorio</v>
      </c>
      <c r="E108" s="258" t="s">
        <v>356</v>
      </c>
      <c r="F108" s="259" t="s">
        <v>573</v>
      </c>
      <c r="G108" s="260" t="s">
        <v>574</v>
      </c>
    </row>
    <row r="109" spans="1:7" ht="26.1" customHeight="1" x14ac:dyDescent="0.2">
      <c r="A109" s="256">
        <v>106</v>
      </c>
      <c r="B109" s="257" t="s">
        <v>224</v>
      </c>
      <c r="C109" s="257" t="s">
        <v>297</v>
      </c>
      <c r="D109" s="267" t="str">
        <f t="shared" si="1"/>
        <v>magazzino</v>
      </c>
      <c r="E109" s="258" t="s">
        <v>36</v>
      </c>
      <c r="F109" s="259" t="s">
        <v>549</v>
      </c>
      <c r="G109" s="260" t="s">
        <v>550</v>
      </c>
    </row>
    <row r="110" spans="1:7" ht="26.1" customHeight="1" x14ac:dyDescent="0.2">
      <c r="A110" s="256">
        <v>107</v>
      </c>
      <c r="B110" s="257" t="s">
        <v>224</v>
      </c>
      <c r="C110" s="257" t="s">
        <v>298</v>
      </c>
      <c r="D110" s="267" t="str">
        <f t="shared" si="1"/>
        <v>palestra</v>
      </c>
      <c r="E110" s="258" t="s">
        <v>37</v>
      </c>
      <c r="F110" s="259" t="s">
        <v>551</v>
      </c>
      <c r="G110" s="260" t="s">
        <v>552</v>
      </c>
    </row>
    <row r="111" spans="1:7" ht="26.1" customHeight="1" x14ac:dyDescent="0.2">
      <c r="A111" s="256">
        <v>108</v>
      </c>
      <c r="B111" s="257" t="s">
        <v>224</v>
      </c>
      <c r="C111" s="257" t="s">
        <v>299</v>
      </c>
      <c r="D111" s="267" t="str">
        <f t="shared" si="1"/>
        <v>sala fitness</v>
      </c>
      <c r="E111" s="258" t="s">
        <v>38</v>
      </c>
      <c r="F111" s="259" t="s">
        <v>553</v>
      </c>
      <c r="G111" s="260" t="s">
        <v>554</v>
      </c>
    </row>
    <row r="112" spans="1:7" ht="26.1" customHeight="1" x14ac:dyDescent="0.2">
      <c r="A112" s="256">
        <v>109</v>
      </c>
      <c r="B112" s="257" t="s">
        <v>224</v>
      </c>
      <c r="C112" s="257" t="s">
        <v>300</v>
      </c>
      <c r="D112" s="267" t="str">
        <f t="shared" si="1"/>
        <v>piscina</v>
      </c>
      <c r="E112" s="258" t="s">
        <v>39</v>
      </c>
      <c r="F112" s="259" t="s">
        <v>555</v>
      </c>
      <c r="G112" s="260" t="s">
        <v>556</v>
      </c>
    </row>
    <row r="113" spans="1:7" ht="26.1" customHeight="1" x14ac:dyDescent="0.2">
      <c r="A113" s="256">
        <v>110</v>
      </c>
      <c r="B113" s="257" t="s">
        <v>224</v>
      </c>
      <c r="C113" s="257" t="s">
        <v>301</v>
      </c>
      <c r="D113" s="267" t="str">
        <f t="shared" si="1"/>
        <v>superficie di circolazione</v>
      </c>
      <c r="E113" s="258" t="s">
        <v>40</v>
      </c>
      <c r="F113" s="259" t="s">
        <v>557</v>
      </c>
      <c r="G113" s="260" t="s">
        <v>558</v>
      </c>
    </row>
    <row r="114" spans="1:7" ht="26.1" customHeight="1" x14ac:dyDescent="0.2">
      <c r="A114" s="256">
        <v>111</v>
      </c>
      <c r="B114" s="257" t="s">
        <v>224</v>
      </c>
      <c r="C114" s="257" t="s">
        <v>302</v>
      </c>
      <c r="D114" s="267" t="str">
        <f t="shared" si="1"/>
        <v>superficie di circolazione 24h</v>
      </c>
      <c r="E114" s="258" t="s">
        <v>357</v>
      </c>
      <c r="F114" s="259" t="s">
        <v>559</v>
      </c>
      <c r="G114" s="260" t="s">
        <v>560</v>
      </c>
    </row>
    <row r="115" spans="1:7" ht="26.1" customHeight="1" x14ac:dyDescent="0.2">
      <c r="A115" s="256">
        <v>112</v>
      </c>
      <c r="B115" s="257" t="s">
        <v>224</v>
      </c>
      <c r="C115" s="257" t="s">
        <v>303</v>
      </c>
      <c r="D115" s="267" t="str">
        <f t="shared" si="1"/>
        <v>locale annesso</v>
      </c>
      <c r="E115" s="258" t="s">
        <v>41</v>
      </c>
      <c r="F115" s="259" t="s">
        <v>569</v>
      </c>
      <c r="G115" s="260" t="s">
        <v>570</v>
      </c>
    </row>
    <row r="116" spans="1:7" ht="26.1" customHeight="1" x14ac:dyDescent="0.2">
      <c r="A116" s="256">
        <v>113</v>
      </c>
      <c r="B116" s="257" t="s">
        <v>224</v>
      </c>
      <c r="C116" s="257" t="s">
        <v>304</v>
      </c>
      <c r="D116" s="267" t="str">
        <f t="shared" si="1"/>
        <v>cucina, cucinino</v>
      </c>
      <c r="E116" s="258" t="s">
        <v>352</v>
      </c>
      <c r="F116" s="259" t="s">
        <v>576</v>
      </c>
      <c r="G116" s="260" t="s">
        <v>575</v>
      </c>
    </row>
    <row r="117" spans="1:7" ht="26.1" customHeight="1" x14ac:dyDescent="0.2">
      <c r="A117" s="256">
        <v>114</v>
      </c>
      <c r="B117" s="257" t="s">
        <v>224</v>
      </c>
      <c r="C117" s="257" t="s">
        <v>305</v>
      </c>
      <c r="D117" s="267" t="str">
        <f t="shared" si="1"/>
        <v>WC, bagno doccia</v>
      </c>
      <c r="E117" s="258" t="s">
        <v>42</v>
      </c>
      <c r="F117" s="259" t="s">
        <v>561</v>
      </c>
      <c r="G117" s="260" t="s">
        <v>562</v>
      </c>
    </row>
    <row r="118" spans="1:7" ht="26.1" customHeight="1" x14ac:dyDescent="0.2">
      <c r="A118" s="256">
        <v>115</v>
      </c>
      <c r="B118" s="257" t="s">
        <v>224</v>
      </c>
      <c r="C118" s="257" t="s">
        <v>306</v>
      </c>
      <c r="D118" s="267" t="str">
        <f t="shared" si="1"/>
        <v>WC</v>
      </c>
      <c r="E118" s="258" t="s">
        <v>43</v>
      </c>
      <c r="F118" s="259" t="s">
        <v>43</v>
      </c>
      <c r="G118" s="260" t="s">
        <v>43</v>
      </c>
    </row>
    <row r="119" spans="1:7" ht="26.1" customHeight="1" x14ac:dyDescent="0.2">
      <c r="A119" s="256">
        <v>116</v>
      </c>
      <c r="B119" s="257" t="s">
        <v>224</v>
      </c>
      <c r="C119" s="257" t="s">
        <v>307</v>
      </c>
      <c r="D119" s="267" t="str">
        <f t="shared" si="1"/>
        <v>spogliatoio, docce</v>
      </c>
      <c r="E119" s="258" t="s">
        <v>44</v>
      </c>
      <c r="F119" s="259" t="s">
        <v>563</v>
      </c>
      <c r="G119" s="260" t="s">
        <v>564</v>
      </c>
    </row>
    <row r="120" spans="1:7" ht="26.1" customHeight="1" x14ac:dyDescent="0.2">
      <c r="A120" s="256">
        <v>117</v>
      </c>
      <c r="B120" s="257" t="s">
        <v>224</v>
      </c>
      <c r="C120" s="257" t="s">
        <v>308</v>
      </c>
      <c r="D120" s="267" t="str">
        <f t="shared" si="1"/>
        <v>garage</v>
      </c>
      <c r="E120" s="258" t="s">
        <v>45</v>
      </c>
      <c r="F120" s="259" t="s">
        <v>565</v>
      </c>
      <c r="G120" s="260" t="s">
        <v>566</v>
      </c>
    </row>
    <row r="121" spans="1:7" ht="26.1" customHeight="1" x14ac:dyDescent="0.2">
      <c r="A121" s="256">
        <v>118</v>
      </c>
      <c r="B121" s="257" t="s">
        <v>224</v>
      </c>
      <c r="C121" s="257" t="s">
        <v>309</v>
      </c>
      <c r="D121" s="267" t="str">
        <f t="shared" si="1"/>
        <v>lavanderia</v>
      </c>
      <c r="E121" s="258" t="s">
        <v>46</v>
      </c>
      <c r="F121" s="259" t="s">
        <v>567</v>
      </c>
      <c r="G121" s="260" t="s">
        <v>568</v>
      </c>
    </row>
    <row r="122" spans="1:7" ht="26.1" customHeight="1" x14ac:dyDescent="0.2">
      <c r="A122" s="256">
        <v>119</v>
      </c>
      <c r="B122" s="257" t="s">
        <v>224</v>
      </c>
      <c r="C122" s="257" t="s">
        <v>310</v>
      </c>
      <c r="D122" s="267" t="str">
        <f t="shared" si="1"/>
        <v>locale di servizio</v>
      </c>
      <c r="E122" s="258" t="s">
        <v>47</v>
      </c>
      <c r="F122" s="259" t="s">
        <v>571</v>
      </c>
      <c r="G122" s="260" t="s">
        <v>572</v>
      </c>
    </row>
    <row r="123" spans="1:7" ht="26.1" customHeight="1" x14ac:dyDescent="0.2">
      <c r="A123" s="256">
        <v>120</v>
      </c>
      <c r="D123" s="267">
        <f t="shared" si="1"/>
        <v>0</v>
      </c>
    </row>
    <row r="124" spans="1:7" ht="26.1" customHeight="1" x14ac:dyDescent="0.2">
      <c r="A124" s="256">
        <v>121</v>
      </c>
      <c r="D124" s="267">
        <f t="shared" si="1"/>
        <v>0</v>
      </c>
    </row>
    <row r="125" spans="1:7" ht="26.1" customHeight="1" x14ac:dyDescent="0.2">
      <c r="A125" s="256">
        <v>122</v>
      </c>
      <c r="D125" s="267">
        <f t="shared" si="1"/>
        <v>0</v>
      </c>
    </row>
    <row r="126" spans="1:7" ht="26.1" customHeight="1" x14ac:dyDescent="0.2">
      <c r="A126" s="256">
        <v>123</v>
      </c>
      <c r="D126" s="267">
        <f t="shared" si="1"/>
        <v>0</v>
      </c>
    </row>
    <row r="127" spans="1:7" ht="26.1" customHeight="1" x14ac:dyDescent="0.2">
      <c r="A127" s="256">
        <v>124</v>
      </c>
      <c r="D127" s="267">
        <f t="shared" si="1"/>
        <v>0</v>
      </c>
    </row>
    <row r="128" spans="1:7" ht="26.1" customHeight="1" x14ac:dyDescent="0.2">
      <c r="A128" s="256">
        <v>125</v>
      </c>
      <c r="D128" s="267">
        <f t="shared" si="1"/>
        <v>0</v>
      </c>
    </row>
    <row r="129" spans="1:7" ht="26.1" customHeight="1" x14ac:dyDescent="0.2">
      <c r="A129" s="256">
        <v>126</v>
      </c>
      <c r="D129" s="267">
        <f t="shared" si="1"/>
        <v>0</v>
      </c>
    </row>
    <row r="130" spans="1:7" ht="26.1" customHeight="1" x14ac:dyDescent="0.2">
      <c r="A130" s="256">
        <v>127</v>
      </c>
      <c r="D130" s="267">
        <f t="shared" si="1"/>
        <v>0</v>
      </c>
    </row>
    <row r="131" spans="1:7" ht="26.1" customHeight="1" x14ac:dyDescent="0.2">
      <c r="A131" s="256">
        <v>128</v>
      </c>
      <c r="D131" s="267">
        <f t="shared" si="1"/>
        <v>0</v>
      </c>
    </row>
    <row r="132" spans="1:7" ht="26.1" customHeight="1" x14ac:dyDescent="0.2">
      <c r="A132" s="256">
        <v>129</v>
      </c>
      <c r="D132" s="267">
        <f t="shared" si="1"/>
        <v>0</v>
      </c>
    </row>
    <row r="133" spans="1:7" ht="26.1" customHeight="1" x14ac:dyDescent="0.2">
      <c r="A133" s="256">
        <v>130</v>
      </c>
      <c r="D133" s="267">
        <f t="shared" ref="D133:D196" si="2">INDEX($E$4:$G$200,$A133,$A$1)</f>
        <v>0</v>
      </c>
    </row>
    <row r="134" spans="1:7" ht="26.1" customHeight="1" x14ac:dyDescent="0.2">
      <c r="A134" s="256">
        <v>131</v>
      </c>
      <c r="D134" s="267">
        <f t="shared" si="2"/>
        <v>0</v>
      </c>
    </row>
    <row r="135" spans="1:7" ht="26.1" customHeight="1" x14ac:dyDescent="0.2">
      <c r="A135" s="256">
        <v>132</v>
      </c>
      <c r="D135" s="267">
        <f t="shared" si="2"/>
        <v>0</v>
      </c>
    </row>
    <row r="136" spans="1:7" ht="26.1" customHeight="1" x14ac:dyDescent="0.2">
      <c r="A136" s="256">
        <v>133</v>
      </c>
      <c r="D136" s="267">
        <f t="shared" si="2"/>
        <v>0</v>
      </c>
    </row>
    <row r="137" spans="1:7" ht="26.1" customHeight="1" x14ac:dyDescent="0.2">
      <c r="A137" s="256">
        <v>134</v>
      </c>
      <c r="D137" s="267">
        <f t="shared" si="2"/>
        <v>0</v>
      </c>
    </row>
    <row r="138" spans="1:7" ht="26.1" customHeight="1" x14ac:dyDescent="0.2">
      <c r="A138" s="256">
        <v>135</v>
      </c>
      <c r="D138" s="267">
        <f t="shared" si="2"/>
        <v>0</v>
      </c>
    </row>
    <row r="139" spans="1:7" ht="26.1" customHeight="1" x14ac:dyDescent="0.2">
      <c r="A139" s="256">
        <v>136</v>
      </c>
      <c r="D139" s="267">
        <f t="shared" si="2"/>
        <v>0</v>
      </c>
    </row>
    <row r="140" spans="1:7" ht="26.1" customHeight="1" x14ac:dyDescent="0.2">
      <c r="A140" s="256">
        <v>137</v>
      </c>
      <c r="D140" s="267">
        <f t="shared" si="2"/>
        <v>0</v>
      </c>
    </row>
    <row r="141" spans="1:7" ht="26.1" customHeight="1" x14ac:dyDescent="0.2">
      <c r="A141" s="256">
        <v>138</v>
      </c>
      <c r="D141" s="267">
        <f t="shared" si="2"/>
        <v>0</v>
      </c>
    </row>
    <row r="142" spans="1:7" ht="26.1" customHeight="1" x14ac:dyDescent="0.2">
      <c r="A142" s="256">
        <v>139</v>
      </c>
      <c r="D142" s="267">
        <f t="shared" si="2"/>
        <v>0</v>
      </c>
    </row>
    <row r="143" spans="1:7" ht="26.1" customHeight="1" x14ac:dyDescent="0.2">
      <c r="A143" s="256">
        <v>140</v>
      </c>
      <c r="B143" s="257" t="s">
        <v>224</v>
      </c>
      <c r="D143" s="267" t="str">
        <f t="shared" si="2"/>
        <v>immissione semplice</v>
      </c>
      <c r="E143" s="258" t="s">
        <v>9</v>
      </c>
      <c r="F143" s="259" t="s">
        <v>585</v>
      </c>
      <c r="G143" s="260" t="s">
        <v>586</v>
      </c>
    </row>
    <row r="144" spans="1:7" ht="26.1" customHeight="1" x14ac:dyDescent="0.2">
      <c r="A144" s="256">
        <v>141</v>
      </c>
      <c r="B144" s="257" t="s">
        <v>224</v>
      </c>
      <c r="D144" s="267" t="str">
        <f t="shared" si="2"/>
        <v>imm. semplice con risc. aria</v>
      </c>
      <c r="E144" s="258" t="s">
        <v>98</v>
      </c>
      <c r="F144" s="259" t="s">
        <v>587</v>
      </c>
      <c r="G144" s="260" t="s">
        <v>588</v>
      </c>
    </row>
    <row r="145" spans="1:7" ht="26.1" customHeight="1" x14ac:dyDescent="0.2">
      <c r="A145" s="256">
        <v>142</v>
      </c>
      <c r="B145" s="257" t="s">
        <v>224</v>
      </c>
      <c r="D145" s="267" t="str">
        <f t="shared" si="2"/>
        <v>estrazione semplice</v>
      </c>
      <c r="E145" s="258" t="s">
        <v>10</v>
      </c>
      <c r="F145" s="259" t="s">
        <v>589</v>
      </c>
      <c r="G145" s="260" t="s">
        <v>590</v>
      </c>
    </row>
    <row r="146" spans="1:7" ht="26.1" customHeight="1" x14ac:dyDescent="0.2">
      <c r="A146" s="256">
        <v>143</v>
      </c>
      <c r="B146" s="257" t="s">
        <v>224</v>
      </c>
      <c r="D146" s="267" t="str">
        <f t="shared" si="2"/>
        <v>estrazione con RC</v>
      </c>
      <c r="E146" s="258" t="s">
        <v>99</v>
      </c>
      <c r="F146" s="259" t="s">
        <v>591</v>
      </c>
      <c r="G146" s="260" t="s">
        <v>592</v>
      </c>
    </row>
    <row r="147" spans="1:7" ht="26.1" customHeight="1" x14ac:dyDescent="0.2">
      <c r="A147" s="256">
        <v>144</v>
      </c>
      <c r="B147" s="257" t="s">
        <v>224</v>
      </c>
      <c r="D147" s="267" t="str">
        <f t="shared" si="2"/>
        <v>immissione ed estrazione senza RC</v>
      </c>
      <c r="E147" s="258" t="s">
        <v>100</v>
      </c>
      <c r="F147" s="259" t="s">
        <v>593</v>
      </c>
      <c r="G147" s="260" t="s">
        <v>594</v>
      </c>
    </row>
    <row r="148" spans="1:7" ht="26.1" customHeight="1" x14ac:dyDescent="0.2">
      <c r="A148" s="256">
        <v>145</v>
      </c>
      <c r="B148" s="257" t="s">
        <v>224</v>
      </c>
      <c r="D148" s="267" t="str">
        <f t="shared" si="2"/>
        <v>immissione ed estrazione con RC</v>
      </c>
      <c r="E148" s="258" t="s">
        <v>101</v>
      </c>
      <c r="F148" s="259" t="s">
        <v>595</v>
      </c>
      <c r="G148" s="260" t="s">
        <v>596</v>
      </c>
    </row>
    <row r="149" spans="1:7" ht="26.1" customHeight="1" x14ac:dyDescent="0.2">
      <c r="A149" s="256">
        <v>146</v>
      </c>
      <c r="B149" s="257" t="s">
        <v>224</v>
      </c>
      <c r="D149" s="267" t="str">
        <f t="shared" si="2"/>
        <v>imm. estr. con RC /  con bat. risc.</v>
      </c>
      <c r="E149" s="258" t="s">
        <v>102</v>
      </c>
      <c r="F149" s="259" t="s">
        <v>597</v>
      </c>
      <c r="G149" s="260" t="s">
        <v>598</v>
      </c>
    </row>
    <row r="150" spans="1:7" ht="26.1" customHeight="1" x14ac:dyDescent="0.2">
      <c r="A150" s="256">
        <v>147</v>
      </c>
      <c r="B150" s="257" t="s">
        <v>224</v>
      </c>
      <c r="D150" s="267" t="str">
        <f t="shared" si="2"/>
        <v>imm. estr.  con RC con 2 o 3 batterie</v>
      </c>
      <c r="E150" s="258" t="s">
        <v>103</v>
      </c>
      <c r="F150" s="259" t="s">
        <v>599</v>
      </c>
      <c r="G150" s="260" t="s">
        <v>600</v>
      </c>
    </row>
    <row r="151" spans="1:7" ht="26.1" customHeight="1" x14ac:dyDescent="0.2">
      <c r="A151" s="256">
        <v>148</v>
      </c>
      <c r="B151" s="257" t="s">
        <v>224</v>
      </c>
      <c r="D151" s="267" t="str">
        <f t="shared" si="2"/>
        <v xml:space="preserve">ventilazione per locale, imm.o estr. </v>
      </c>
      <c r="E151" s="258" t="s">
        <v>104</v>
      </c>
      <c r="F151" s="259" t="s">
        <v>601</v>
      </c>
      <c r="G151" s="260" t="s">
        <v>602</v>
      </c>
    </row>
    <row r="152" spans="1:7" ht="26.1" customHeight="1" x14ac:dyDescent="0.2">
      <c r="A152" s="256">
        <v>149</v>
      </c>
      <c r="B152" s="257" t="s">
        <v>224</v>
      </c>
      <c r="D152" s="267" t="str">
        <f t="shared" si="2"/>
        <v xml:space="preserve">ventilazione per locale, imm. ed estr. </v>
      </c>
      <c r="E152" s="258" t="s">
        <v>105</v>
      </c>
      <c r="F152" s="259" t="s">
        <v>603</v>
      </c>
      <c r="G152" s="260" t="s">
        <v>604</v>
      </c>
    </row>
    <row r="153" spans="1:7" ht="26.1" customHeight="1" x14ac:dyDescent="0.2">
      <c r="A153" s="256">
        <v>150</v>
      </c>
      <c r="B153" s="257" t="s">
        <v>224</v>
      </c>
      <c r="D153" s="267" t="str">
        <f t="shared" si="2"/>
        <v>ricircolo con batteria risaldamento</v>
      </c>
      <c r="E153" s="258" t="s">
        <v>90</v>
      </c>
      <c r="F153" s="259" t="s">
        <v>605</v>
      </c>
      <c r="G153" s="260" t="s">
        <v>606</v>
      </c>
    </row>
    <row r="154" spans="1:7" ht="26.1" customHeight="1" x14ac:dyDescent="0.2">
      <c r="A154" s="256">
        <v>151</v>
      </c>
      <c r="B154" s="257" t="s">
        <v>224</v>
      </c>
      <c r="D154" s="267" t="str">
        <f t="shared" si="2"/>
        <v>ricircolo con batteria raffreddamento</v>
      </c>
      <c r="E154" s="258" t="s">
        <v>91</v>
      </c>
      <c r="F154" s="259" t="s">
        <v>607</v>
      </c>
      <c r="G154" s="260" t="s">
        <v>608</v>
      </c>
    </row>
    <row r="155" spans="1:7" ht="26.1" customHeight="1" x14ac:dyDescent="0.2">
      <c r="A155" s="256">
        <v>152</v>
      </c>
      <c r="B155" s="257" t="s">
        <v>224</v>
      </c>
      <c r="D155" s="267" t="str">
        <f t="shared" si="2"/>
        <v>ricircolo con 2-3 batterie</v>
      </c>
      <c r="E155" s="258" t="s">
        <v>121</v>
      </c>
      <c r="F155" s="259" t="s">
        <v>609</v>
      </c>
      <c r="G155" s="260" t="s">
        <v>610</v>
      </c>
    </row>
    <row r="156" spans="1:7" ht="26.1" customHeight="1" x14ac:dyDescent="0.2">
      <c r="A156" s="256">
        <v>153</v>
      </c>
      <c r="B156" s="257" t="s">
        <v>224</v>
      </c>
      <c r="D156" s="267" t="str">
        <f t="shared" si="2"/>
        <v>aria esterena e ricircolo senza RC</v>
      </c>
      <c r="E156" s="258" t="s">
        <v>107</v>
      </c>
      <c r="F156" s="259" t="s">
        <v>611</v>
      </c>
      <c r="G156" s="260" t="s">
        <v>612</v>
      </c>
    </row>
    <row r="157" spans="1:7" ht="26.1" customHeight="1" x14ac:dyDescent="0.2">
      <c r="A157" s="256">
        <v>154</v>
      </c>
      <c r="B157" s="257" t="s">
        <v>224</v>
      </c>
      <c r="D157" s="267" t="str">
        <f t="shared" si="2"/>
        <v>aria esterena e ricircolo con RC</v>
      </c>
      <c r="E157" s="258" t="s">
        <v>108</v>
      </c>
      <c r="F157" s="259" t="s">
        <v>613</v>
      </c>
      <c r="G157" s="260" t="s">
        <v>614</v>
      </c>
    </row>
    <row r="158" spans="1:7" ht="26.1" customHeight="1" x14ac:dyDescent="0.2">
      <c r="A158" s="256">
        <v>155</v>
      </c>
      <c r="B158" s="257" t="s">
        <v>224</v>
      </c>
      <c r="D158" s="267">
        <f t="shared" si="2"/>
        <v>0</v>
      </c>
      <c r="E158" s="268" t="s">
        <v>242</v>
      </c>
    </row>
    <row r="159" spans="1:7" ht="26.1" customHeight="1" x14ac:dyDescent="0.2">
      <c r="A159" s="256">
        <v>156</v>
      </c>
      <c r="B159" s="257" t="s">
        <v>224</v>
      </c>
      <c r="D159" s="267">
        <f t="shared" si="2"/>
        <v>0</v>
      </c>
      <c r="E159" s="268" t="s">
        <v>242</v>
      </c>
    </row>
    <row r="160" spans="1:7" ht="26.1" customHeight="1" x14ac:dyDescent="0.2">
      <c r="A160" s="256">
        <v>157</v>
      </c>
      <c r="B160" s="257" t="s">
        <v>224</v>
      </c>
      <c r="D160" s="267">
        <f t="shared" si="2"/>
        <v>0</v>
      </c>
      <c r="E160" s="268" t="s">
        <v>242</v>
      </c>
    </row>
    <row r="161" spans="1:7" ht="26.1" customHeight="1" x14ac:dyDescent="0.2">
      <c r="A161" s="256">
        <v>158</v>
      </c>
      <c r="B161" s="257" t="s">
        <v>224</v>
      </c>
      <c r="D161" s="267">
        <f t="shared" si="2"/>
        <v>0</v>
      </c>
      <c r="E161" s="268" t="s">
        <v>242</v>
      </c>
    </row>
    <row r="162" spans="1:7" ht="26.1" customHeight="1" x14ac:dyDescent="0.2">
      <c r="A162" s="256">
        <v>159</v>
      </c>
      <c r="B162" s="257" t="s">
        <v>224</v>
      </c>
      <c r="D162" s="267">
        <f t="shared" si="2"/>
        <v>0</v>
      </c>
      <c r="E162" s="268" t="s">
        <v>242</v>
      </c>
    </row>
    <row r="163" spans="1:7" ht="26.1" customHeight="1" x14ac:dyDescent="0.2">
      <c r="A163" s="256">
        <v>160</v>
      </c>
      <c r="B163" s="257" t="s">
        <v>224</v>
      </c>
      <c r="D163" s="267">
        <f t="shared" si="2"/>
        <v>0</v>
      </c>
      <c r="E163" s="268" t="s">
        <v>242</v>
      </c>
    </row>
    <row r="164" spans="1:7" ht="26.1" customHeight="1" x14ac:dyDescent="0.2">
      <c r="A164" s="256">
        <v>161</v>
      </c>
      <c r="B164" s="257" t="s">
        <v>224</v>
      </c>
      <c r="D164" s="267">
        <f t="shared" si="2"/>
        <v>0</v>
      </c>
      <c r="E164" s="268" t="s">
        <v>242</v>
      </c>
    </row>
    <row r="165" spans="1:7" ht="26.1" customHeight="1" x14ac:dyDescent="0.2">
      <c r="A165" s="256">
        <v>162</v>
      </c>
      <c r="B165" s="257" t="s">
        <v>224</v>
      </c>
      <c r="D165" s="267">
        <f t="shared" si="2"/>
        <v>0</v>
      </c>
      <c r="E165" s="268" t="s">
        <v>242</v>
      </c>
    </row>
    <row r="166" spans="1:7" ht="26.1" customHeight="1" x14ac:dyDescent="0.2">
      <c r="A166" s="256">
        <v>163</v>
      </c>
      <c r="B166" s="257" t="s">
        <v>184</v>
      </c>
      <c r="D166" s="267" t="str">
        <f t="shared" si="2"/>
        <v>ventilazione</v>
      </c>
      <c r="E166" s="258" t="s">
        <v>201</v>
      </c>
      <c r="F166" s="259" t="s">
        <v>615</v>
      </c>
      <c r="G166" s="260" t="s">
        <v>616</v>
      </c>
    </row>
    <row r="167" spans="1:7" ht="26.1" customHeight="1" x14ac:dyDescent="0.2">
      <c r="A167" s="256">
        <v>164</v>
      </c>
      <c r="B167" s="257" t="s">
        <v>184</v>
      </c>
      <c r="D167" s="267" t="str">
        <f t="shared" si="2"/>
        <v>calcolo</v>
      </c>
      <c r="E167" s="258" t="s">
        <v>224</v>
      </c>
      <c r="F167" s="259" t="s">
        <v>617</v>
      </c>
      <c r="G167" s="260" t="s">
        <v>618</v>
      </c>
    </row>
    <row r="168" spans="1:7" ht="26.1" customHeight="1" x14ac:dyDescent="0.2">
      <c r="A168" s="256">
        <v>165</v>
      </c>
      <c r="B168" s="257" t="s">
        <v>201</v>
      </c>
      <c r="D168" s="267" t="str">
        <f>IF(D1="MINERGIE",INDEX($E$4:$G$200,$A168,$A$1),"")</f>
        <v>da riportare nella casella E40 del formulario Minergie</v>
      </c>
      <c r="E168" s="258" t="s">
        <v>623</v>
      </c>
      <c r="F168" s="259" t="s">
        <v>619</v>
      </c>
      <c r="G168" s="260" t="s">
        <v>620</v>
      </c>
    </row>
    <row r="169" spans="1:7" ht="26.1" customHeight="1" x14ac:dyDescent="0.2">
      <c r="A169" s="256">
        <v>166</v>
      </c>
      <c r="B169" s="257" t="s">
        <v>201</v>
      </c>
      <c r="D169" s="267" t="str">
        <f>IF(D1="MINERGIE",INDEX($E$4:$G$200,$A169,$A$1),"")</f>
        <v>da riportare nella casella E41 del formulario Minergie</v>
      </c>
      <c r="E169" s="258" t="s">
        <v>624</v>
      </c>
      <c r="F169" s="259" t="s">
        <v>621</v>
      </c>
      <c r="G169" s="260" t="s">
        <v>622</v>
      </c>
    </row>
    <row r="170" spans="1:7" ht="26.1" customHeight="1" x14ac:dyDescent="0.2">
      <c r="A170" s="256">
        <v>167</v>
      </c>
      <c r="D170" s="267">
        <f t="shared" si="2"/>
        <v>0</v>
      </c>
    </row>
    <row r="171" spans="1:7" ht="26.1" customHeight="1" x14ac:dyDescent="0.2">
      <c r="A171" s="256">
        <v>168</v>
      </c>
      <c r="D171" s="267">
        <f t="shared" si="2"/>
        <v>0</v>
      </c>
    </row>
    <row r="172" spans="1:7" ht="26.1" customHeight="1" x14ac:dyDescent="0.2">
      <c r="A172" s="256">
        <v>169</v>
      </c>
      <c r="D172" s="267">
        <f t="shared" si="2"/>
        <v>0</v>
      </c>
    </row>
    <row r="173" spans="1:7" ht="26.1" customHeight="1" x14ac:dyDescent="0.2">
      <c r="A173" s="256">
        <v>170</v>
      </c>
      <c r="D173" s="267">
        <f t="shared" si="2"/>
        <v>0</v>
      </c>
    </row>
    <row r="174" spans="1:7" ht="26.1" customHeight="1" x14ac:dyDescent="0.2">
      <c r="A174" s="256">
        <v>171</v>
      </c>
      <c r="D174" s="267">
        <f t="shared" si="2"/>
        <v>0</v>
      </c>
    </row>
    <row r="175" spans="1:7" ht="26.1" customHeight="1" x14ac:dyDescent="0.2">
      <c r="A175" s="256">
        <v>172</v>
      </c>
      <c r="D175" s="267">
        <f t="shared" si="2"/>
        <v>0</v>
      </c>
    </row>
    <row r="176" spans="1:7" ht="26.1" customHeight="1" x14ac:dyDescent="0.2">
      <c r="A176" s="256">
        <v>173</v>
      </c>
      <c r="D176" s="267">
        <f t="shared" si="2"/>
        <v>0</v>
      </c>
    </row>
    <row r="177" spans="1:4" ht="26.1" customHeight="1" x14ac:dyDescent="0.2">
      <c r="A177" s="256">
        <v>174</v>
      </c>
      <c r="D177" s="267">
        <f t="shared" si="2"/>
        <v>0</v>
      </c>
    </row>
    <row r="178" spans="1:4" ht="26.1" customHeight="1" x14ac:dyDescent="0.2">
      <c r="A178" s="256">
        <v>175</v>
      </c>
      <c r="D178" s="267">
        <f t="shared" si="2"/>
        <v>0</v>
      </c>
    </row>
    <row r="179" spans="1:4" ht="26.1" customHeight="1" x14ac:dyDescent="0.2">
      <c r="A179" s="256">
        <v>176</v>
      </c>
      <c r="D179" s="267">
        <f t="shared" si="2"/>
        <v>0</v>
      </c>
    </row>
    <row r="180" spans="1:4" ht="26.1" customHeight="1" x14ac:dyDescent="0.2">
      <c r="A180" s="256">
        <v>177</v>
      </c>
      <c r="D180" s="267">
        <f t="shared" si="2"/>
        <v>0</v>
      </c>
    </row>
    <row r="181" spans="1:4" ht="26.1" customHeight="1" x14ac:dyDescent="0.2">
      <c r="A181" s="256">
        <v>178</v>
      </c>
      <c r="D181" s="267">
        <f t="shared" si="2"/>
        <v>0</v>
      </c>
    </row>
    <row r="182" spans="1:4" ht="26.1" customHeight="1" x14ac:dyDescent="0.2">
      <c r="A182" s="256">
        <v>179</v>
      </c>
      <c r="D182" s="267">
        <f t="shared" si="2"/>
        <v>0</v>
      </c>
    </row>
    <row r="183" spans="1:4" ht="26.1" customHeight="1" x14ac:dyDescent="0.2">
      <c r="A183" s="256">
        <v>180</v>
      </c>
      <c r="D183" s="267">
        <f t="shared" si="2"/>
        <v>0</v>
      </c>
    </row>
    <row r="184" spans="1:4" ht="26.1" customHeight="1" x14ac:dyDescent="0.2">
      <c r="A184" s="256">
        <v>181</v>
      </c>
      <c r="D184" s="267">
        <f t="shared" si="2"/>
        <v>0</v>
      </c>
    </row>
    <row r="185" spans="1:4" ht="26.1" customHeight="1" x14ac:dyDescent="0.2">
      <c r="A185" s="256">
        <v>182</v>
      </c>
      <c r="D185" s="267">
        <f t="shared" si="2"/>
        <v>0</v>
      </c>
    </row>
    <row r="186" spans="1:4" ht="26.1" customHeight="1" x14ac:dyDescent="0.2">
      <c r="A186" s="256">
        <v>183</v>
      </c>
      <c r="D186" s="267">
        <f t="shared" si="2"/>
        <v>0</v>
      </c>
    </row>
    <row r="187" spans="1:4" ht="26.1" customHeight="1" x14ac:dyDescent="0.2">
      <c r="A187" s="256">
        <v>184</v>
      </c>
      <c r="D187" s="267">
        <f t="shared" si="2"/>
        <v>0</v>
      </c>
    </row>
    <row r="188" spans="1:4" ht="26.1" customHeight="1" x14ac:dyDescent="0.2">
      <c r="A188" s="256">
        <v>185</v>
      </c>
      <c r="D188" s="267">
        <f t="shared" si="2"/>
        <v>0</v>
      </c>
    </row>
    <row r="189" spans="1:4" ht="26.1" customHeight="1" x14ac:dyDescent="0.2">
      <c r="A189" s="256">
        <v>186</v>
      </c>
      <c r="D189" s="267">
        <f t="shared" si="2"/>
        <v>0</v>
      </c>
    </row>
    <row r="190" spans="1:4" ht="26.1" customHeight="1" x14ac:dyDescent="0.2">
      <c r="A190" s="256">
        <v>187</v>
      </c>
      <c r="D190" s="267">
        <f t="shared" si="2"/>
        <v>0</v>
      </c>
    </row>
    <row r="191" spans="1:4" ht="26.1" customHeight="1" x14ac:dyDescent="0.2">
      <c r="A191" s="256">
        <v>188</v>
      </c>
      <c r="D191" s="267">
        <f t="shared" si="2"/>
        <v>0</v>
      </c>
    </row>
    <row r="192" spans="1:4" ht="26.1" customHeight="1" x14ac:dyDescent="0.2">
      <c r="A192" s="256">
        <v>189</v>
      </c>
      <c r="D192" s="267">
        <f t="shared" si="2"/>
        <v>0</v>
      </c>
    </row>
    <row r="193" spans="1:4" ht="26.1" customHeight="1" x14ac:dyDescent="0.2">
      <c r="A193" s="256">
        <v>190</v>
      </c>
      <c r="D193" s="267">
        <f t="shared" si="2"/>
        <v>0</v>
      </c>
    </row>
    <row r="194" spans="1:4" ht="26.1" customHeight="1" x14ac:dyDescent="0.2">
      <c r="A194" s="256">
        <v>191</v>
      </c>
      <c r="D194" s="267">
        <f t="shared" si="2"/>
        <v>0</v>
      </c>
    </row>
    <row r="195" spans="1:4" ht="26.1" customHeight="1" x14ac:dyDescent="0.2">
      <c r="A195" s="256">
        <v>192</v>
      </c>
      <c r="D195" s="267">
        <f t="shared" si="2"/>
        <v>0</v>
      </c>
    </row>
    <row r="196" spans="1:4" ht="26.1" customHeight="1" x14ac:dyDescent="0.2">
      <c r="A196" s="256">
        <v>193</v>
      </c>
      <c r="D196" s="267">
        <f t="shared" si="2"/>
        <v>0</v>
      </c>
    </row>
    <row r="197" spans="1:4" ht="26.1" customHeight="1" x14ac:dyDescent="0.2">
      <c r="A197" s="256">
        <v>194</v>
      </c>
      <c r="D197" s="267">
        <f>INDEX($E$4:$G$200,$A197,$A$1)</f>
        <v>0</v>
      </c>
    </row>
    <row r="198" spans="1:4" ht="26.1" customHeight="1" x14ac:dyDescent="0.2">
      <c r="A198" s="256">
        <v>195</v>
      </c>
      <c r="D198" s="267">
        <f>INDEX($E$4:$G$200,$A198,$A$1)</f>
        <v>0</v>
      </c>
    </row>
    <row r="199" spans="1:4" ht="26.1" customHeight="1" x14ac:dyDescent="0.2">
      <c r="A199" s="256">
        <v>196</v>
      </c>
      <c r="D199" s="267">
        <f>INDEX($E$4:$G$200,$A199,$A$1)</f>
        <v>0</v>
      </c>
    </row>
    <row r="200" spans="1:4" ht="26.1" customHeight="1" x14ac:dyDescent="0.2">
      <c r="A200" s="256">
        <v>197</v>
      </c>
      <c r="D200" s="267">
        <f>INDEX($E$4:$G$200,$A200,$A$1)</f>
        <v>0</v>
      </c>
    </row>
  </sheetData>
  <sheetProtection algorithmName="SHA-512" hashValue="7fUk/1Oja/dJ+2HZIGXL3YjiI+yKgW5hP73jhkKFHjGPWnrjCTg09jZjvuGdfUdsfPrjfheBp407PJnmsxpRvQ==" saltValue="T05MyHukmJ9cWxPi/lFxuw==" spinCount="100000" sheet="1" objects="1" scenarios="1"/>
  <dataValidations count="2">
    <dataValidation type="list" allowBlank="1" showInputMessage="1" showErrorMessage="1" sqref="C1" xr:uid="{00000000-0002-0000-0200-000000000000}">
      <formula1>$H$1:$H$3</formula1>
    </dataValidation>
    <dataValidation type="list" allowBlank="1" showInputMessage="1" showErrorMessage="1" sqref="D1" xr:uid="{00000000-0002-0000-0200-000001000000}">
      <formula1>$H$5:$H$6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Y116"/>
  <sheetViews>
    <sheetView zoomScaleNormal="100" workbookViewId="0"/>
  </sheetViews>
  <sheetFormatPr baseColWidth="10" defaultRowHeight="15.95" customHeight="1" x14ac:dyDescent="0.2"/>
  <cols>
    <col min="2" max="2" width="11.42578125" style="84"/>
    <col min="3" max="3" width="8.7109375" customWidth="1"/>
    <col min="4" max="4" width="10.7109375" customWidth="1"/>
    <col min="5" max="6" width="15.7109375" customWidth="1"/>
    <col min="7" max="7" width="15.140625" customWidth="1"/>
    <col min="8" max="8" width="15.140625" style="84" customWidth="1"/>
    <col min="9" max="11" width="15.7109375" customWidth="1"/>
    <col min="12" max="12" width="30.7109375" customWidth="1"/>
    <col min="13" max="17" width="12.7109375" customWidth="1"/>
    <col min="19" max="21" width="11.42578125" style="84"/>
  </cols>
  <sheetData>
    <row r="1" spans="1:23" ht="39" customHeight="1" x14ac:dyDescent="0.3">
      <c r="B1" s="223" t="s">
        <v>162</v>
      </c>
      <c r="M1" s="84"/>
      <c r="N1" s="352">
        <f>INDEX($G$45:$G$68,N7,1)</f>
        <v>2</v>
      </c>
    </row>
    <row r="2" spans="1:23" ht="15.75" customHeight="1" x14ac:dyDescent="0.2">
      <c r="H2"/>
      <c r="I2" s="84"/>
      <c r="N2" s="179" t="s">
        <v>172</v>
      </c>
      <c r="O2" s="180">
        <v>1.4</v>
      </c>
      <c r="P2" s="111" t="s">
        <v>168</v>
      </c>
    </row>
    <row r="3" spans="1:23" ht="15.95" customHeight="1" x14ac:dyDescent="0.2">
      <c r="E3" s="179" t="s">
        <v>159</v>
      </c>
      <c r="F3" s="180">
        <v>0.8</v>
      </c>
      <c r="G3" t="s">
        <v>164</v>
      </c>
      <c r="H3"/>
      <c r="I3" s="179" t="s">
        <v>321</v>
      </c>
      <c r="J3" s="180">
        <v>0.65</v>
      </c>
      <c r="K3" t="s">
        <v>322</v>
      </c>
      <c r="N3" s="179" t="s">
        <v>165</v>
      </c>
      <c r="O3" s="180">
        <v>0.6</v>
      </c>
      <c r="P3" s="111"/>
      <c r="R3" s="179" t="s">
        <v>160</v>
      </c>
      <c r="S3" s="180">
        <v>0.9</v>
      </c>
      <c r="T3" s="116" t="s">
        <v>167</v>
      </c>
    </row>
    <row r="4" spans="1:23" ht="32.1" customHeight="1" x14ac:dyDescent="0.2">
      <c r="B4" s="210" t="s">
        <v>48</v>
      </c>
      <c r="C4" s="364" t="s">
        <v>74</v>
      </c>
      <c r="D4" s="365"/>
      <c r="E4" s="211"/>
      <c r="F4" s="370" t="s">
        <v>173</v>
      </c>
      <c r="G4" s="371"/>
      <c r="H4" s="364" t="s">
        <v>54</v>
      </c>
      <c r="I4" s="365"/>
      <c r="J4" s="212" t="s">
        <v>56</v>
      </c>
      <c r="K4" s="213" t="s">
        <v>56</v>
      </c>
      <c r="L4" s="211" t="s">
        <v>85</v>
      </c>
      <c r="M4" s="372" t="s">
        <v>333</v>
      </c>
      <c r="N4" s="213" t="s">
        <v>97</v>
      </c>
      <c r="O4" s="211" t="s">
        <v>88</v>
      </c>
      <c r="P4" s="232" t="s">
        <v>166</v>
      </c>
      <c r="Q4" s="212" t="s">
        <v>72</v>
      </c>
      <c r="R4" s="213" t="s">
        <v>143</v>
      </c>
      <c r="S4" s="212" t="s">
        <v>72</v>
      </c>
      <c r="T4" s="213" t="s">
        <v>155</v>
      </c>
      <c r="U4" s="212" t="s">
        <v>161</v>
      </c>
      <c r="V4" s="310" t="s">
        <v>377</v>
      </c>
      <c r="W4" s="324" t="s">
        <v>346</v>
      </c>
    </row>
    <row r="5" spans="1:23" ht="15.95" customHeight="1" x14ac:dyDescent="0.2">
      <c r="B5" s="214"/>
      <c r="C5" s="215" t="s">
        <v>59</v>
      </c>
      <c r="D5" s="216" t="s">
        <v>75</v>
      </c>
      <c r="E5" s="217" t="s">
        <v>57</v>
      </c>
      <c r="F5" s="218" t="s">
        <v>174</v>
      </c>
      <c r="G5" s="218" t="s">
        <v>175</v>
      </c>
      <c r="H5" s="219" t="s">
        <v>81</v>
      </c>
      <c r="I5" s="220" t="s">
        <v>76</v>
      </c>
      <c r="J5" s="218" t="s">
        <v>84</v>
      </c>
      <c r="K5" s="219" t="s">
        <v>86</v>
      </c>
      <c r="L5" s="219" t="s">
        <v>86</v>
      </c>
      <c r="M5" s="373"/>
      <c r="N5" s="218"/>
      <c r="O5" s="220" t="s">
        <v>89</v>
      </c>
      <c r="P5" s="218" t="s">
        <v>89</v>
      </c>
      <c r="Q5" s="221"/>
      <c r="R5" s="222" t="s">
        <v>144</v>
      </c>
      <c r="S5" s="218"/>
      <c r="T5" s="222" t="s">
        <v>156</v>
      </c>
      <c r="U5" s="218" t="s">
        <v>89</v>
      </c>
      <c r="V5" s="219" t="s">
        <v>86</v>
      </c>
      <c r="W5" s="325"/>
    </row>
    <row r="6" spans="1:23" ht="15.95" customHeight="1" x14ac:dyDescent="0.2">
      <c r="A6">
        <v>1</v>
      </c>
      <c r="B6" s="103">
        <f>Lüftung!B14</f>
        <v>0</v>
      </c>
      <c r="C6" s="90">
        <f>IF(Lüftung!C14="",1,VLOOKUP(Lüftung!C14,$I$97:$J$99,2,FALSE))</f>
        <v>1</v>
      </c>
      <c r="D6" s="131">
        <f>Lüftung!E14*Berechnung!C6</f>
        <v>0</v>
      </c>
      <c r="E6" s="109">
        <f>IF(Lüftung!D14="",1,VLOOKUP(Lüftung!D14,$L$44:$M$101,2,FALSE))</f>
        <v>1</v>
      </c>
      <c r="F6" s="234" t="str">
        <f>IF(Lüftung!D14="","",VLOOKUP(Lüftung!D14,$L$44:$N$101,3,FALSE)*INDEX($F$75:$F$90,T6,1))</f>
        <v/>
      </c>
      <c r="G6" s="90" t="str">
        <f>IF(Lüftung!D14="","",VLOOKUP(Lüftung!D14,$L$44:$N$101,3,FALSE)*INDEX($E$75:$E$90,T6,1)*Min_Vollast)</f>
        <v/>
      </c>
      <c r="H6" s="181">
        <f>IF(Lüftung!D14="",0,VLOOKUP(Lüftung!D14,$L$44:$O$101,4,FALSE))</f>
        <v>0</v>
      </c>
      <c r="I6" s="151">
        <f>IF(Lüftung!D14="",0,VLOOKUP(Lüftung!D14,$L$44:$P$101,5,FALSE))</f>
        <v>0</v>
      </c>
      <c r="J6" s="99">
        <f t="shared" ref="J6:J31" si="0">INDEX($Q$44:$Q$99,E6,1)</f>
        <v>1</v>
      </c>
      <c r="K6" s="97">
        <f>H6*Lüftung!E14*J6</f>
        <v>0</v>
      </c>
      <c r="L6" s="160">
        <f>I6*Lüftung!E14</f>
        <v>0</v>
      </c>
      <c r="M6" s="151">
        <f>IF(Lüftung!I14="x",1,W6)</f>
        <v>1.8</v>
      </c>
      <c r="N6" s="115">
        <f>IF(Lüftung!F14="",1,VLOOKUP(Lüftung!F14,$B$45:$I$68,8,FALSE))</f>
        <v>1</v>
      </c>
      <c r="O6" s="154">
        <f>Lüftung!H14/3600*(INDEX($H$45:$H$68,N6,1)+INDEX($G$97:$G$112,R6,1))*J6/$O$3/1000*INDEX($G$45:$G$68,N6,1)*M6</f>
        <v>0</v>
      </c>
      <c r="P6" s="151">
        <f>IF(Lüftung!J14&gt;0,MAX(O6+U6,Lüftung!J14),(O6+U6)*$O$2)</f>
        <v>0</v>
      </c>
      <c r="Q6" s="115">
        <f t="shared" ref="Q6:Q31" si="1">INDEX($E$45:$E$68,N6,1)</f>
        <v>0</v>
      </c>
      <c r="R6" s="160">
        <f>IF(Lüftung!O14="",1,VLOOKUP(Lüftung!O14,$B$97:$H$112,7,FALSE))</f>
        <v>1</v>
      </c>
      <c r="S6" s="309">
        <f>IF(INDEX($F$45:$F$68,N6,1),1,IF(Lüftung!P14&gt;0,MIN(INDEX($E$97:$E$112,R6,1),Lüftung!P14),INDEX($E$97:$E$112,R6,1)*$S$3))</f>
        <v>0</v>
      </c>
      <c r="T6" s="90">
        <f>IF(Lüftung!L14="",1,VLOOKUP(Lüftung!L14,$B$75:$I$90,8,FALSE))</f>
        <v>1</v>
      </c>
      <c r="U6" s="326">
        <f>IF(Lüftung!N14&lt;&gt;"",Lüftung!H14*INDEX($F$97:$F$112,R6,1)/1000,0)</f>
        <v>0</v>
      </c>
      <c r="V6" s="353">
        <f>Lüftung!H14</f>
        <v>0</v>
      </c>
      <c r="W6" s="354">
        <f>IF(V6&lt;200,1.8,IF(V6&lt;1000,1.6,IF(V6&lt;5000,1.4,IF(V6&lt;10000,1.2,1.1))))</f>
        <v>1.8</v>
      </c>
    </row>
    <row r="7" spans="1:23" ht="15.95" customHeight="1" x14ac:dyDescent="0.2">
      <c r="A7">
        <v>2</v>
      </c>
      <c r="B7" s="103">
        <f>Lüftung!B15</f>
        <v>0</v>
      </c>
      <c r="C7" s="91">
        <f>IF(Lüftung!C15="",1,VLOOKUP(Lüftung!C15,$I$97:$J$99,2,FALSE))</f>
        <v>1</v>
      </c>
      <c r="D7" s="132">
        <f>Lüftung!E15*Berechnung!C7</f>
        <v>0</v>
      </c>
      <c r="E7" s="87">
        <f>IF(Lüftung!D15="",1,VLOOKUP(Lüftung!D15,$L$44:$M$101,2,FALSE))</f>
        <v>1</v>
      </c>
      <c r="F7" s="87" t="str">
        <f>IF(Lüftung!D15="","",VLOOKUP(Lüftung!D15,$L$44:$N$101,3,FALSE)*INDEX($F$75:$F$90,T7,1))</f>
        <v/>
      </c>
      <c r="G7" s="91" t="str">
        <f>IF(Lüftung!D15="","",VLOOKUP(Lüftung!D15,$L$44:$N$101,3,FALSE)*INDEX($E$75:$E$90,T7,1)*Min_Vollast)</f>
        <v/>
      </c>
      <c r="H7" s="182">
        <f>IF(Lüftung!D15="",0,VLOOKUP(Lüftung!D15,$L$44:$O$101,4,FALSE))</f>
        <v>0</v>
      </c>
      <c r="I7" s="152">
        <f>IF(Lüftung!D15="",0,VLOOKUP(Lüftung!D15,$L$44:$P$101,5,FALSE))</f>
        <v>0</v>
      </c>
      <c r="J7" s="101">
        <f t="shared" si="0"/>
        <v>1</v>
      </c>
      <c r="K7" s="97">
        <f>H7*Lüftung!E15*J7</f>
        <v>0</v>
      </c>
      <c r="L7" s="103">
        <f>I7*Lüftung!E15</f>
        <v>0</v>
      </c>
      <c r="M7" s="152">
        <f>IF(Lüftung!I15="x",1,W7)</f>
        <v>1.8</v>
      </c>
      <c r="N7" s="85">
        <f>IF(Lüftung!F15="",1,VLOOKUP(Lüftung!F15,$B$45:$I$68,8,FALSE))</f>
        <v>1</v>
      </c>
      <c r="O7" s="155">
        <f>Lüftung!H15/3600*(INDEX($H$45:$H$68,N7,1)+INDEX($G$97:$G$112,R7,1))*J7/$O$3/1000*INDEX($G$45:$G$68,N7,1)*M7</f>
        <v>0</v>
      </c>
      <c r="P7" s="152">
        <f>IF(Lüftung!J15&gt;0,MAX(O7+U7,Lüftung!J15),(O7+U7)*$O$2)</f>
        <v>0</v>
      </c>
      <c r="Q7" s="85">
        <f t="shared" si="1"/>
        <v>0</v>
      </c>
      <c r="R7" s="103">
        <f>IF(Lüftung!O15="",1,VLOOKUP(Lüftung!O15,$B$97:$H$112,7,FALSE))</f>
        <v>1</v>
      </c>
      <c r="S7" s="87">
        <f>IF(INDEX($F$45:$F$68,N7,1),1,IF(Lüftung!P15&gt;0,MIN(INDEX($E$97:$E$112,R7,1),Lüftung!P15),INDEX($E$97:$E$112,R7,1)*$S$3))</f>
        <v>0</v>
      </c>
      <c r="T7" s="91">
        <f>IF(Lüftung!L15="",1,VLOOKUP(Lüftung!L15,$B$75:$I$90,8,FALSE))</f>
        <v>1</v>
      </c>
      <c r="U7" s="327">
        <f>IF(Lüftung!N15&lt;&gt;"",Lüftung!H15*INDEX($F$97:$F$112,R7,1)/1000,0)</f>
        <v>0</v>
      </c>
      <c r="V7" s="97">
        <f>Lüftung!H15</f>
        <v>0</v>
      </c>
      <c r="W7" s="329">
        <f t="shared" ref="W7:W31" si="2">IF(V7&lt;200,1.8,IF(V7&lt;1000,1.6,IF(V7&lt;5000,1.4,IF(V7&lt;10000,1.2,1.1))))</f>
        <v>1.8</v>
      </c>
    </row>
    <row r="8" spans="1:23" ht="15.95" customHeight="1" x14ac:dyDescent="0.2">
      <c r="A8">
        <v>3</v>
      </c>
      <c r="B8" s="103">
        <f>Lüftung!B16</f>
        <v>0</v>
      </c>
      <c r="C8" s="91">
        <f>IF(Lüftung!C16="",1,VLOOKUP(Lüftung!C16,$I$97:$J$99,2,FALSE))</f>
        <v>1</v>
      </c>
      <c r="D8" s="132">
        <f>Lüftung!E16*Berechnung!C8</f>
        <v>0</v>
      </c>
      <c r="E8" s="87">
        <f>IF(Lüftung!D16="",1,VLOOKUP(Lüftung!D16,$L$44:$M$101,2,FALSE))</f>
        <v>1</v>
      </c>
      <c r="F8" s="87" t="str">
        <f>IF(Lüftung!D16="","",VLOOKUP(Lüftung!D16,$L$44:$N$101,3,FALSE)*INDEX($F$75:$F$90,T8,1))</f>
        <v/>
      </c>
      <c r="G8" s="91" t="str">
        <f>IF(Lüftung!D16="","",VLOOKUP(Lüftung!D16,$L$44:$N$101,3,FALSE)*INDEX($E$75:$E$90,T8,1)*Min_Vollast)</f>
        <v/>
      </c>
      <c r="H8" s="182">
        <f>IF(Lüftung!D16="",0,VLOOKUP(Lüftung!D16,$L$44:$O$101,4,FALSE))</f>
        <v>0</v>
      </c>
      <c r="I8" s="152">
        <f>IF(Lüftung!D16="",0,VLOOKUP(Lüftung!D16,$L$44:$P$101,5,FALSE))</f>
        <v>0</v>
      </c>
      <c r="J8" s="101">
        <f t="shared" si="0"/>
        <v>1</v>
      </c>
      <c r="K8" s="97">
        <f>H8*Lüftung!E16*J8</f>
        <v>0</v>
      </c>
      <c r="L8" s="103">
        <f>I8*Lüftung!E16</f>
        <v>0</v>
      </c>
      <c r="M8" s="152">
        <f>IF(Lüftung!I16="x",1,W8)</f>
        <v>1.8</v>
      </c>
      <c r="N8" s="85">
        <f>IF(Lüftung!F16="",1,VLOOKUP(Lüftung!F16,$B$45:$I$68,8,FALSE))</f>
        <v>1</v>
      </c>
      <c r="O8" s="155">
        <f>Lüftung!H16/3600*(INDEX($H$45:$H$68,N8,1)+INDEX($G$97:$G$112,R8,1))*J8/$O$3/1000*INDEX($G$45:$G$68,N8,1)*M8</f>
        <v>0</v>
      </c>
      <c r="P8" s="152">
        <f>IF(Lüftung!J16&gt;0,MAX(O8+U8,Lüftung!J16),(O8+U8)*$O$2)</f>
        <v>0</v>
      </c>
      <c r="Q8" s="85">
        <f t="shared" si="1"/>
        <v>0</v>
      </c>
      <c r="R8" s="103">
        <f>IF(Lüftung!O16="",1,VLOOKUP(Lüftung!O16,$B$97:$H$112,7,FALSE))</f>
        <v>1</v>
      </c>
      <c r="S8" s="87">
        <f>IF(INDEX($F$45:$F$68,N8,1),1,IF(Lüftung!P16&gt;0,MIN(INDEX($E$97:$E$112,R8,1),Lüftung!P16),INDEX($E$97:$E$112,R8,1)*$S$3))</f>
        <v>0</v>
      </c>
      <c r="T8" s="91">
        <f>IF(Lüftung!L16="",1,VLOOKUP(Lüftung!L16,$B$75:$I$90,8,FALSE))</f>
        <v>1</v>
      </c>
      <c r="U8" s="327">
        <f>IF(Lüftung!N16&lt;&gt;"",Lüftung!H16*INDEX($F$97:$F$112,R8,1)/1000,0)</f>
        <v>0</v>
      </c>
      <c r="V8" s="97">
        <f>Lüftung!H16</f>
        <v>0</v>
      </c>
      <c r="W8" s="329">
        <f t="shared" si="2"/>
        <v>1.8</v>
      </c>
    </row>
    <row r="9" spans="1:23" ht="15.95" customHeight="1" x14ac:dyDescent="0.2">
      <c r="A9">
        <v>4</v>
      </c>
      <c r="B9" s="103">
        <f>Lüftung!B17</f>
        <v>0</v>
      </c>
      <c r="C9" s="91">
        <f>IF(Lüftung!C17="",1,VLOOKUP(Lüftung!C17,$I$97:$J$99,2,FALSE))</f>
        <v>1</v>
      </c>
      <c r="D9" s="132">
        <f>Lüftung!E17*Berechnung!C9</f>
        <v>0</v>
      </c>
      <c r="E9" s="87">
        <f>IF(Lüftung!D17="",1,VLOOKUP(Lüftung!D17,$L$44:$M$101,2,FALSE))</f>
        <v>1</v>
      </c>
      <c r="F9" s="87" t="str">
        <f>IF(Lüftung!D17="","",VLOOKUP(Lüftung!D17,$L$44:$N$101,3,FALSE)*INDEX($F$75:$F$90,T9,1))</f>
        <v/>
      </c>
      <c r="G9" s="91" t="str">
        <f>IF(Lüftung!D17="","",VLOOKUP(Lüftung!D17,$L$44:$N$101,3,FALSE)*INDEX($E$75:$E$90,T9,1)*Min_Vollast)</f>
        <v/>
      </c>
      <c r="H9" s="182">
        <f>IF(Lüftung!D17="",0,VLOOKUP(Lüftung!D17,$L$44:$O$101,4,FALSE))</f>
        <v>0</v>
      </c>
      <c r="I9" s="152">
        <f>IF(Lüftung!D17="",0,VLOOKUP(Lüftung!D17,$L$44:$P$101,5,FALSE))</f>
        <v>0</v>
      </c>
      <c r="J9" s="101">
        <f t="shared" si="0"/>
        <v>1</v>
      </c>
      <c r="K9" s="97">
        <f>H9*Lüftung!E17*J9</f>
        <v>0</v>
      </c>
      <c r="L9" s="103">
        <f>I9*Lüftung!E17</f>
        <v>0</v>
      </c>
      <c r="M9" s="152">
        <f>IF(Lüftung!I17="x",1,W9)</f>
        <v>1.8</v>
      </c>
      <c r="N9" s="85">
        <f>IF(Lüftung!F17="",1,VLOOKUP(Lüftung!F17,$B$45:$I$68,8,FALSE))</f>
        <v>1</v>
      </c>
      <c r="O9" s="155">
        <f>Lüftung!H17/3600*(INDEX($H$45:$H$68,N9,1)+INDEX($G$97:$G$112,R9,1))*J9/$O$3/1000*INDEX($G$45:$G$68,N9,1)*M9</f>
        <v>0</v>
      </c>
      <c r="P9" s="152">
        <f>IF(Lüftung!J17&gt;0,MAX(O9+U9,Lüftung!J17),(O9+U9)*$O$2)</f>
        <v>0</v>
      </c>
      <c r="Q9" s="85">
        <f t="shared" si="1"/>
        <v>0</v>
      </c>
      <c r="R9" s="103">
        <f>IF(Lüftung!O17="",1,VLOOKUP(Lüftung!O17,$B$97:$H$112,7,FALSE))</f>
        <v>1</v>
      </c>
      <c r="S9" s="87">
        <f>IF(INDEX($F$45:$F$68,N9,1),1,IF(Lüftung!P17&gt;0,MIN(INDEX($E$97:$E$112,R9,1),Lüftung!P17),INDEX($E$97:$E$112,R9,1)*$S$3))</f>
        <v>0</v>
      </c>
      <c r="T9" s="91">
        <f>IF(Lüftung!L17="",1,VLOOKUP(Lüftung!L17,$B$75:$I$90,8,FALSE))</f>
        <v>1</v>
      </c>
      <c r="U9" s="327">
        <f>IF(Lüftung!N17&lt;&gt;"",Lüftung!H17*INDEX($F$97:$F$112,R9,1)/1000,0)</f>
        <v>0</v>
      </c>
      <c r="V9" s="97">
        <f>Lüftung!H17</f>
        <v>0</v>
      </c>
      <c r="W9" s="329">
        <f t="shared" si="2"/>
        <v>1.8</v>
      </c>
    </row>
    <row r="10" spans="1:23" ht="15.95" customHeight="1" x14ac:dyDescent="0.2">
      <c r="A10">
        <v>5</v>
      </c>
      <c r="B10" s="103">
        <f>Lüftung!B18</f>
        <v>0</v>
      </c>
      <c r="C10" s="91">
        <f>IF(Lüftung!C18="",1,VLOOKUP(Lüftung!C18,$I$97:$J$99,2,FALSE))</f>
        <v>1</v>
      </c>
      <c r="D10" s="132">
        <f>Lüftung!E18*Berechnung!C10</f>
        <v>0</v>
      </c>
      <c r="E10" s="87">
        <f>IF(Lüftung!D18="",1,VLOOKUP(Lüftung!D18,$L$44:$M$101,2,FALSE))</f>
        <v>1</v>
      </c>
      <c r="F10" s="87" t="str">
        <f>IF(Lüftung!D18="","",VLOOKUP(Lüftung!D18,$L$44:$N$101,3,FALSE)*INDEX($F$75:$F$90,T10,1))</f>
        <v/>
      </c>
      <c r="G10" s="91" t="str">
        <f>IF(Lüftung!D18="","",VLOOKUP(Lüftung!D18,$L$44:$N$101,3,FALSE)*INDEX($E$75:$E$90,T10,1)*Min_Vollast)</f>
        <v/>
      </c>
      <c r="H10" s="182">
        <f>IF(Lüftung!D18="",0,VLOOKUP(Lüftung!D18,$L$44:$O$101,4,FALSE))</f>
        <v>0</v>
      </c>
      <c r="I10" s="152">
        <f>IF(Lüftung!D18="",0,VLOOKUP(Lüftung!D18,$L$44:$P$101,5,FALSE))</f>
        <v>0</v>
      </c>
      <c r="J10" s="101">
        <f t="shared" si="0"/>
        <v>1</v>
      </c>
      <c r="K10" s="97">
        <f>H10*Lüftung!E18*J10</f>
        <v>0</v>
      </c>
      <c r="L10" s="103">
        <f>I10*Lüftung!E18</f>
        <v>0</v>
      </c>
      <c r="M10" s="152">
        <f>IF(Lüftung!I18="x",1,W10)</f>
        <v>1.8</v>
      </c>
      <c r="N10" s="85">
        <f>IF(Lüftung!F18="",1,VLOOKUP(Lüftung!F18,$B$45:$I$68,8,FALSE))</f>
        <v>1</v>
      </c>
      <c r="O10" s="155">
        <f>Lüftung!H18/3600*(INDEX($H$45:$H$68,N10,1)+INDEX($G$97:$G$112,R10,1))*J10/$O$3/1000*INDEX($G$45:$G$68,N10,1)*M10</f>
        <v>0</v>
      </c>
      <c r="P10" s="152">
        <f>IF(Lüftung!J18&gt;0,MAX(O10+U10,Lüftung!J18),(O10+U10)*$O$2)</f>
        <v>0</v>
      </c>
      <c r="Q10" s="85">
        <f t="shared" si="1"/>
        <v>0</v>
      </c>
      <c r="R10" s="103">
        <f>IF(Lüftung!O18="",1,VLOOKUP(Lüftung!O18,$B$97:$H$112,7,FALSE))</f>
        <v>1</v>
      </c>
      <c r="S10" s="87">
        <f>IF(INDEX($F$45:$F$68,N10,1),1,IF(Lüftung!P18&gt;0,MIN(INDEX($E$97:$E$112,R10,1),Lüftung!P18),INDEX($E$97:$E$112,R10,1)*$S$3))</f>
        <v>0</v>
      </c>
      <c r="T10" s="91">
        <f>IF(Lüftung!L18="",1,VLOOKUP(Lüftung!L18,$B$75:$I$90,8,FALSE))</f>
        <v>1</v>
      </c>
      <c r="U10" s="327">
        <f>IF(Lüftung!N18&lt;&gt;"",Lüftung!H18*INDEX($F$97:$F$112,R10,1)/1000,0)</f>
        <v>0</v>
      </c>
      <c r="V10" s="97">
        <f>Lüftung!H18</f>
        <v>0</v>
      </c>
      <c r="W10" s="329">
        <f t="shared" si="2"/>
        <v>1.8</v>
      </c>
    </row>
    <row r="11" spans="1:23" ht="15.95" customHeight="1" x14ac:dyDescent="0.2">
      <c r="A11">
        <v>6</v>
      </c>
      <c r="B11" s="103">
        <f>Lüftung!B19</f>
        <v>0</v>
      </c>
      <c r="C11" s="91">
        <f>IF(Lüftung!C19="",1,VLOOKUP(Lüftung!C19,$I$97:$J$99,2,FALSE))</f>
        <v>1</v>
      </c>
      <c r="D11" s="132">
        <f>Lüftung!E19*Berechnung!C11</f>
        <v>0</v>
      </c>
      <c r="E11" s="87">
        <f>IF(Lüftung!D19="",1,VLOOKUP(Lüftung!D19,$L$44:$M$101,2,FALSE))</f>
        <v>1</v>
      </c>
      <c r="F11" s="87" t="str">
        <f>IF(Lüftung!D19="","",VLOOKUP(Lüftung!D19,$L$44:$N$101,3,FALSE)*INDEX($F$75:$F$90,T11,1))</f>
        <v/>
      </c>
      <c r="G11" s="91" t="str">
        <f>IF(Lüftung!D19="","",VLOOKUP(Lüftung!D19,$L$44:$N$101,3,FALSE)*INDEX($E$75:$E$90,T11,1)*Min_Vollast)</f>
        <v/>
      </c>
      <c r="H11" s="182">
        <f>IF(Lüftung!D19="",0,VLOOKUP(Lüftung!D19,$L$44:$O$101,4,FALSE))</f>
        <v>0</v>
      </c>
      <c r="I11" s="152">
        <f>IF(Lüftung!D19="",0,VLOOKUP(Lüftung!D19,$L$44:$P$101,5,FALSE))</f>
        <v>0</v>
      </c>
      <c r="J11" s="101">
        <f t="shared" si="0"/>
        <v>1</v>
      </c>
      <c r="K11" s="97">
        <f>H11*Lüftung!E19*J11</f>
        <v>0</v>
      </c>
      <c r="L11" s="103">
        <f>I11*Lüftung!E19</f>
        <v>0</v>
      </c>
      <c r="M11" s="152">
        <f>IF(Lüftung!I19="x",1,W11)</f>
        <v>1.8</v>
      </c>
      <c r="N11" s="85">
        <f>IF(Lüftung!F19="",1,VLOOKUP(Lüftung!F19,$B$45:$I$68,8,FALSE))</f>
        <v>1</v>
      </c>
      <c r="O11" s="155">
        <f>Lüftung!H19/3600*(INDEX($H$45:$H$68,N11,1)+INDEX($G$97:$G$112,R11,1))*J11/$O$3/1000*INDEX($G$45:$G$68,N11,1)*M11</f>
        <v>0</v>
      </c>
      <c r="P11" s="152">
        <f>IF(Lüftung!J19&gt;0,MAX(O11+U11,Lüftung!J19),(O11+U11)*$O$2)</f>
        <v>0</v>
      </c>
      <c r="Q11" s="85">
        <f t="shared" si="1"/>
        <v>0</v>
      </c>
      <c r="R11" s="103">
        <f>IF(Lüftung!O19="",1,VLOOKUP(Lüftung!O19,$B$97:$H$112,7,FALSE))</f>
        <v>1</v>
      </c>
      <c r="S11" s="87">
        <f>IF(INDEX($F$45:$F$68,N11,1),1,IF(Lüftung!P19&gt;0,MIN(INDEX($E$97:$E$112,R11,1),Lüftung!P19),INDEX($E$97:$E$112,R11,1)*$S$3))</f>
        <v>0</v>
      </c>
      <c r="T11" s="91">
        <f>IF(Lüftung!L19="",1,VLOOKUP(Lüftung!L19,$B$75:$I$90,8,FALSE))</f>
        <v>1</v>
      </c>
      <c r="U11" s="327">
        <f>IF(Lüftung!N19&lt;&gt;"",Lüftung!H19*INDEX($F$97:$F$112,R11,1)/1000,0)</f>
        <v>0</v>
      </c>
      <c r="V11" s="97">
        <f>Lüftung!H19</f>
        <v>0</v>
      </c>
      <c r="W11" s="329">
        <f t="shared" si="2"/>
        <v>1.8</v>
      </c>
    </row>
    <row r="12" spans="1:23" ht="15.95" customHeight="1" x14ac:dyDescent="0.2">
      <c r="A12">
        <v>7</v>
      </c>
      <c r="B12" s="103">
        <f>Lüftung!B20</f>
        <v>0</v>
      </c>
      <c r="C12" s="91">
        <f>IF(Lüftung!C20="",1,VLOOKUP(Lüftung!C20,$I$97:$J$99,2,FALSE))</f>
        <v>1</v>
      </c>
      <c r="D12" s="132">
        <f>Lüftung!E20*Berechnung!C12</f>
        <v>0</v>
      </c>
      <c r="E12" s="87">
        <f>IF(Lüftung!D20="",1,VLOOKUP(Lüftung!D20,$L$44:$M$101,2,FALSE))</f>
        <v>1</v>
      </c>
      <c r="F12" s="87" t="str">
        <f>IF(Lüftung!D20="","",VLOOKUP(Lüftung!D20,$L$44:$N$101,3,FALSE)*INDEX($F$75:$F$90,T12,1))</f>
        <v/>
      </c>
      <c r="G12" s="91" t="str">
        <f>IF(Lüftung!D20="","",VLOOKUP(Lüftung!D20,$L$44:$N$101,3,FALSE)*INDEX($E$75:$E$90,T12,1)*Min_Vollast)</f>
        <v/>
      </c>
      <c r="H12" s="182">
        <f>IF(Lüftung!D20="",0,VLOOKUP(Lüftung!D20,$L$44:$O$101,4,FALSE))</f>
        <v>0</v>
      </c>
      <c r="I12" s="152">
        <f>IF(Lüftung!D20="",0,VLOOKUP(Lüftung!D20,$L$44:$P$101,5,FALSE))</f>
        <v>0</v>
      </c>
      <c r="J12" s="101">
        <f t="shared" si="0"/>
        <v>1</v>
      </c>
      <c r="K12" s="97">
        <f>H12*Lüftung!E20*J12</f>
        <v>0</v>
      </c>
      <c r="L12" s="103">
        <f>I12*Lüftung!E20</f>
        <v>0</v>
      </c>
      <c r="M12" s="152">
        <f>IF(Lüftung!I20="x",1,W12)</f>
        <v>1.8</v>
      </c>
      <c r="N12" s="85">
        <f>IF(Lüftung!F20="",1,VLOOKUP(Lüftung!F20,$B$45:$I$68,8,FALSE))</f>
        <v>1</v>
      </c>
      <c r="O12" s="155">
        <f>Lüftung!H20/3600*(INDEX($H$45:$H$68,N12,1)+INDEX($G$97:$G$112,R12,1))*J12/$O$3/1000*INDEX($G$45:$G$68,N12,1)*M12</f>
        <v>0</v>
      </c>
      <c r="P12" s="152">
        <f>IF(Lüftung!J20&gt;0,MAX(O12+U12,Lüftung!J20),(O12+U12)*$O$2)</f>
        <v>0</v>
      </c>
      <c r="Q12" s="85">
        <f t="shared" si="1"/>
        <v>0</v>
      </c>
      <c r="R12" s="103">
        <f>IF(Lüftung!O20="",1,VLOOKUP(Lüftung!O20,$B$97:$H$112,7,FALSE))</f>
        <v>1</v>
      </c>
      <c r="S12" s="87">
        <f>IF(INDEX($F$45:$F$68,N12,1),1,IF(Lüftung!P20&gt;0,MIN(INDEX($E$97:$E$112,R12,1),Lüftung!P20),INDEX($E$97:$E$112,R12,1)*$S$3))</f>
        <v>0</v>
      </c>
      <c r="T12" s="91">
        <f>IF(Lüftung!L20="",1,VLOOKUP(Lüftung!L20,$B$75:$I$90,8,FALSE))</f>
        <v>1</v>
      </c>
      <c r="U12" s="327">
        <f>IF(Lüftung!N20&lt;&gt;"",Lüftung!H20*INDEX($F$97:$F$112,R12,1)/1000,0)</f>
        <v>0</v>
      </c>
      <c r="V12" s="97">
        <f>Lüftung!H20</f>
        <v>0</v>
      </c>
      <c r="W12" s="329">
        <f t="shared" si="2"/>
        <v>1.8</v>
      </c>
    </row>
    <row r="13" spans="1:23" ht="15.95" customHeight="1" x14ac:dyDescent="0.2">
      <c r="A13">
        <v>8</v>
      </c>
      <c r="B13" s="103">
        <f>Lüftung!B21</f>
        <v>0</v>
      </c>
      <c r="C13" s="91">
        <f>IF(Lüftung!C21="",1,VLOOKUP(Lüftung!C21,$I$97:$J$99,2,FALSE))</f>
        <v>1</v>
      </c>
      <c r="D13" s="132">
        <f>Lüftung!E21*Berechnung!C13</f>
        <v>0</v>
      </c>
      <c r="E13" s="87">
        <f>IF(Lüftung!D21="",1,VLOOKUP(Lüftung!D21,$L$44:$M$101,2,FALSE))</f>
        <v>1</v>
      </c>
      <c r="F13" s="87" t="str">
        <f>IF(Lüftung!D21="","",VLOOKUP(Lüftung!D21,$L$44:$N$101,3,FALSE)*INDEX($F$75:$F$90,T13,1))</f>
        <v/>
      </c>
      <c r="G13" s="91" t="str">
        <f>IF(Lüftung!D21="","",VLOOKUP(Lüftung!D21,$L$44:$N$101,3,FALSE)*INDEX($E$75:$E$90,T13,1)*Min_Vollast)</f>
        <v/>
      </c>
      <c r="H13" s="182">
        <f>IF(Lüftung!D21="",0,VLOOKUP(Lüftung!D21,$L$44:$O$101,4,FALSE))</f>
        <v>0</v>
      </c>
      <c r="I13" s="152">
        <f>IF(Lüftung!D21="",0,VLOOKUP(Lüftung!D21,$L$44:$P$101,5,FALSE))</f>
        <v>0</v>
      </c>
      <c r="J13" s="101">
        <f t="shared" si="0"/>
        <v>1</v>
      </c>
      <c r="K13" s="97">
        <f>H13*Lüftung!E21*J13</f>
        <v>0</v>
      </c>
      <c r="L13" s="103">
        <f>I13*Lüftung!E21</f>
        <v>0</v>
      </c>
      <c r="M13" s="152">
        <f>IF(Lüftung!I21="x",1,W13)</f>
        <v>1.8</v>
      </c>
      <c r="N13" s="85">
        <f>IF(Lüftung!F21="",1,VLOOKUP(Lüftung!F21,$B$45:$I$68,8,FALSE))</f>
        <v>1</v>
      </c>
      <c r="O13" s="155">
        <f>Lüftung!H21/3600*(INDEX($H$45:$H$68,N13,1)+INDEX($G$97:$G$112,R13,1))*J13/$O$3/1000*INDEX($G$45:$G$68,N13,1)*M13</f>
        <v>0</v>
      </c>
      <c r="P13" s="152">
        <f>IF(Lüftung!J21&gt;0,MAX(O13+U13,Lüftung!J21),(O13+U13)*$O$2)</f>
        <v>0</v>
      </c>
      <c r="Q13" s="85">
        <f t="shared" si="1"/>
        <v>0</v>
      </c>
      <c r="R13" s="103">
        <f>IF(Lüftung!O21="",1,VLOOKUP(Lüftung!O21,$B$97:$H$112,7,FALSE))</f>
        <v>1</v>
      </c>
      <c r="S13" s="87">
        <f>IF(INDEX($F$45:$F$68,N13,1),1,IF(Lüftung!P21&gt;0,MIN(INDEX($E$97:$E$112,R13,1),Lüftung!P21),INDEX($E$97:$E$112,R13,1)*$S$3))</f>
        <v>0</v>
      </c>
      <c r="T13" s="91">
        <f>IF(Lüftung!L21="",1,VLOOKUP(Lüftung!L21,$B$75:$I$90,8,FALSE))</f>
        <v>1</v>
      </c>
      <c r="U13" s="327">
        <f>IF(Lüftung!N21&lt;&gt;"",Lüftung!H21*INDEX($F$97:$F$112,R13,1)/1000,0)</f>
        <v>0</v>
      </c>
      <c r="V13" s="97">
        <f>Lüftung!H21</f>
        <v>0</v>
      </c>
      <c r="W13" s="329">
        <f t="shared" si="2"/>
        <v>1.8</v>
      </c>
    </row>
    <row r="14" spans="1:23" ht="15.95" customHeight="1" x14ac:dyDescent="0.2">
      <c r="A14">
        <v>9</v>
      </c>
      <c r="B14" s="103">
        <f>Lüftung!B22</f>
        <v>0</v>
      </c>
      <c r="C14" s="91">
        <f>IF(Lüftung!C22="",1,VLOOKUP(Lüftung!C22,$I$97:$J$99,2,FALSE))</f>
        <v>1</v>
      </c>
      <c r="D14" s="132">
        <f>Lüftung!E22*Berechnung!C14</f>
        <v>0</v>
      </c>
      <c r="E14" s="87">
        <f>IF(Lüftung!D22="",1,VLOOKUP(Lüftung!D22,$L$44:$M$101,2,FALSE))</f>
        <v>1</v>
      </c>
      <c r="F14" s="87" t="str">
        <f>IF(Lüftung!D22="","",VLOOKUP(Lüftung!D22,$L$44:$N$101,3,FALSE)*INDEX($F$75:$F$90,T14,1))</f>
        <v/>
      </c>
      <c r="G14" s="91" t="str">
        <f>IF(Lüftung!D22="","",VLOOKUP(Lüftung!D22,$L$44:$N$101,3,FALSE)*INDEX($E$75:$E$90,T14,1)*Min_Vollast)</f>
        <v/>
      </c>
      <c r="H14" s="182">
        <f>IF(Lüftung!D22="",0,VLOOKUP(Lüftung!D22,$L$44:$O$101,4,FALSE))</f>
        <v>0</v>
      </c>
      <c r="I14" s="152">
        <f>IF(Lüftung!D22="",0,VLOOKUP(Lüftung!D22,$L$44:$P$101,5,FALSE))</f>
        <v>0</v>
      </c>
      <c r="J14" s="101">
        <f t="shared" si="0"/>
        <v>1</v>
      </c>
      <c r="K14" s="97">
        <f>H14*Lüftung!E22*J14</f>
        <v>0</v>
      </c>
      <c r="L14" s="103">
        <f>I14*Lüftung!E22</f>
        <v>0</v>
      </c>
      <c r="M14" s="152">
        <f>IF(Lüftung!I22="x",1,W14)</f>
        <v>1.8</v>
      </c>
      <c r="N14" s="85">
        <f>IF(Lüftung!F22="",1,VLOOKUP(Lüftung!F22,$B$45:$I$68,8,FALSE))</f>
        <v>1</v>
      </c>
      <c r="O14" s="155">
        <f>Lüftung!H22/3600*(INDEX($H$45:$H$68,N14,1)+INDEX($G$97:$G$112,R14,1))*J14/$O$3/1000*INDEX($G$45:$G$68,N14,1)*M14</f>
        <v>0</v>
      </c>
      <c r="P14" s="152">
        <f>IF(Lüftung!J22&gt;0,MAX(O14+U14,Lüftung!J22),(O14+U14)*$O$2)</f>
        <v>0</v>
      </c>
      <c r="Q14" s="85">
        <f t="shared" si="1"/>
        <v>0</v>
      </c>
      <c r="R14" s="103">
        <f>IF(Lüftung!O22="",1,VLOOKUP(Lüftung!O22,$B$97:$H$112,7,FALSE))</f>
        <v>1</v>
      </c>
      <c r="S14" s="87">
        <f>IF(INDEX($F$45:$F$68,N14,1),1,IF(Lüftung!P22&gt;0,MIN(INDEX($E$97:$E$112,R14,1),Lüftung!P22),INDEX($E$97:$E$112,R14,1)*$S$3))</f>
        <v>0</v>
      </c>
      <c r="T14" s="91">
        <f>IF(Lüftung!L22="",1,VLOOKUP(Lüftung!L22,$B$75:$I$90,8,FALSE))</f>
        <v>1</v>
      </c>
      <c r="U14" s="327">
        <f>IF(Lüftung!N22&lt;&gt;"",Lüftung!H22*INDEX($F$97:$F$112,R14,1)/1000,0)</f>
        <v>0</v>
      </c>
      <c r="V14" s="97">
        <f>Lüftung!H22</f>
        <v>0</v>
      </c>
      <c r="W14" s="329">
        <f t="shared" si="2"/>
        <v>1.8</v>
      </c>
    </row>
    <row r="15" spans="1:23" ht="15.95" customHeight="1" x14ac:dyDescent="0.2">
      <c r="A15">
        <v>10</v>
      </c>
      <c r="B15" s="103">
        <f>Lüftung!B23</f>
        <v>0</v>
      </c>
      <c r="C15" s="91">
        <f>IF(Lüftung!C23="",1,VLOOKUP(Lüftung!C23,$I$97:$J$99,2,FALSE))</f>
        <v>1</v>
      </c>
      <c r="D15" s="132">
        <f>Lüftung!E23*Berechnung!C15</f>
        <v>0</v>
      </c>
      <c r="E15" s="87">
        <f>IF(Lüftung!D23="",1,VLOOKUP(Lüftung!D23,$L$44:$M$101,2,FALSE))</f>
        <v>1</v>
      </c>
      <c r="F15" s="87" t="str">
        <f>IF(Lüftung!D23="","",VLOOKUP(Lüftung!D23,$L$44:$N$101,3,FALSE)*INDEX($F$75:$F$90,T15,1))</f>
        <v/>
      </c>
      <c r="G15" s="91" t="str">
        <f>IF(Lüftung!D23="","",VLOOKUP(Lüftung!D23,$L$44:$N$101,3,FALSE)*INDEX($E$75:$E$90,T15,1)*Min_Vollast)</f>
        <v/>
      </c>
      <c r="H15" s="182">
        <f>IF(Lüftung!D23="",0,VLOOKUP(Lüftung!D23,$L$44:$O$101,4,FALSE))</f>
        <v>0</v>
      </c>
      <c r="I15" s="152">
        <f>IF(Lüftung!D23="",0,VLOOKUP(Lüftung!D23,$L$44:$P$101,5,FALSE))</f>
        <v>0</v>
      </c>
      <c r="J15" s="101">
        <f t="shared" si="0"/>
        <v>1</v>
      </c>
      <c r="K15" s="97">
        <f>H15*Lüftung!E23*J15</f>
        <v>0</v>
      </c>
      <c r="L15" s="103">
        <f>I15*Lüftung!E23</f>
        <v>0</v>
      </c>
      <c r="M15" s="152">
        <f>IF(Lüftung!I23="x",1,W15)</f>
        <v>1.8</v>
      </c>
      <c r="N15" s="85">
        <f>IF(Lüftung!F23="",1,VLOOKUP(Lüftung!F23,$B$45:$I$68,8,FALSE))</f>
        <v>1</v>
      </c>
      <c r="O15" s="155">
        <f>Lüftung!H23/3600*(INDEX($H$45:$H$68,N15,1)+INDEX($G$97:$G$112,R15,1))*J15/$O$3/1000*INDEX($G$45:$G$68,N15,1)*M15</f>
        <v>0</v>
      </c>
      <c r="P15" s="152">
        <f>IF(Lüftung!J23&gt;0,MAX(O15+U15,Lüftung!J23),(O15+U15)*$O$2)</f>
        <v>0</v>
      </c>
      <c r="Q15" s="85">
        <f t="shared" si="1"/>
        <v>0</v>
      </c>
      <c r="R15" s="103">
        <f>IF(Lüftung!O23="",1,VLOOKUP(Lüftung!O23,$B$97:$H$112,7,FALSE))</f>
        <v>1</v>
      </c>
      <c r="S15" s="87">
        <f>IF(INDEX($F$45:$F$68,N15,1),1,IF(Lüftung!P23&gt;0,MIN(INDEX($E$97:$E$112,R15,1),Lüftung!P23),INDEX($E$97:$E$112,R15,1)*$S$3))</f>
        <v>0</v>
      </c>
      <c r="T15" s="91">
        <f>IF(Lüftung!L23="",1,VLOOKUP(Lüftung!L23,$B$75:$I$90,8,FALSE))</f>
        <v>1</v>
      </c>
      <c r="U15" s="327">
        <f>IF(Lüftung!N23&lt;&gt;"",Lüftung!H23*INDEX($F$97:$F$112,R15,1)/1000,0)</f>
        <v>0</v>
      </c>
      <c r="V15" s="97">
        <f>Lüftung!H23</f>
        <v>0</v>
      </c>
      <c r="W15" s="329">
        <f t="shared" si="2"/>
        <v>1.8</v>
      </c>
    </row>
    <row r="16" spans="1:23" ht="15.95" customHeight="1" x14ac:dyDescent="0.2">
      <c r="A16">
        <v>11</v>
      </c>
      <c r="B16" s="103">
        <f>Lüftung!B24</f>
        <v>0</v>
      </c>
      <c r="C16" s="91">
        <f>IF(Lüftung!C24="",1,VLOOKUP(Lüftung!C24,$I$97:$J$99,2,FALSE))</f>
        <v>1</v>
      </c>
      <c r="D16" s="132">
        <f>Lüftung!E24*Berechnung!C16</f>
        <v>0</v>
      </c>
      <c r="E16" s="87">
        <f>IF(Lüftung!D24="",1,VLOOKUP(Lüftung!D24,$L$44:$M$101,2,FALSE))</f>
        <v>1</v>
      </c>
      <c r="F16" s="87" t="str">
        <f>IF(Lüftung!D24="","",VLOOKUP(Lüftung!D24,$L$44:$N$101,3,FALSE)*INDEX($F$75:$F$90,T16,1))</f>
        <v/>
      </c>
      <c r="G16" s="91" t="str">
        <f>IF(Lüftung!D24="","",VLOOKUP(Lüftung!D24,$L$44:$N$101,3,FALSE)*INDEX($E$75:$E$90,T16,1)*Min_Vollast)</f>
        <v/>
      </c>
      <c r="H16" s="182">
        <f>IF(Lüftung!D24="",0,VLOOKUP(Lüftung!D24,$L$44:$O$101,4,FALSE))</f>
        <v>0</v>
      </c>
      <c r="I16" s="152">
        <f>IF(Lüftung!D24="",0,VLOOKUP(Lüftung!D24,$L$44:$P$101,5,FALSE))</f>
        <v>0</v>
      </c>
      <c r="J16" s="101">
        <f t="shared" si="0"/>
        <v>1</v>
      </c>
      <c r="K16" s="97">
        <f>H16*Lüftung!E24*J16</f>
        <v>0</v>
      </c>
      <c r="L16" s="103">
        <f>I16*Lüftung!E24</f>
        <v>0</v>
      </c>
      <c r="M16" s="152">
        <f>IF(Lüftung!I24="x",1,W16)</f>
        <v>1.8</v>
      </c>
      <c r="N16" s="85">
        <f>IF(Lüftung!F24="",1,VLOOKUP(Lüftung!F24,$B$45:$I$68,8,FALSE))</f>
        <v>1</v>
      </c>
      <c r="O16" s="155">
        <f>Lüftung!H24/3600*(INDEX($H$45:$H$68,N16,1)+INDEX($G$97:$G$112,R16,1))*J16/$O$3/1000*INDEX($G$45:$G$68,N16,1)*M16</f>
        <v>0</v>
      </c>
      <c r="P16" s="152">
        <f>IF(Lüftung!J24&gt;0,MAX(O16+U16,Lüftung!J24),(O16+U16)*$O$2)</f>
        <v>0</v>
      </c>
      <c r="Q16" s="85">
        <f t="shared" si="1"/>
        <v>0</v>
      </c>
      <c r="R16" s="103">
        <f>IF(Lüftung!O24="",1,VLOOKUP(Lüftung!O24,$B$97:$H$112,7,FALSE))</f>
        <v>1</v>
      </c>
      <c r="S16" s="87">
        <f>IF(INDEX($F$45:$F$68,N16,1),1,IF(Lüftung!P24&gt;0,MIN(INDEX($E$97:$E$112,R16,1),Lüftung!P24),INDEX($E$97:$E$112,R16,1)*$S$3))</f>
        <v>0</v>
      </c>
      <c r="T16" s="91">
        <f>IF(Lüftung!L24="",1,VLOOKUP(Lüftung!L24,$B$75:$I$90,8,FALSE))</f>
        <v>1</v>
      </c>
      <c r="U16" s="327">
        <f>IF(Lüftung!N24&lt;&gt;"",Lüftung!H24*INDEX($F$97:$F$112,R16,1)/1000,0)</f>
        <v>0</v>
      </c>
      <c r="V16" s="97">
        <f>Lüftung!H24</f>
        <v>0</v>
      </c>
      <c r="W16" s="329">
        <f t="shared" si="2"/>
        <v>1.8</v>
      </c>
    </row>
    <row r="17" spans="1:23" ht="15.95" customHeight="1" x14ac:dyDescent="0.2">
      <c r="A17">
        <v>12</v>
      </c>
      <c r="B17" s="103">
        <f>Lüftung!B25</f>
        <v>0</v>
      </c>
      <c r="C17" s="91">
        <f>IF(Lüftung!C25="",1,VLOOKUP(Lüftung!C25,$I$97:$J$99,2,FALSE))</f>
        <v>1</v>
      </c>
      <c r="D17" s="132">
        <f>Lüftung!E25*Berechnung!C17</f>
        <v>0</v>
      </c>
      <c r="E17" s="87">
        <f>IF(Lüftung!D25="",1,VLOOKUP(Lüftung!D25,$L$44:$M$101,2,FALSE))</f>
        <v>1</v>
      </c>
      <c r="F17" s="87" t="str">
        <f>IF(Lüftung!D25="","",VLOOKUP(Lüftung!D25,$L$44:$N$101,3,FALSE)*INDEX($F$75:$F$90,T17,1))</f>
        <v/>
      </c>
      <c r="G17" s="91" t="str">
        <f>IF(Lüftung!D25="","",VLOOKUP(Lüftung!D25,$L$44:$N$101,3,FALSE)*INDEX($E$75:$E$90,T17,1)*Min_Vollast)</f>
        <v/>
      </c>
      <c r="H17" s="182">
        <f>IF(Lüftung!D25="",0,VLOOKUP(Lüftung!D25,$L$44:$O$101,4,FALSE))</f>
        <v>0</v>
      </c>
      <c r="I17" s="152">
        <f>IF(Lüftung!D25="",0,VLOOKUP(Lüftung!D25,$L$44:$P$101,5,FALSE))</f>
        <v>0</v>
      </c>
      <c r="J17" s="101">
        <f t="shared" si="0"/>
        <v>1</v>
      </c>
      <c r="K17" s="97">
        <f>H17*Lüftung!E25*J17</f>
        <v>0</v>
      </c>
      <c r="L17" s="103">
        <f>I17*Lüftung!E25</f>
        <v>0</v>
      </c>
      <c r="M17" s="152">
        <f>IF(Lüftung!I25="x",1,W17)</f>
        <v>1.8</v>
      </c>
      <c r="N17" s="85">
        <f>IF(Lüftung!F25="",1,VLOOKUP(Lüftung!F25,$B$45:$I$68,8,FALSE))</f>
        <v>1</v>
      </c>
      <c r="O17" s="155">
        <f>Lüftung!H25/3600*(INDEX($H$45:$H$68,N17,1)+INDEX($G$97:$G$112,R17,1))*J17/$O$3/1000*INDEX($G$45:$G$68,N17,1)*M17</f>
        <v>0</v>
      </c>
      <c r="P17" s="152">
        <f>IF(Lüftung!J25&gt;0,MAX(O17+U17,Lüftung!J25),(O17+U17)*$O$2)</f>
        <v>0</v>
      </c>
      <c r="Q17" s="85">
        <f t="shared" si="1"/>
        <v>0</v>
      </c>
      <c r="R17" s="103">
        <f>IF(Lüftung!O25="",1,VLOOKUP(Lüftung!O25,$B$97:$H$112,7,FALSE))</f>
        <v>1</v>
      </c>
      <c r="S17" s="87">
        <f>IF(INDEX($F$45:$F$68,N17,1),1,IF(Lüftung!P25&gt;0,MIN(INDEX($E$97:$E$112,R17,1),Lüftung!P25),INDEX($E$97:$E$112,R17,1)*$S$3))</f>
        <v>0</v>
      </c>
      <c r="T17" s="91">
        <f>IF(Lüftung!L25="",1,VLOOKUP(Lüftung!L25,$B$75:$I$90,8,FALSE))</f>
        <v>1</v>
      </c>
      <c r="U17" s="327">
        <f>IF(Lüftung!N25&lt;&gt;"",Lüftung!H25*INDEX($F$97:$F$112,R17,1)/1000,0)</f>
        <v>0</v>
      </c>
      <c r="V17" s="97">
        <f>Lüftung!H25</f>
        <v>0</v>
      </c>
      <c r="W17" s="329">
        <f t="shared" si="2"/>
        <v>1.8</v>
      </c>
    </row>
    <row r="18" spans="1:23" ht="15.95" customHeight="1" x14ac:dyDescent="0.2">
      <c r="A18">
        <v>13</v>
      </c>
      <c r="B18" s="103">
        <f>Lüftung!B26</f>
        <v>0</v>
      </c>
      <c r="C18" s="91">
        <f>IF(Lüftung!C26="",1,VLOOKUP(Lüftung!C26,$I$97:$J$99,2,FALSE))</f>
        <v>1</v>
      </c>
      <c r="D18" s="132">
        <f>Lüftung!E26*Berechnung!C18</f>
        <v>0</v>
      </c>
      <c r="E18" s="87">
        <f>IF(Lüftung!D26="",1,VLOOKUP(Lüftung!D26,$L$44:$M$101,2,FALSE))</f>
        <v>1</v>
      </c>
      <c r="F18" s="87" t="str">
        <f>IF(Lüftung!D26="","",VLOOKUP(Lüftung!D26,$L$44:$N$101,3,FALSE)*INDEX($F$75:$F$90,T18,1))</f>
        <v/>
      </c>
      <c r="G18" s="91" t="str">
        <f>IF(Lüftung!D26="","",VLOOKUP(Lüftung!D26,$L$44:$N$101,3,FALSE)*INDEX($E$75:$E$90,T18,1)*Min_Vollast)</f>
        <v/>
      </c>
      <c r="H18" s="182">
        <f>IF(Lüftung!D26="",0,VLOOKUP(Lüftung!D26,$L$44:$O$101,4,FALSE))</f>
        <v>0</v>
      </c>
      <c r="I18" s="152">
        <f>IF(Lüftung!D26="",0,VLOOKUP(Lüftung!D26,$L$44:$P$101,5,FALSE))</f>
        <v>0</v>
      </c>
      <c r="J18" s="101">
        <f t="shared" si="0"/>
        <v>1</v>
      </c>
      <c r="K18" s="97">
        <f>H18*Lüftung!E26*J18</f>
        <v>0</v>
      </c>
      <c r="L18" s="103">
        <f>I18*Lüftung!E26</f>
        <v>0</v>
      </c>
      <c r="M18" s="152">
        <f>IF(Lüftung!I26="x",1,W18)</f>
        <v>1.8</v>
      </c>
      <c r="N18" s="85">
        <f>IF(Lüftung!F26="",1,VLOOKUP(Lüftung!F26,$B$45:$I$68,8,FALSE))</f>
        <v>1</v>
      </c>
      <c r="O18" s="155">
        <f>Lüftung!H26/3600*(INDEX($H$45:$H$68,N18,1)+INDEX($G$97:$G$112,R18,1))*J18/$O$3/1000*INDEX($G$45:$G$68,N18,1)*M18</f>
        <v>0</v>
      </c>
      <c r="P18" s="152">
        <f>IF(Lüftung!J26&gt;0,MAX(O18+U18,Lüftung!J26),(O18+U18)*$O$2)</f>
        <v>0</v>
      </c>
      <c r="Q18" s="85">
        <f t="shared" si="1"/>
        <v>0</v>
      </c>
      <c r="R18" s="103">
        <f>IF(Lüftung!O26="",1,VLOOKUP(Lüftung!O26,$B$97:$H$112,7,FALSE))</f>
        <v>1</v>
      </c>
      <c r="S18" s="87">
        <f>IF(INDEX($F$45:$F$68,N18,1),1,IF(Lüftung!P26&gt;0,MIN(INDEX($E$97:$E$112,R18,1),Lüftung!P26),INDEX($E$97:$E$112,R18,1)*$S$3))</f>
        <v>0</v>
      </c>
      <c r="T18" s="91">
        <f>IF(Lüftung!L26="",1,VLOOKUP(Lüftung!L26,$B$75:$I$90,8,FALSE))</f>
        <v>1</v>
      </c>
      <c r="U18" s="327">
        <f>IF(Lüftung!N26&lt;&gt;"",Lüftung!H26*INDEX($F$97:$F$112,R18,1)/1000,0)</f>
        <v>0</v>
      </c>
      <c r="V18" s="97">
        <f>Lüftung!H26</f>
        <v>0</v>
      </c>
      <c r="W18" s="329">
        <f t="shared" si="2"/>
        <v>1.8</v>
      </c>
    </row>
    <row r="19" spans="1:23" ht="15.95" customHeight="1" x14ac:dyDescent="0.2">
      <c r="A19">
        <v>14</v>
      </c>
      <c r="B19" s="103">
        <f>Lüftung!B27</f>
        <v>0</v>
      </c>
      <c r="C19" s="91">
        <f>IF(Lüftung!C27="",1,VLOOKUP(Lüftung!C27,$I$97:$J$99,2,FALSE))</f>
        <v>1</v>
      </c>
      <c r="D19" s="132">
        <f>Lüftung!E27*Berechnung!C19</f>
        <v>0</v>
      </c>
      <c r="E19" s="87">
        <f>IF(Lüftung!D27="",1,VLOOKUP(Lüftung!D27,$L$44:$M$101,2,FALSE))</f>
        <v>1</v>
      </c>
      <c r="F19" s="87" t="str">
        <f>IF(Lüftung!D27="","",VLOOKUP(Lüftung!D27,$L$44:$N$101,3,FALSE)*INDEX($F$75:$F$90,T19,1))</f>
        <v/>
      </c>
      <c r="G19" s="91" t="str">
        <f>IF(Lüftung!D27="","",VLOOKUP(Lüftung!D27,$L$44:$N$101,3,FALSE)*INDEX($E$75:$E$90,T19,1)*Min_Vollast)</f>
        <v/>
      </c>
      <c r="H19" s="182">
        <f>IF(Lüftung!D27="",0,VLOOKUP(Lüftung!D27,$L$44:$O$101,4,FALSE))</f>
        <v>0</v>
      </c>
      <c r="I19" s="152">
        <f>IF(Lüftung!D27="",0,VLOOKUP(Lüftung!D27,$L$44:$P$101,5,FALSE))</f>
        <v>0</v>
      </c>
      <c r="J19" s="101">
        <f t="shared" si="0"/>
        <v>1</v>
      </c>
      <c r="K19" s="97">
        <f>H19*Lüftung!E27*J19</f>
        <v>0</v>
      </c>
      <c r="L19" s="103">
        <f>I19*Lüftung!E27</f>
        <v>0</v>
      </c>
      <c r="M19" s="152">
        <f>IF(Lüftung!I27="x",1,W19)</f>
        <v>1.8</v>
      </c>
      <c r="N19" s="85">
        <f>IF(Lüftung!F27="",1,VLOOKUP(Lüftung!F27,$B$45:$I$68,8,FALSE))</f>
        <v>1</v>
      </c>
      <c r="O19" s="155">
        <f>Lüftung!H27/3600*(INDEX($H$45:$H$68,N19,1)+INDEX($G$97:$G$112,R19,1))*J19/$O$3/1000*INDEX($G$45:$G$68,N19,1)*M19</f>
        <v>0</v>
      </c>
      <c r="P19" s="152">
        <f>IF(Lüftung!J27&gt;0,MAX(O19+U19,Lüftung!J27),(O19+U19)*$O$2)</f>
        <v>0</v>
      </c>
      <c r="Q19" s="85">
        <f t="shared" si="1"/>
        <v>0</v>
      </c>
      <c r="R19" s="103">
        <f>IF(Lüftung!O27="",1,VLOOKUP(Lüftung!O27,$B$97:$H$112,7,FALSE))</f>
        <v>1</v>
      </c>
      <c r="S19" s="87">
        <f>IF(INDEX($F$45:$F$68,N19,1),1,IF(Lüftung!P27&gt;0,MIN(INDEX($E$97:$E$112,R19,1),Lüftung!P27),INDEX($E$97:$E$112,R19,1)*$S$3))</f>
        <v>0</v>
      </c>
      <c r="T19" s="91">
        <f>IF(Lüftung!L27="",1,VLOOKUP(Lüftung!L27,$B$75:$I$90,8,FALSE))</f>
        <v>1</v>
      </c>
      <c r="U19" s="327">
        <f>IF(Lüftung!N27&lt;&gt;"",Lüftung!H27*INDEX($F$97:$F$112,R19,1)/1000,0)</f>
        <v>0</v>
      </c>
      <c r="V19" s="97">
        <f>Lüftung!H27</f>
        <v>0</v>
      </c>
      <c r="W19" s="329">
        <f t="shared" si="2"/>
        <v>1.8</v>
      </c>
    </row>
    <row r="20" spans="1:23" ht="15.95" customHeight="1" x14ac:dyDescent="0.2">
      <c r="A20">
        <v>15</v>
      </c>
      <c r="B20" s="103">
        <f>Lüftung!B28</f>
        <v>0</v>
      </c>
      <c r="C20" s="91">
        <f>IF(Lüftung!C28="",1,VLOOKUP(Lüftung!C28,$I$97:$J$99,2,FALSE))</f>
        <v>1</v>
      </c>
      <c r="D20" s="132">
        <f>Lüftung!E28*Berechnung!C20</f>
        <v>0</v>
      </c>
      <c r="E20" s="87">
        <f>IF(Lüftung!D28="",1,VLOOKUP(Lüftung!D28,$L$44:$M$101,2,FALSE))</f>
        <v>1</v>
      </c>
      <c r="F20" s="87" t="str">
        <f>IF(Lüftung!D28="","",VLOOKUP(Lüftung!D28,$L$44:$N$101,3,FALSE)*INDEX($F$75:$F$90,T20,1))</f>
        <v/>
      </c>
      <c r="G20" s="91" t="str">
        <f>IF(Lüftung!D28="","",VLOOKUP(Lüftung!D28,$L$44:$N$101,3,FALSE)*INDEX($E$75:$E$90,T20,1)*Min_Vollast)</f>
        <v/>
      </c>
      <c r="H20" s="182">
        <f>IF(Lüftung!D28="",0,VLOOKUP(Lüftung!D28,$L$44:$O$101,4,FALSE))</f>
        <v>0</v>
      </c>
      <c r="I20" s="152">
        <f>IF(Lüftung!D28="",0,VLOOKUP(Lüftung!D28,$L$44:$P$101,5,FALSE))</f>
        <v>0</v>
      </c>
      <c r="J20" s="101">
        <f t="shared" si="0"/>
        <v>1</v>
      </c>
      <c r="K20" s="97">
        <f>H20*Lüftung!E28*J20</f>
        <v>0</v>
      </c>
      <c r="L20" s="103">
        <f>I20*Lüftung!E28</f>
        <v>0</v>
      </c>
      <c r="M20" s="152">
        <f>IF(Lüftung!I28="x",1,W20)</f>
        <v>1.8</v>
      </c>
      <c r="N20" s="85">
        <f>IF(Lüftung!F28="",1,VLOOKUP(Lüftung!F28,$B$45:$I$68,8,FALSE))</f>
        <v>1</v>
      </c>
      <c r="O20" s="155">
        <f>Lüftung!H28/3600*(INDEX($H$45:$H$68,N20,1)+INDEX($G$97:$G$112,R20,1))*J20/$O$3/1000*INDEX($G$45:$G$68,N20,1)*M20</f>
        <v>0</v>
      </c>
      <c r="P20" s="152">
        <f>IF(Lüftung!J28&gt;0,MAX(O20+U20,Lüftung!J28),(O20+U20)*$O$2)</f>
        <v>0</v>
      </c>
      <c r="Q20" s="85">
        <f t="shared" si="1"/>
        <v>0</v>
      </c>
      <c r="R20" s="103">
        <f>IF(Lüftung!O28="",1,VLOOKUP(Lüftung!O28,$B$97:$H$112,7,FALSE))</f>
        <v>1</v>
      </c>
      <c r="S20" s="87">
        <f>IF(INDEX($F$45:$F$68,N20,1),1,IF(Lüftung!P28&gt;0,MIN(INDEX($E$97:$E$112,R20,1),Lüftung!P28),INDEX($E$97:$E$112,R20,1)*$S$3))</f>
        <v>0</v>
      </c>
      <c r="T20" s="91">
        <f>IF(Lüftung!L28="",1,VLOOKUP(Lüftung!L28,$B$75:$I$90,8,FALSE))</f>
        <v>1</v>
      </c>
      <c r="U20" s="327">
        <f>IF(Lüftung!N28&lt;&gt;"",Lüftung!H28*INDEX($F$97:$F$112,R20,1)/1000,0)</f>
        <v>0</v>
      </c>
      <c r="V20" s="97">
        <f>Lüftung!H28</f>
        <v>0</v>
      </c>
      <c r="W20" s="329">
        <f t="shared" si="2"/>
        <v>1.8</v>
      </c>
    </row>
    <row r="21" spans="1:23" ht="15.95" customHeight="1" x14ac:dyDescent="0.2">
      <c r="A21">
        <v>16</v>
      </c>
      <c r="B21" s="103">
        <f>Lüftung!B29</f>
        <v>0</v>
      </c>
      <c r="C21" s="91">
        <f>IF(Lüftung!C29="",1,VLOOKUP(Lüftung!C29,$I$97:$J$99,2,FALSE))</f>
        <v>1</v>
      </c>
      <c r="D21" s="132">
        <f>Lüftung!E29*Berechnung!C21</f>
        <v>0</v>
      </c>
      <c r="E21" s="87">
        <f>IF(Lüftung!D29="",1,VLOOKUP(Lüftung!D29,$L$44:$M$101,2,FALSE))</f>
        <v>1</v>
      </c>
      <c r="F21" s="87" t="str">
        <f>IF(Lüftung!D29="","",VLOOKUP(Lüftung!D29,$L$44:$N$101,3,FALSE)*INDEX($F$75:$F$90,T21,1))</f>
        <v/>
      </c>
      <c r="G21" s="91" t="str">
        <f>IF(Lüftung!D29="","",VLOOKUP(Lüftung!D29,$L$44:$N$101,3,FALSE)*INDEX($E$75:$E$90,T21,1)*Min_Vollast)</f>
        <v/>
      </c>
      <c r="H21" s="182">
        <f>IF(Lüftung!D29="",0,VLOOKUP(Lüftung!D29,$L$44:$O$101,4,FALSE))</f>
        <v>0</v>
      </c>
      <c r="I21" s="152">
        <f>IF(Lüftung!D29="",0,VLOOKUP(Lüftung!D29,$L$44:$P$101,5,FALSE))</f>
        <v>0</v>
      </c>
      <c r="J21" s="101">
        <f t="shared" si="0"/>
        <v>1</v>
      </c>
      <c r="K21" s="97">
        <f>H21*Lüftung!E29*J21</f>
        <v>0</v>
      </c>
      <c r="L21" s="103">
        <f>I21*Lüftung!E29</f>
        <v>0</v>
      </c>
      <c r="M21" s="152">
        <f>IF(Lüftung!I29="x",1,W21)</f>
        <v>1.8</v>
      </c>
      <c r="N21" s="85">
        <f>IF(Lüftung!F29="",1,VLOOKUP(Lüftung!F29,$B$45:$I$68,8,FALSE))</f>
        <v>1</v>
      </c>
      <c r="O21" s="155">
        <f>Lüftung!H29/3600*(INDEX($H$45:$H$68,N21,1)+INDEX($G$97:$G$112,R21,1))*J21/$O$3/1000*INDEX($G$45:$G$68,N21,1)*M21</f>
        <v>0</v>
      </c>
      <c r="P21" s="152">
        <f>IF(Lüftung!J29&gt;0,MAX(O21+U21,Lüftung!J29),(O21+U21)*$O$2)</f>
        <v>0</v>
      </c>
      <c r="Q21" s="85">
        <f t="shared" si="1"/>
        <v>0</v>
      </c>
      <c r="R21" s="103">
        <f>IF(Lüftung!O29="",1,VLOOKUP(Lüftung!O29,$B$97:$H$112,7,FALSE))</f>
        <v>1</v>
      </c>
      <c r="S21" s="87">
        <f>IF(INDEX($F$45:$F$68,N21,1),1,IF(Lüftung!P29&gt;0,MIN(INDEX($E$97:$E$112,R21,1),Lüftung!P29),INDEX($E$97:$E$112,R21,1)*$S$3))</f>
        <v>0</v>
      </c>
      <c r="T21" s="91">
        <f>IF(Lüftung!L29="",1,VLOOKUP(Lüftung!L29,$B$75:$I$90,8,FALSE))</f>
        <v>1</v>
      </c>
      <c r="U21" s="327">
        <f>IF(Lüftung!N29&lt;&gt;"",Lüftung!H29*INDEX($F$97:$F$112,R21,1)/1000,0)</f>
        <v>0</v>
      </c>
      <c r="V21" s="97">
        <f>Lüftung!H29</f>
        <v>0</v>
      </c>
      <c r="W21" s="329">
        <f t="shared" si="2"/>
        <v>1.8</v>
      </c>
    </row>
    <row r="22" spans="1:23" ht="15.95" customHeight="1" x14ac:dyDescent="0.2">
      <c r="A22">
        <v>17</v>
      </c>
      <c r="B22" s="103">
        <f>Lüftung!B30</f>
        <v>0</v>
      </c>
      <c r="C22" s="91">
        <f>IF(Lüftung!C30="",1,VLOOKUP(Lüftung!C30,$I$97:$J$99,2,FALSE))</f>
        <v>1</v>
      </c>
      <c r="D22" s="132">
        <f>Lüftung!E30*Berechnung!C22</f>
        <v>0</v>
      </c>
      <c r="E22" s="87">
        <f>IF(Lüftung!D30="",1,VLOOKUP(Lüftung!D30,$L$44:$M$101,2,FALSE))</f>
        <v>1</v>
      </c>
      <c r="F22" s="87" t="str">
        <f>IF(Lüftung!D30="","",VLOOKUP(Lüftung!D30,$L$44:$N$101,3,FALSE)*INDEX($F$75:$F$90,T22,1))</f>
        <v/>
      </c>
      <c r="G22" s="91" t="str">
        <f>IF(Lüftung!D30="","",VLOOKUP(Lüftung!D30,$L$44:$N$101,3,FALSE)*INDEX($E$75:$E$90,T22,1)*Min_Vollast)</f>
        <v/>
      </c>
      <c r="H22" s="182">
        <f>IF(Lüftung!D30="",0,VLOOKUP(Lüftung!D30,$L$44:$O$101,4,FALSE))</f>
        <v>0</v>
      </c>
      <c r="I22" s="152">
        <f>IF(Lüftung!D30="",0,VLOOKUP(Lüftung!D30,$L$44:$P$101,5,FALSE))</f>
        <v>0</v>
      </c>
      <c r="J22" s="101">
        <f t="shared" si="0"/>
        <v>1</v>
      </c>
      <c r="K22" s="97">
        <f>H22*Lüftung!E30*J22</f>
        <v>0</v>
      </c>
      <c r="L22" s="103">
        <f>I22*Lüftung!E30</f>
        <v>0</v>
      </c>
      <c r="M22" s="152">
        <f>IF(Lüftung!I30="x",1,W22)</f>
        <v>1.8</v>
      </c>
      <c r="N22" s="85">
        <f>IF(Lüftung!F30="",1,VLOOKUP(Lüftung!F30,$B$45:$I$68,8,FALSE))</f>
        <v>1</v>
      </c>
      <c r="O22" s="155">
        <f>Lüftung!H30/3600*(INDEX($H$45:$H$68,N22,1)+INDEX($G$97:$G$112,R22,1))*J22/$O$3/1000*INDEX($G$45:$G$68,N22,1)*M22</f>
        <v>0</v>
      </c>
      <c r="P22" s="152">
        <f>IF(Lüftung!J30&gt;0,MAX(O22+U22,Lüftung!J30),(O22+U22)*$O$2)</f>
        <v>0</v>
      </c>
      <c r="Q22" s="85">
        <f t="shared" si="1"/>
        <v>0</v>
      </c>
      <c r="R22" s="103">
        <f>IF(Lüftung!O30="",1,VLOOKUP(Lüftung!O30,$B$97:$H$112,7,FALSE))</f>
        <v>1</v>
      </c>
      <c r="S22" s="87">
        <f>IF(INDEX($F$45:$F$68,N22,1),1,IF(Lüftung!P30&gt;0,MIN(INDEX($E$97:$E$112,R22,1),Lüftung!P30),INDEX($E$97:$E$112,R22,1)*$S$3))</f>
        <v>0</v>
      </c>
      <c r="T22" s="91">
        <f>IF(Lüftung!L30="",1,VLOOKUP(Lüftung!L30,$B$75:$I$90,8,FALSE))</f>
        <v>1</v>
      </c>
      <c r="U22" s="327">
        <f>IF(Lüftung!N30&lt;&gt;"",Lüftung!H30*INDEX($F$97:$F$112,R22,1)/1000,0)</f>
        <v>0</v>
      </c>
      <c r="V22" s="97">
        <f>Lüftung!H30</f>
        <v>0</v>
      </c>
      <c r="W22" s="329">
        <f t="shared" si="2"/>
        <v>1.8</v>
      </c>
    </row>
    <row r="23" spans="1:23" ht="15.95" customHeight="1" x14ac:dyDescent="0.2">
      <c r="A23">
        <v>18</v>
      </c>
      <c r="B23" s="103">
        <f>Lüftung!B31</f>
        <v>0</v>
      </c>
      <c r="C23" s="91">
        <f>IF(Lüftung!C31="",1,VLOOKUP(Lüftung!C31,$I$97:$J$99,2,FALSE))</f>
        <v>1</v>
      </c>
      <c r="D23" s="132">
        <f>Lüftung!E31*Berechnung!C23</f>
        <v>0</v>
      </c>
      <c r="E23" s="87">
        <f>IF(Lüftung!D31="",1,VLOOKUP(Lüftung!D31,$L$44:$M$101,2,FALSE))</f>
        <v>1</v>
      </c>
      <c r="F23" s="87" t="str">
        <f>IF(Lüftung!D31="","",VLOOKUP(Lüftung!D31,$L$44:$N$101,3,FALSE)*INDEX($F$75:$F$90,T23,1))</f>
        <v/>
      </c>
      <c r="G23" s="91" t="str">
        <f>IF(Lüftung!D31="","",VLOOKUP(Lüftung!D31,$L$44:$N$101,3,FALSE)*INDEX($E$75:$E$90,T23,1)*Min_Vollast)</f>
        <v/>
      </c>
      <c r="H23" s="182">
        <f>IF(Lüftung!D31="",0,VLOOKUP(Lüftung!D31,$L$44:$O$101,4,FALSE))</f>
        <v>0</v>
      </c>
      <c r="I23" s="152">
        <f>IF(Lüftung!D31="",0,VLOOKUP(Lüftung!D31,$L$44:$P$101,5,FALSE))</f>
        <v>0</v>
      </c>
      <c r="J23" s="101">
        <f t="shared" si="0"/>
        <v>1</v>
      </c>
      <c r="K23" s="97">
        <f>H23*Lüftung!E31*J23</f>
        <v>0</v>
      </c>
      <c r="L23" s="103">
        <f>I23*Lüftung!E31</f>
        <v>0</v>
      </c>
      <c r="M23" s="152">
        <f>IF(Lüftung!I31="x",1,W23)</f>
        <v>1.8</v>
      </c>
      <c r="N23" s="85">
        <f>IF(Lüftung!F31="",1,VLOOKUP(Lüftung!F31,$B$45:$I$68,8,FALSE))</f>
        <v>1</v>
      </c>
      <c r="O23" s="155">
        <f>Lüftung!H31/3600*(INDEX($H$45:$H$68,N23,1)+INDEX($G$97:$G$112,R23,1))*J23/$O$3/1000*INDEX($G$45:$G$68,N23,1)*M23</f>
        <v>0</v>
      </c>
      <c r="P23" s="152">
        <f>IF(Lüftung!J31&gt;0,MAX(O23+U23,Lüftung!J31),(O23+U23)*$O$2)</f>
        <v>0</v>
      </c>
      <c r="Q23" s="85">
        <f t="shared" si="1"/>
        <v>0</v>
      </c>
      <c r="R23" s="103">
        <f>IF(Lüftung!O31="",1,VLOOKUP(Lüftung!O31,$B$97:$H$112,7,FALSE))</f>
        <v>1</v>
      </c>
      <c r="S23" s="87">
        <f>IF(INDEX($F$45:$F$68,N23,1),1,IF(Lüftung!P31&gt;0,MIN(INDEX($E$97:$E$112,R23,1),Lüftung!P31),INDEX($E$97:$E$112,R23,1)*$S$3))</f>
        <v>0</v>
      </c>
      <c r="T23" s="91">
        <f>IF(Lüftung!L31="",1,VLOOKUP(Lüftung!L31,$B$75:$I$90,8,FALSE))</f>
        <v>1</v>
      </c>
      <c r="U23" s="327">
        <f>IF(Lüftung!N31&lt;&gt;"",Lüftung!H31*INDEX($F$97:$F$112,R23,1)/1000,0)</f>
        <v>0</v>
      </c>
      <c r="V23" s="97">
        <f>Lüftung!H31</f>
        <v>0</v>
      </c>
      <c r="W23" s="329">
        <f t="shared" si="2"/>
        <v>1.8</v>
      </c>
    </row>
    <row r="24" spans="1:23" ht="15.95" customHeight="1" x14ac:dyDescent="0.2">
      <c r="A24">
        <v>19</v>
      </c>
      <c r="B24" s="103">
        <f>Lüftung!B32</f>
        <v>0</v>
      </c>
      <c r="C24" s="91">
        <f>IF(Lüftung!C32="",1,VLOOKUP(Lüftung!C32,$I$97:$J$99,2,FALSE))</f>
        <v>1</v>
      </c>
      <c r="D24" s="132">
        <f>Lüftung!E32*Berechnung!C24</f>
        <v>0</v>
      </c>
      <c r="E24" s="87">
        <f>IF(Lüftung!D32="",1,VLOOKUP(Lüftung!D32,$L$44:$M$101,2,FALSE))</f>
        <v>1</v>
      </c>
      <c r="F24" s="87" t="str">
        <f>IF(Lüftung!D32="","",VLOOKUP(Lüftung!D32,$L$44:$N$101,3,FALSE)*INDEX($F$75:$F$90,T24,1))</f>
        <v/>
      </c>
      <c r="G24" s="91" t="str">
        <f>IF(Lüftung!D32="","",VLOOKUP(Lüftung!D32,$L$44:$N$101,3,FALSE)*INDEX($E$75:$E$90,T24,1)*Min_Vollast)</f>
        <v/>
      </c>
      <c r="H24" s="182">
        <f>IF(Lüftung!D32="",0,VLOOKUP(Lüftung!D32,$L$44:$O$101,4,FALSE))</f>
        <v>0</v>
      </c>
      <c r="I24" s="152">
        <f>IF(Lüftung!D32="",0,VLOOKUP(Lüftung!D32,$L$44:$P$101,5,FALSE))</f>
        <v>0</v>
      </c>
      <c r="J24" s="101">
        <f t="shared" si="0"/>
        <v>1</v>
      </c>
      <c r="K24" s="97">
        <f>H24*Lüftung!E32*J24</f>
        <v>0</v>
      </c>
      <c r="L24" s="103">
        <f>I24*Lüftung!E32</f>
        <v>0</v>
      </c>
      <c r="M24" s="152">
        <f>IF(Lüftung!I32="x",1,W24)</f>
        <v>1.8</v>
      </c>
      <c r="N24" s="85">
        <f>IF(Lüftung!F32="",1,VLOOKUP(Lüftung!F32,$B$45:$I$68,8,FALSE))</f>
        <v>1</v>
      </c>
      <c r="O24" s="155">
        <f>Lüftung!H32/3600*(INDEX($H$45:$H$68,N24,1)+INDEX($G$97:$G$112,R24,1))*J24/$O$3/1000*INDEX($G$45:$G$68,N24,1)*M24</f>
        <v>0</v>
      </c>
      <c r="P24" s="152">
        <f>IF(Lüftung!J32&gt;0,MAX(O24+U24,Lüftung!J32),(O24+U24)*$O$2)</f>
        <v>0</v>
      </c>
      <c r="Q24" s="85">
        <f t="shared" si="1"/>
        <v>0</v>
      </c>
      <c r="R24" s="103">
        <f>IF(Lüftung!O32="",1,VLOOKUP(Lüftung!O32,$B$97:$H$112,7,FALSE))</f>
        <v>1</v>
      </c>
      <c r="S24" s="87">
        <f>IF(INDEX($F$45:$F$68,N24,1),1,IF(Lüftung!P32&gt;0,MIN(INDEX($E$97:$E$112,R24,1),Lüftung!P32),INDEX($E$97:$E$112,R24,1)*$S$3))</f>
        <v>0</v>
      </c>
      <c r="T24" s="91">
        <f>IF(Lüftung!L32="",1,VLOOKUP(Lüftung!L32,$B$75:$I$90,8,FALSE))</f>
        <v>1</v>
      </c>
      <c r="U24" s="327">
        <f>IF(Lüftung!N32&lt;&gt;"",Lüftung!H32*INDEX($F$97:$F$112,R24,1)/1000,0)</f>
        <v>0</v>
      </c>
      <c r="V24" s="97">
        <f>Lüftung!H32</f>
        <v>0</v>
      </c>
      <c r="W24" s="329">
        <f t="shared" si="2"/>
        <v>1.8</v>
      </c>
    </row>
    <row r="25" spans="1:23" ht="15.95" customHeight="1" x14ac:dyDescent="0.2">
      <c r="A25">
        <v>20</v>
      </c>
      <c r="B25" s="103">
        <f>Lüftung!B33</f>
        <v>0</v>
      </c>
      <c r="C25" s="91">
        <f>IF(Lüftung!C33="",1,VLOOKUP(Lüftung!C33,$I$97:$J$99,2,FALSE))</f>
        <v>1</v>
      </c>
      <c r="D25" s="132">
        <f>Lüftung!E33*Berechnung!C25</f>
        <v>0</v>
      </c>
      <c r="E25" s="87">
        <f>IF(Lüftung!D33="",1,VLOOKUP(Lüftung!D33,$L$44:$M$101,2,FALSE))</f>
        <v>1</v>
      </c>
      <c r="F25" s="87" t="str">
        <f>IF(Lüftung!D33="","",VLOOKUP(Lüftung!D33,$L$44:$N$101,3,FALSE)*INDEX($F$75:$F$90,T25,1))</f>
        <v/>
      </c>
      <c r="G25" s="91" t="str">
        <f>IF(Lüftung!D33="","",VLOOKUP(Lüftung!D33,$L$44:$N$101,3,FALSE)*INDEX($E$75:$E$90,T25,1)*Min_Vollast)</f>
        <v/>
      </c>
      <c r="H25" s="182">
        <f>IF(Lüftung!D33="",0,VLOOKUP(Lüftung!D33,$L$44:$O$101,4,FALSE))</f>
        <v>0</v>
      </c>
      <c r="I25" s="152">
        <f>IF(Lüftung!D33="",0,VLOOKUP(Lüftung!D33,$L$44:$P$101,5,FALSE))</f>
        <v>0</v>
      </c>
      <c r="J25" s="101">
        <f t="shared" si="0"/>
        <v>1</v>
      </c>
      <c r="K25" s="97">
        <f>H25*Lüftung!E33*J25</f>
        <v>0</v>
      </c>
      <c r="L25" s="103">
        <f>I25*Lüftung!E33</f>
        <v>0</v>
      </c>
      <c r="M25" s="152">
        <f>IF(Lüftung!I33="x",1,W25)</f>
        <v>1.8</v>
      </c>
      <c r="N25" s="85">
        <f>IF(Lüftung!F33="",1,VLOOKUP(Lüftung!F33,$B$45:$I$68,8,FALSE))</f>
        <v>1</v>
      </c>
      <c r="O25" s="155">
        <f>Lüftung!H33/3600*(INDEX($H$45:$H$68,N25,1)+INDEX($G$97:$G$112,R25,1))*J25/$O$3/1000*INDEX($G$45:$G$68,N25,1)*M25</f>
        <v>0</v>
      </c>
      <c r="P25" s="152">
        <f>IF(Lüftung!J33&gt;0,MAX(O25+U25,Lüftung!J33),(O25+U25)*$O$2)</f>
        <v>0</v>
      </c>
      <c r="Q25" s="85">
        <f t="shared" si="1"/>
        <v>0</v>
      </c>
      <c r="R25" s="103">
        <f>IF(Lüftung!O33="",1,VLOOKUP(Lüftung!O33,$B$97:$H$112,7,FALSE))</f>
        <v>1</v>
      </c>
      <c r="S25" s="87">
        <f>IF(INDEX($F$45:$F$68,N25,1),1,IF(Lüftung!P33&gt;0,MIN(INDEX($E$97:$E$112,R25,1),Lüftung!P33),INDEX($E$97:$E$112,R25,1)*$S$3))</f>
        <v>0</v>
      </c>
      <c r="T25" s="91">
        <f>IF(Lüftung!L33="",1,VLOOKUP(Lüftung!L33,$B$75:$I$90,8,FALSE))</f>
        <v>1</v>
      </c>
      <c r="U25" s="327">
        <f>IF(Lüftung!N33&lt;&gt;"",Lüftung!H33*INDEX($F$97:$F$112,R25,1)/1000,0)</f>
        <v>0</v>
      </c>
      <c r="V25" s="97">
        <f>Lüftung!H33</f>
        <v>0</v>
      </c>
      <c r="W25" s="329">
        <f t="shared" si="2"/>
        <v>1.8</v>
      </c>
    </row>
    <row r="26" spans="1:23" ht="15.95" customHeight="1" x14ac:dyDescent="0.2">
      <c r="A26">
        <v>21</v>
      </c>
      <c r="B26" s="103">
        <f>Lüftung!B34</f>
        <v>0</v>
      </c>
      <c r="C26" s="91">
        <f>IF(Lüftung!C34="",1,VLOOKUP(Lüftung!C34,$I$97:$J$99,2,FALSE))</f>
        <v>1</v>
      </c>
      <c r="D26" s="132">
        <f>Lüftung!E34*Berechnung!C26</f>
        <v>0</v>
      </c>
      <c r="E26" s="87">
        <f>IF(Lüftung!D34="",1,VLOOKUP(Lüftung!D34,$L$44:$M$101,2,FALSE))</f>
        <v>1</v>
      </c>
      <c r="F26" s="87" t="str">
        <f>IF(Lüftung!D34="","",VLOOKUP(Lüftung!D34,$L$44:$N$101,3,FALSE)*INDEX($F$75:$F$90,T26,1))</f>
        <v/>
      </c>
      <c r="G26" s="91" t="str">
        <f>IF(Lüftung!D34="","",VLOOKUP(Lüftung!D34,$L$44:$N$101,3,FALSE)*INDEX($E$75:$E$90,T26,1)*Min_Vollast)</f>
        <v/>
      </c>
      <c r="H26" s="182">
        <f>IF(Lüftung!D34="",0,VLOOKUP(Lüftung!D34,$L$44:$O$101,4,FALSE))</f>
        <v>0</v>
      </c>
      <c r="I26" s="152">
        <f>IF(Lüftung!D34="",0,VLOOKUP(Lüftung!D34,$L$44:$P$101,5,FALSE))</f>
        <v>0</v>
      </c>
      <c r="J26" s="101">
        <f t="shared" si="0"/>
        <v>1</v>
      </c>
      <c r="K26" s="97">
        <f>H26*Lüftung!E34*J26</f>
        <v>0</v>
      </c>
      <c r="L26" s="103">
        <f>I26*Lüftung!E34</f>
        <v>0</v>
      </c>
      <c r="M26" s="152">
        <f>IF(Lüftung!I34="x",1,W26)</f>
        <v>1.8</v>
      </c>
      <c r="N26" s="85">
        <f>IF(Lüftung!F34="",1,VLOOKUP(Lüftung!F34,$B$45:$I$68,8,FALSE))</f>
        <v>1</v>
      </c>
      <c r="O26" s="155">
        <f>Lüftung!H34/3600*(INDEX($H$45:$H$68,N26,1)+INDEX($G$97:$G$112,R26,1))*J26/$O$3/1000*INDEX($G$45:$G$68,N26,1)*M26</f>
        <v>0</v>
      </c>
      <c r="P26" s="152">
        <f>IF(Lüftung!J34&gt;0,MAX(O26+U26,Lüftung!J34),(O26+U26)*$O$2)</f>
        <v>0</v>
      </c>
      <c r="Q26" s="85">
        <f t="shared" si="1"/>
        <v>0</v>
      </c>
      <c r="R26" s="103">
        <f>IF(Lüftung!O34="",1,VLOOKUP(Lüftung!O34,$B$97:$H$112,7,FALSE))</f>
        <v>1</v>
      </c>
      <c r="S26" s="87">
        <f>IF(INDEX($F$45:$F$68,N26,1),1,IF(Lüftung!P34&gt;0,MIN(INDEX($E$97:$E$112,R26,1),Lüftung!P34),INDEX($E$97:$E$112,R26,1)*$S$3))</f>
        <v>0</v>
      </c>
      <c r="T26" s="91">
        <f>IF(Lüftung!L34="",1,VLOOKUP(Lüftung!L34,$B$75:$I$90,8,FALSE))</f>
        <v>1</v>
      </c>
      <c r="U26" s="327">
        <f>IF(Lüftung!N34&lt;&gt;"",Lüftung!H34*INDEX($F$97:$F$112,R26,1)/1000,0)</f>
        <v>0</v>
      </c>
      <c r="V26" s="97">
        <f>Lüftung!H34</f>
        <v>0</v>
      </c>
      <c r="W26" s="329">
        <f t="shared" si="2"/>
        <v>1.8</v>
      </c>
    </row>
    <row r="27" spans="1:23" ht="15.95" customHeight="1" x14ac:dyDescent="0.2">
      <c r="A27">
        <v>22</v>
      </c>
      <c r="B27" s="103">
        <f>Lüftung!B35</f>
        <v>0</v>
      </c>
      <c r="C27" s="91">
        <f>IF(Lüftung!C35="",1,VLOOKUP(Lüftung!C35,$I$97:$J$99,2,FALSE))</f>
        <v>1</v>
      </c>
      <c r="D27" s="132">
        <f>Lüftung!E35*Berechnung!C27</f>
        <v>0</v>
      </c>
      <c r="E27" s="87">
        <f>IF(Lüftung!D35="",1,VLOOKUP(Lüftung!D35,$L$44:$M$101,2,FALSE))</f>
        <v>1</v>
      </c>
      <c r="F27" s="87" t="str">
        <f>IF(Lüftung!D35="","",VLOOKUP(Lüftung!D35,$L$44:$N$101,3,FALSE)*INDEX($F$75:$F$90,T27,1))</f>
        <v/>
      </c>
      <c r="G27" s="91" t="str">
        <f>IF(Lüftung!D35="","",VLOOKUP(Lüftung!D35,$L$44:$N$101,3,FALSE)*INDEX($E$75:$E$90,T27,1)*Min_Vollast)</f>
        <v/>
      </c>
      <c r="H27" s="182">
        <f>IF(Lüftung!D35="",0,VLOOKUP(Lüftung!D35,$L$44:$O$101,4,FALSE))</f>
        <v>0</v>
      </c>
      <c r="I27" s="152">
        <f>IF(Lüftung!D35="",0,VLOOKUP(Lüftung!D35,$L$44:$P$101,5,FALSE))</f>
        <v>0</v>
      </c>
      <c r="J27" s="101">
        <f t="shared" si="0"/>
        <v>1</v>
      </c>
      <c r="K27" s="97">
        <f>H27*Lüftung!E35*J27</f>
        <v>0</v>
      </c>
      <c r="L27" s="103">
        <f>I27*Lüftung!E35</f>
        <v>0</v>
      </c>
      <c r="M27" s="152">
        <f>IF(Lüftung!I35="x",1,W27)</f>
        <v>1.8</v>
      </c>
      <c r="N27" s="85">
        <f>IF(Lüftung!F35="",1,VLOOKUP(Lüftung!F35,$B$45:$I$68,8,FALSE))</f>
        <v>1</v>
      </c>
      <c r="O27" s="155">
        <f>Lüftung!H35/3600*(INDEX($H$45:$H$68,N27,1)+INDEX($G$97:$G$112,R27,1))*J27/$O$3/1000*INDEX($G$45:$G$68,N27,1)*M27</f>
        <v>0</v>
      </c>
      <c r="P27" s="152">
        <f>IF(Lüftung!J35&gt;0,MAX(O27+U27,Lüftung!J35),(O27+U27)*$O$2)</f>
        <v>0</v>
      </c>
      <c r="Q27" s="85">
        <f t="shared" si="1"/>
        <v>0</v>
      </c>
      <c r="R27" s="103">
        <f>IF(Lüftung!O35="",1,VLOOKUP(Lüftung!O35,$B$97:$H$112,7,FALSE))</f>
        <v>1</v>
      </c>
      <c r="S27" s="87">
        <f>IF(INDEX($F$45:$F$68,N27,1),1,IF(Lüftung!P35&gt;0,MIN(INDEX($E$97:$E$112,R27,1),Lüftung!P35),INDEX($E$97:$E$112,R27,1)*$S$3))</f>
        <v>0</v>
      </c>
      <c r="T27" s="91">
        <f>IF(Lüftung!L35="",1,VLOOKUP(Lüftung!L35,$B$75:$I$90,8,FALSE))</f>
        <v>1</v>
      </c>
      <c r="U27" s="327">
        <f>IF(Lüftung!N35&lt;&gt;"",Lüftung!H35*INDEX($F$97:$F$112,R27,1)/1000,0)</f>
        <v>0</v>
      </c>
      <c r="V27" s="97">
        <f>Lüftung!H35</f>
        <v>0</v>
      </c>
      <c r="W27" s="329">
        <f t="shared" si="2"/>
        <v>1.8</v>
      </c>
    </row>
    <row r="28" spans="1:23" ht="15.95" customHeight="1" x14ac:dyDescent="0.2">
      <c r="A28">
        <v>23</v>
      </c>
      <c r="B28" s="103">
        <f>Lüftung!B36</f>
        <v>0</v>
      </c>
      <c r="C28" s="91">
        <f>IF(Lüftung!C36="",1,VLOOKUP(Lüftung!C36,$I$97:$J$99,2,FALSE))</f>
        <v>1</v>
      </c>
      <c r="D28" s="132">
        <f>Lüftung!E36*Berechnung!C28</f>
        <v>0</v>
      </c>
      <c r="E28" s="87">
        <f>IF(Lüftung!D36="",1,VLOOKUP(Lüftung!D36,$L$44:$M$101,2,FALSE))</f>
        <v>1</v>
      </c>
      <c r="F28" s="87" t="str">
        <f>IF(Lüftung!D36="","",VLOOKUP(Lüftung!D36,$L$44:$N$101,3,FALSE)*INDEX($F$75:$F$90,T28,1))</f>
        <v/>
      </c>
      <c r="G28" s="91" t="str">
        <f>IF(Lüftung!D36="","",VLOOKUP(Lüftung!D36,$L$44:$N$101,3,FALSE)*INDEX($E$75:$E$90,T28,1)*Min_Vollast)</f>
        <v/>
      </c>
      <c r="H28" s="182">
        <f>IF(Lüftung!D36="",0,VLOOKUP(Lüftung!D36,$L$44:$O$101,4,FALSE))</f>
        <v>0</v>
      </c>
      <c r="I28" s="152">
        <f>IF(Lüftung!D36="",0,VLOOKUP(Lüftung!D36,$L$44:$P$101,5,FALSE))</f>
        <v>0</v>
      </c>
      <c r="J28" s="101">
        <f t="shared" si="0"/>
        <v>1</v>
      </c>
      <c r="K28" s="97">
        <f>H28*Lüftung!E36*J28</f>
        <v>0</v>
      </c>
      <c r="L28" s="103">
        <f>I28*Lüftung!E36</f>
        <v>0</v>
      </c>
      <c r="M28" s="152">
        <f>IF(Lüftung!I36="x",1,W28)</f>
        <v>1.8</v>
      </c>
      <c r="N28" s="85">
        <f>IF(Lüftung!F36="",1,VLOOKUP(Lüftung!F36,$B$45:$I$68,8,FALSE))</f>
        <v>1</v>
      </c>
      <c r="O28" s="155">
        <f>Lüftung!H36/3600*(INDEX($H$45:$H$68,N28,1)+INDEX($G$97:$G$112,R28,1))*J28/$O$3/1000*INDEX($G$45:$G$68,N28,1)*M28</f>
        <v>0</v>
      </c>
      <c r="P28" s="152">
        <f>IF(Lüftung!J36&gt;0,MAX(O28+U28,Lüftung!J36),(O28+U28)*$O$2)</f>
        <v>0</v>
      </c>
      <c r="Q28" s="85">
        <f t="shared" si="1"/>
        <v>0</v>
      </c>
      <c r="R28" s="103">
        <f>IF(Lüftung!O36="",1,VLOOKUP(Lüftung!O36,$B$97:$H$112,7,FALSE))</f>
        <v>1</v>
      </c>
      <c r="S28" s="87">
        <f>IF(INDEX($F$45:$F$68,N28,1),1,IF(Lüftung!P36&gt;0,MIN(INDEX($E$97:$E$112,R28,1),Lüftung!P36),INDEX($E$97:$E$112,R28,1)*$S$3))</f>
        <v>0</v>
      </c>
      <c r="T28" s="91">
        <f>IF(Lüftung!L36="",1,VLOOKUP(Lüftung!L36,$B$75:$I$90,8,FALSE))</f>
        <v>1</v>
      </c>
      <c r="U28" s="327">
        <f>IF(Lüftung!N36&lt;&gt;"",Lüftung!H36*INDEX($F$97:$F$112,R28,1)/1000,0)</f>
        <v>0</v>
      </c>
      <c r="V28" s="97">
        <f>Lüftung!H36</f>
        <v>0</v>
      </c>
      <c r="W28" s="329">
        <f t="shared" si="2"/>
        <v>1.8</v>
      </c>
    </row>
    <row r="29" spans="1:23" ht="15.95" customHeight="1" x14ac:dyDescent="0.2">
      <c r="A29">
        <v>24</v>
      </c>
      <c r="B29" s="103">
        <f>Lüftung!B37</f>
        <v>0</v>
      </c>
      <c r="C29" s="91">
        <f>IF(Lüftung!C37="",1,VLOOKUP(Lüftung!C37,$I$97:$J$99,2,FALSE))</f>
        <v>1</v>
      </c>
      <c r="D29" s="132">
        <f>Lüftung!E37*Berechnung!C29</f>
        <v>0</v>
      </c>
      <c r="E29" s="87">
        <f>IF(Lüftung!D37="",1,VLOOKUP(Lüftung!D37,$L$44:$M$101,2,FALSE))</f>
        <v>1</v>
      </c>
      <c r="F29" s="87" t="str">
        <f>IF(Lüftung!D37="","",VLOOKUP(Lüftung!D37,$L$44:$N$101,3,FALSE)*INDEX($F$75:$F$90,T29,1))</f>
        <v/>
      </c>
      <c r="G29" s="91" t="str">
        <f>IF(Lüftung!D37="","",VLOOKUP(Lüftung!D37,$L$44:$N$101,3,FALSE)*INDEX($E$75:$E$90,T29,1)*Min_Vollast)</f>
        <v/>
      </c>
      <c r="H29" s="182">
        <f>IF(Lüftung!D37="",0,VLOOKUP(Lüftung!D37,$L$44:$O$101,4,FALSE))</f>
        <v>0</v>
      </c>
      <c r="I29" s="152">
        <f>IF(Lüftung!D37="",0,VLOOKUP(Lüftung!D37,$L$44:$P$101,5,FALSE))</f>
        <v>0</v>
      </c>
      <c r="J29" s="101">
        <f t="shared" si="0"/>
        <v>1</v>
      </c>
      <c r="K29" s="97">
        <f>H29*Lüftung!E37*J29</f>
        <v>0</v>
      </c>
      <c r="L29" s="103">
        <f>I29*Lüftung!E37</f>
        <v>0</v>
      </c>
      <c r="M29" s="152">
        <f>IF(Lüftung!I37="x",1,W29)</f>
        <v>1.8</v>
      </c>
      <c r="N29" s="85">
        <f>IF(Lüftung!F37="",1,VLOOKUP(Lüftung!F37,$B$45:$I$68,8,FALSE))</f>
        <v>1</v>
      </c>
      <c r="O29" s="155">
        <f>Lüftung!H37/3600*(INDEX($H$45:$H$68,N29,1)+INDEX($G$97:$G$112,R29,1))*J29/$O$3/1000*INDEX($G$45:$G$68,N29,1)*M29</f>
        <v>0</v>
      </c>
      <c r="P29" s="152">
        <f>IF(Lüftung!J37&gt;0,MAX(O29+U29,Lüftung!J37),(O29+U29)*$O$2)</f>
        <v>0</v>
      </c>
      <c r="Q29" s="85">
        <f t="shared" si="1"/>
        <v>0</v>
      </c>
      <c r="R29" s="103">
        <f>IF(Lüftung!O37="",1,VLOOKUP(Lüftung!O37,$B$97:$H$112,7,FALSE))</f>
        <v>1</v>
      </c>
      <c r="S29" s="87">
        <f>IF(INDEX($F$45:$F$68,N29,1),1,IF(Lüftung!P37&gt;0,MIN(INDEX($E$97:$E$112,R29,1),Lüftung!P37),INDEX($E$97:$E$112,R29,1)*$S$3))</f>
        <v>0</v>
      </c>
      <c r="T29" s="91">
        <f>IF(Lüftung!L37="",1,VLOOKUP(Lüftung!L37,$B$75:$I$90,8,FALSE))</f>
        <v>1</v>
      </c>
      <c r="U29" s="327">
        <f>IF(Lüftung!N37&lt;&gt;"",Lüftung!H37*INDEX($F$97:$F$112,R29,1)/1000,0)</f>
        <v>0</v>
      </c>
      <c r="V29" s="97">
        <f>Lüftung!H37</f>
        <v>0</v>
      </c>
      <c r="W29" s="329">
        <f t="shared" si="2"/>
        <v>1.8</v>
      </c>
    </row>
    <row r="30" spans="1:23" ht="15.95" customHeight="1" x14ac:dyDescent="0.2">
      <c r="A30">
        <v>25</v>
      </c>
      <c r="B30" s="103">
        <f>Lüftung!B38</f>
        <v>0</v>
      </c>
      <c r="C30" s="91">
        <f>IF(Lüftung!C38="",1,VLOOKUP(Lüftung!C38,$I$97:$J$99,2,FALSE))</f>
        <v>1</v>
      </c>
      <c r="D30" s="132">
        <f>Lüftung!E38*Berechnung!C30</f>
        <v>0</v>
      </c>
      <c r="E30" s="87">
        <f>IF(Lüftung!D38="",1,VLOOKUP(Lüftung!D38,$L$44:$M$101,2,FALSE))</f>
        <v>1</v>
      </c>
      <c r="F30" s="87" t="str">
        <f>IF(Lüftung!D38="","",VLOOKUP(Lüftung!D38,$L$44:$N$101,3,FALSE)*INDEX($F$75:$F$90,T30,1))</f>
        <v/>
      </c>
      <c r="G30" s="91" t="str">
        <f>IF(Lüftung!D38="","",VLOOKUP(Lüftung!D38,$L$44:$N$101,3,FALSE)*INDEX($E$75:$E$90,T30,1)*Min_Vollast)</f>
        <v/>
      </c>
      <c r="H30" s="182">
        <f>IF(Lüftung!D38="",0,VLOOKUP(Lüftung!D38,$L$44:$O$101,4,FALSE))</f>
        <v>0</v>
      </c>
      <c r="I30" s="152">
        <f>IF(Lüftung!D38="",0,VLOOKUP(Lüftung!D38,$L$44:$P$101,5,FALSE))</f>
        <v>0</v>
      </c>
      <c r="J30" s="101">
        <f t="shared" si="0"/>
        <v>1</v>
      </c>
      <c r="K30" s="97">
        <f>H30*Lüftung!E38*J30</f>
        <v>0</v>
      </c>
      <c r="L30" s="103">
        <f>I30*Lüftung!E38</f>
        <v>0</v>
      </c>
      <c r="M30" s="152">
        <f>IF(Lüftung!I38="x",1,W30)</f>
        <v>1.8</v>
      </c>
      <c r="N30" s="85">
        <f>IF(Lüftung!F38="",1,VLOOKUP(Lüftung!F38,$B$45:$I$68,8,FALSE))</f>
        <v>1</v>
      </c>
      <c r="O30" s="155">
        <f>Lüftung!H38/3600*(INDEX($H$45:$H$68,N30,1)+INDEX($G$97:$G$112,R30,1))*J30/$O$3/1000*INDEX($G$45:$G$68,N30,1)*M30</f>
        <v>0</v>
      </c>
      <c r="P30" s="152">
        <f>IF(Lüftung!J38&gt;0,MAX(O30+U30,Lüftung!J38),(O30+U30)*$O$2)</f>
        <v>0</v>
      </c>
      <c r="Q30" s="85">
        <f t="shared" si="1"/>
        <v>0</v>
      </c>
      <c r="R30" s="103">
        <f>IF(Lüftung!O38="",1,VLOOKUP(Lüftung!O38,$B$97:$H$112,7,FALSE))</f>
        <v>1</v>
      </c>
      <c r="S30" s="87">
        <f>IF(INDEX($F$45:$F$68,N30,1),1,IF(Lüftung!P38&gt;0,MIN(INDEX($E$97:$E$112,R30,1),Lüftung!P38),INDEX($E$97:$E$112,R30,1)*$S$3))</f>
        <v>0</v>
      </c>
      <c r="T30" s="91">
        <f>IF(Lüftung!L38="",1,VLOOKUP(Lüftung!L38,$B$75:$I$90,8,FALSE))</f>
        <v>1</v>
      </c>
      <c r="U30" s="327">
        <f>IF(Lüftung!N38&lt;&gt;"",Lüftung!H38*INDEX($F$97:$F$112,R30,1)/1000,0)</f>
        <v>0</v>
      </c>
      <c r="V30" s="97">
        <f>Lüftung!H38</f>
        <v>0</v>
      </c>
      <c r="W30" s="329">
        <f t="shared" si="2"/>
        <v>1.8</v>
      </c>
    </row>
    <row r="31" spans="1:23" ht="15.95" customHeight="1" x14ac:dyDescent="0.2">
      <c r="A31">
        <v>26</v>
      </c>
      <c r="B31" s="104">
        <f>Lüftung!B39</f>
        <v>0</v>
      </c>
      <c r="C31" s="92">
        <f>IF(Lüftung!C39="",1,VLOOKUP(Lüftung!C39,$I$97:$J$99,2,FALSE))</f>
        <v>1</v>
      </c>
      <c r="D31" s="133">
        <f>Lüftung!E39*Berechnung!C31</f>
        <v>0</v>
      </c>
      <c r="E31" s="100">
        <f>IF(Lüftung!D39="",1,VLOOKUP(Lüftung!D39,$L$44:$M$101,2,FALSE))</f>
        <v>1</v>
      </c>
      <c r="F31" s="100" t="str">
        <f>IF(Lüftung!D39="","",VLOOKUP(Lüftung!D39,$L$44:$N$101,3,FALSE)*INDEX($F$75:$F$90,T31,1))</f>
        <v/>
      </c>
      <c r="G31" s="92" t="str">
        <f>IF(Lüftung!D39="","",VLOOKUP(Lüftung!D39,$L$44:$N$101,3,FALSE)*INDEX($E$75:$E$90,T31,1)*Min_Vollast)</f>
        <v/>
      </c>
      <c r="H31" s="183">
        <f>IF(Lüftung!D39="",0,VLOOKUP(Lüftung!D39,$L$44:$O$101,4,FALSE))</f>
        <v>0</v>
      </c>
      <c r="I31" s="153">
        <f>IF(Lüftung!D39="",0,VLOOKUP(Lüftung!D39,$L$44:$P$101,5,FALSE))</f>
        <v>0</v>
      </c>
      <c r="J31" s="102">
        <f t="shared" si="0"/>
        <v>1</v>
      </c>
      <c r="K31" s="98">
        <f>H31*Lüftung!E39*J31</f>
        <v>0</v>
      </c>
      <c r="L31" s="104">
        <f>I31*Lüftung!E39</f>
        <v>0</v>
      </c>
      <c r="M31" s="153">
        <f>IF(Lüftung!I39="x",1,W31)</f>
        <v>1.8</v>
      </c>
      <c r="N31" s="113">
        <f>IF(Lüftung!F39="",1,VLOOKUP(Lüftung!F39,$B$45:$I$68,8,FALSE))</f>
        <v>1</v>
      </c>
      <c r="O31" s="156">
        <f>Lüftung!H39/3600*(INDEX($H$45:$H$68,N31,1)+INDEX($G$97:$G$112,R31,1))*J31/$O$3/1000*INDEX($G$45:$G$68,N31,1)*M31</f>
        <v>0</v>
      </c>
      <c r="P31" s="153">
        <f>IF(Lüftung!J39&gt;0,MAX(O31+U31,Lüftung!J39),(O31+U31)*$O$2)</f>
        <v>0</v>
      </c>
      <c r="Q31" s="113">
        <f t="shared" si="1"/>
        <v>0</v>
      </c>
      <c r="R31" s="104">
        <f>IF(Lüftung!O39="",1,VLOOKUP(Lüftung!O39,$B$97:$H$112,7,FALSE))</f>
        <v>1</v>
      </c>
      <c r="S31" s="100">
        <f>IF(INDEX($F$45:$F$68,N31,1),1,IF(Lüftung!P39&gt;0,MIN(INDEX($E$97:$E$112,R31,1),Lüftung!P39),INDEX($E$97:$E$112,R31,1)*$S$3))</f>
        <v>0</v>
      </c>
      <c r="T31" s="92">
        <f>IF(Lüftung!L39="",1,VLOOKUP(Lüftung!L39,$B$75:$I$90,8,FALSE))</f>
        <v>1</v>
      </c>
      <c r="U31" s="328">
        <f>IF(Lüftung!N39&lt;&gt;"",Lüftung!H39*INDEX($F$97:$F$112,R31,1)/1000,0)</f>
        <v>0</v>
      </c>
      <c r="V31" s="98">
        <f>Lüftung!H39</f>
        <v>0</v>
      </c>
      <c r="W31" s="330">
        <f t="shared" si="2"/>
        <v>1.8</v>
      </c>
    </row>
    <row r="32" spans="1:23" ht="15.95" customHeight="1" x14ac:dyDescent="0.2">
      <c r="D32" s="105">
        <f>SUM(D6:D31)</f>
        <v>0</v>
      </c>
    </row>
    <row r="34" spans="1:22" ht="15.95" customHeight="1" x14ac:dyDescent="0.2">
      <c r="A34" s="41"/>
    </row>
    <row r="37" spans="1:22" ht="15.95" customHeight="1" x14ac:dyDescent="0.2">
      <c r="A37" s="45"/>
    </row>
    <row r="38" spans="1:22" ht="15.95" customHeight="1" x14ac:dyDescent="0.2">
      <c r="A38" s="45"/>
    </row>
    <row r="39" spans="1:22" ht="23.25" customHeight="1" x14ac:dyDescent="0.3">
      <c r="B39" s="93" t="s">
        <v>73</v>
      </c>
      <c r="C39" s="68"/>
      <c r="D39" s="68"/>
      <c r="E39" s="68"/>
      <c r="F39" s="68"/>
      <c r="G39" s="68"/>
      <c r="H39" s="134"/>
      <c r="I39" s="68"/>
      <c r="J39" s="68"/>
      <c r="K39" s="68"/>
      <c r="L39" s="68"/>
      <c r="M39" s="68"/>
      <c r="N39" s="68"/>
      <c r="O39" s="68"/>
      <c r="P39" s="68"/>
      <c r="Q39" s="69"/>
    </row>
    <row r="40" spans="1:22" ht="15.95" customHeight="1" x14ac:dyDescent="0.2">
      <c r="B40" s="85"/>
      <c r="C40" s="40"/>
    </row>
    <row r="41" spans="1:22" ht="15.95" customHeight="1" x14ac:dyDescent="0.25">
      <c r="B41" s="78" t="s">
        <v>8</v>
      </c>
      <c r="C41" s="80"/>
      <c r="D41" s="80"/>
      <c r="E41" s="80"/>
      <c r="F41" s="145"/>
      <c r="G41" s="68"/>
      <c r="H41" s="69"/>
      <c r="I41" s="111" t="s">
        <v>176</v>
      </c>
      <c r="K41" s="40"/>
      <c r="L41" s="110" t="s">
        <v>12</v>
      </c>
      <c r="M41" s="117" t="s">
        <v>69</v>
      </c>
      <c r="N41" s="114" t="s">
        <v>51</v>
      </c>
      <c r="O41" s="368" t="s">
        <v>53</v>
      </c>
      <c r="P41" s="369"/>
      <c r="Q41" s="369"/>
      <c r="R41" s="313" t="s">
        <v>342</v>
      </c>
      <c r="S41" s="316" t="s">
        <v>345</v>
      </c>
      <c r="T41" s="316" t="s">
        <v>345</v>
      </c>
      <c r="U41" s="170" t="s">
        <v>341</v>
      </c>
      <c r="V41" s="71"/>
    </row>
    <row r="42" spans="1:22" s="13" customFormat="1" ht="15.95" customHeight="1" x14ac:dyDescent="0.2">
      <c r="B42" s="72"/>
      <c r="C42" s="108" t="s">
        <v>106</v>
      </c>
      <c r="D42" s="168"/>
      <c r="E42" s="142"/>
      <c r="F42" s="169"/>
      <c r="G42" s="144" t="s">
        <v>92</v>
      </c>
      <c r="H42" s="144" t="s">
        <v>96</v>
      </c>
      <c r="I42" s="111" t="s">
        <v>177</v>
      </c>
      <c r="K42"/>
      <c r="L42" s="70"/>
      <c r="M42" s="115"/>
      <c r="N42" s="312" t="s">
        <v>158</v>
      </c>
      <c r="O42" s="366" t="s">
        <v>77</v>
      </c>
      <c r="P42" s="367"/>
      <c r="Q42" s="119" t="s">
        <v>83</v>
      </c>
      <c r="R42" s="314" t="s">
        <v>343</v>
      </c>
      <c r="S42" s="320" t="s">
        <v>173</v>
      </c>
      <c r="T42" s="312" t="s">
        <v>335</v>
      </c>
      <c r="U42" s="317" t="s">
        <v>336</v>
      </c>
      <c r="V42" s="168"/>
    </row>
    <row r="43" spans="1:22" ht="15.95" customHeight="1" x14ac:dyDescent="0.2">
      <c r="B43" s="72"/>
      <c r="C43" s="40"/>
      <c r="D43" s="73"/>
      <c r="E43" s="144" t="s">
        <v>72</v>
      </c>
      <c r="F43" s="144" t="s">
        <v>122</v>
      </c>
      <c r="G43" s="144" t="s">
        <v>93</v>
      </c>
      <c r="H43" s="144" t="s">
        <v>94</v>
      </c>
      <c r="I43" s="238" t="s">
        <v>178</v>
      </c>
      <c r="K43" s="40"/>
      <c r="L43" s="72"/>
      <c r="M43" s="85"/>
      <c r="N43" s="116" t="s">
        <v>93</v>
      </c>
      <c r="O43" s="106" t="s">
        <v>79</v>
      </c>
      <c r="P43" s="116" t="s">
        <v>76</v>
      </c>
      <c r="Q43" s="120" t="s">
        <v>84</v>
      </c>
      <c r="R43" s="315" t="s">
        <v>344</v>
      </c>
      <c r="S43" s="318" t="s">
        <v>334</v>
      </c>
      <c r="T43" s="319" t="s">
        <v>76</v>
      </c>
      <c r="U43" s="100"/>
      <c r="V43" s="74"/>
    </row>
    <row r="44" spans="1:22" ht="15.95" customHeight="1" x14ac:dyDescent="0.2">
      <c r="B44" s="81"/>
      <c r="C44" s="76"/>
      <c r="D44" s="74"/>
      <c r="E44" s="94"/>
      <c r="F44" s="94"/>
      <c r="G44" s="92"/>
      <c r="H44" s="135" t="s">
        <v>95</v>
      </c>
      <c r="K44" s="40"/>
      <c r="L44" s="123"/>
      <c r="M44" s="126">
        <v>1</v>
      </c>
      <c r="N44" s="129" t="s">
        <v>78</v>
      </c>
      <c r="O44" s="139" t="s">
        <v>80</v>
      </c>
      <c r="P44" s="129" t="s">
        <v>80</v>
      </c>
      <c r="Q44" s="99">
        <v>1</v>
      </c>
      <c r="R44" s="143" t="s">
        <v>78</v>
      </c>
      <c r="S44" s="309"/>
      <c r="T44" s="99"/>
      <c r="U44" s="309">
        <v>1</v>
      </c>
      <c r="V44" s="71"/>
    </row>
    <row r="45" spans="1:22" ht="15.95" customHeight="1" x14ac:dyDescent="0.2">
      <c r="B45" s="70"/>
      <c r="C45" s="82"/>
      <c r="D45" s="71"/>
      <c r="E45" s="95"/>
      <c r="F45" s="95" t="b">
        <v>0</v>
      </c>
      <c r="G45" s="91">
        <v>2</v>
      </c>
      <c r="H45" s="90">
        <f>1000*Min_Druck</f>
        <v>650</v>
      </c>
      <c r="I45" s="38">
        <v>1</v>
      </c>
      <c r="K45" s="40"/>
      <c r="L45" s="124" t="str">
        <f>Uebersetzung!D68</f>
        <v>plurifamiliare - AE =</v>
      </c>
      <c r="M45" s="127">
        <v>2</v>
      </c>
      <c r="N45" s="130">
        <v>8760</v>
      </c>
      <c r="O45" s="140">
        <v>0.5</v>
      </c>
      <c r="P45" s="137">
        <v>0.6</v>
      </c>
      <c r="Q45" s="101">
        <v>1</v>
      </c>
      <c r="R45" s="97">
        <f>V45</f>
        <v>8760</v>
      </c>
      <c r="S45" s="87"/>
      <c r="T45" s="120"/>
      <c r="U45" s="87">
        <v>1</v>
      </c>
      <c r="V45" s="321">
        <f>N45</f>
        <v>8760</v>
      </c>
    </row>
    <row r="46" spans="1:22" ht="15.95" customHeight="1" x14ac:dyDescent="0.2">
      <c r="B46" s="72" t="str">
        <f>Uebersetzung!D143</f>
        <v>immissione semplice</v>
      </c>
      <c r="C46" s="40"/>
      <c r="D46" s="73"/>
      <c r="E46" s="149" t="b">
        <v>0</v>
      </c>
      <c r="F46" s="96" t="b">
        <v>0</v>
      </c>
      <c r="G46" s="91">
        <v>1</v>
      </c>
      <c r="H46" s="91">
        <f>400*Min_Druck</f>
        <v>260</v>
      </c>
      <c r="I46" s="38">
        <v>2</v>
      </c>
      <c r="K46" s="40"/>
      <c r="L46" s="124" t="str">
        <f>Uebersetzung!D69</f>
        <v>monofamiliare - AE =</v>
      </c>
      <c r="M46" s="127">
        <v>3</v>
      </c>
      <c r="N46" s="130">
        <v>8760</v>
      </c>
      <c r="O46" s="140">
        <v>0.5</v>
      </c>
      <c r="P46" s="137">
        <v>0.6</v>
      </c>
      <c r="Q46" s="101">
        <v>1</v>
      </c>
      <c r="R46" s="97">
        <f t="shared" ref="R46:R72" si="3">V46</f>
        <v>8760</v>
      </c>
      <c r="S46" s="87"/>
      <c r="T46" s="101"/>
      <c r="U46" s="87">
        <v>1</v>
      </c>
      <c r="V46" s="321">
        <f t="shared" ref="V46:V56" si="4">N46</f>
        <v>8760</v>
      </c>
    </row>
    <row r="47" spans="1:22" ht="15.95" customHeight="1" x14ac:dyDescent="0.2">
      <c r="B47" s="72" t="str">
        <f>Uebersetzung!D144</f>
        <v>imm. semplice con risc. aria</v>
      </c>
      <c r="C47" s="40"/>
      <c r="D47" s="73"/>
      <c r="E47" s="149" t="b">
        <v>0</v>
      </c>
      <c r="F47" s="96" t="b">
        <v>0</v>
      </c>
      <c r="G47" s="91">
        <v>1</v>
      </c>
      <c r="H47" s="91">
        <f>500*Min_Druck</f>
        <v>325</v>
      </c>
      <c r="I47" s="38">
        <v>3</v>
      </c>
      <c r="K47" s="40"/>
      <c r="L47" s="124" t="str">
        <f>Uebersetzung!D70</f>
        <v>amministrativo - AE =</v>
      </c>
      <c r="M47" s="127">
        <v>4</v>
      </c>
      <c r="N47" s="130">
        <v>2750</v>
      </c>
      <c r="O47" s="140">
        <f>0.5*8760/N47</f>
        <v>1.5927272727272728</v>
      </c>
      <c r="P47" s="137">
        <f>0.6*8760/N47</f>
        <v>1.9112727272727272</v>
      </c>
      <c r="Q47" s="101">
        <v>1</v>
      </c>
      <c r="R47" s="97">
        <f t="shared" si="3"/>
        <v>2750</v>
      </c>
      <c r="S47" s="87"/>
      <c r="T47" s="101"/>
      <c r="U47" s="87">
        <v>1</v>
      </c>
      <c r="V47" s="321">
        <f t="shared" si="4"/>
        <v>2750</v>
      </c>
    </row>
    <row r="48" spans="1:22" ht="15.95" customHeight="1" x14ac:dyDescent="0.2">
      <c r="B48" s="72" t="str">
        <f>Uebersetzung!D145</f>
        <v>estrazione semplice</v>
      </c>
      <c r="C48" s="40"/>
      <c r="D48" s="73"/>
      <c r="E48" s="149" t="b">
        <v>0</v>
      </c>
      <c r="F48" s="96" t="b">
        <v>0</v>
      </c>
      <c r="G48" s="91">
        <v>1</v>
      </c>
      <c r="H48" s="91">
        <f>400*Min_Druck</f>
        <v>260</v>
      </c>
      <c r="I48" s="38">
        <v>4</v>
      </c>
      <c r="K48" s="40"/>
      <c r="L48" s="124" t="str">
        <f>Uebersetzung!D71</f>
        <v>scuola - AE =</v>
      </c>
      <c r="M48" s="127">
        <v>5</v>
      </c>
      <c r="N48" s="130">
        <v>2000</v>
      </c>
      <c r="O48" s="140">
        <f>0.5*8760/N48</f>
        <v>2.19</v>
      </c>
      <c r="P48" s="137">
        <f>0.6*8760/N48</f>
        <v>2.6280000000000001</v>
      </c>
      <c r="Q48" s="101">
        <v>1</v>
      </c>
      <c r="R48" s="97">
        <f t="shared" si="3"/>
        <v>2000</v>
      </c>
      <c r="S48" s="87"/>
      <c r="T48" s="101"/>
      <c r="U48" s="87">
        <v>1</v>
      </c>
      <c r="V48" s="321">
        <f t="shared" si="4"/>
        <v>2000</v>
      </c>
    </row>
    <row r="49" spans="1:25" ht="15.95" customHeight="1" x14ac:dyDescent="0.2">
      <c r="B49" s="72" t="str">
        <f>Uebersetzung!D146</f>
        <v>estrazione con RC</v>
      </c>
      <c r="C49" s="40"/>
      <c r="D49" s="73"/>
      <c r="E49" s="149" t="b">
        <v>0</v>
      </c>
      <c r="F49" s="96" t="b">
        <v>0</v>
      </c>
      <c r="G49" s="91">
        <v>1</v>
      </c>
      <c r="H49" s="91">
        <f>450*Min_Druck</f>
        <v>292.5</v>
      </c>
      <c r="I49" s="38">
        <v>5</v>
      </c>
      <c r="K49" s="40"/>
      <c r="L49" s="124" t="str">
        <f>Uebersetzung!D72</f>
        <v>negozio - AE =</v>
      </c>
      <c r="M49" s="127">
        <v>6</v>
      </c>
      <c r="N49" s="130">
        <v>3760</v>
      </c>
      <c r="O49" s="140">
        <f>0.5*8760/N49</f>
        <v>1.1648936170212767</v>
      </c>
      <c r="P49" s="137">
        <f>0.6*8760/N49</f>
        <v>1.397872340425532</v>
      </c>
      <c r="Q49" s="101">
        <v>1</v>
      </c>
      <c r="R49" s="97">
        <f t="shared" si="3"/>
        <v>3760</v>
      </c>
      <c r="S49" s="87"/>
      <c r="T49" s="101"/>
      <c r="U49" s="87">
        <v>1</v>
      </c>
      <c r="V49" s="321">
        <f t="shared" si="4"/>
        <v>3760</v>
      </c>
    </row>
    <row r="50" spans="1:25" ht="15.95" customHeight="1" x14ac:dyDescent="0.2">
      <c r="A50" s="41"/>
      <c r="B50" s="72" t="str">
        <f>Uebersetzung!D147</f>
        <v>immissione ed estrazione senza RC</v>
      </c>
      <c r="C50" s="40"/>
      <c r="D50" s="73"/>
      <c r="E50" s="149" t="b">
        <v>0</v>
      </c>
      <c r="F50" s="96" t="b">
        <v>0</v>
      </c>
      <c r="G50" s="91">
        <v>2</v>
      </c>
      <c r="H50" s="91">
        <f>450*Min_Druck</f>
        <v>292.5</v>
      </c>
      <c r="I50" s="38">
        <v>6</v>
      </c>
      <c r="K50" s="40"/>
      <c r="L50" s="124" t="str">
        <f>Uebersetzung!D73</f>
        <v>ristorante - AE =</v>
      </c>
      <c r="M50" s="127">
        <v>7</v>
      </c>
      <c r="N50" s="130">
        <v>2590</v>
      </c>
      <c r="O50" s="140">
        <f>1*8760/N50</f>
        <v>3.3822393822393821</v>
      </c>
      <c r="P50" s="137">
        <f>1.1*8760/N50</f>
        <v>3.7204633204633204</v>
      </c>
      <c r="Q50" s="101">
        <v>1</v>
      </c>
      <c r="R50" s="97">
        <f t="shared" si="3"/>
        <v>2590</v>
      </c>
      <c r="S50" s="87"/>
      <c r="T50" s="101"/>
      <c r="U50" s="87">
        <v>1</v>
      </c>
      <c r="V50" s="321">
        <f t="shared" si="4"/>
        <v>2590</v>
      </c>
    </row>
    <row r="51" spans="1:25" ht="15.95" customHeight="1" x14ac:dyDescent="0.2">
      <c r="B51" s="72" t="str">
        <f>Uebersetzung!D148</f>
        <v>immissione ed estrazione con RC</v>
      </c>
      <c r="C51" s="40"/>
      <c r="D51" s="73"/>
      <c r="E51" s="149" t="b">
        <v>1</v>
      </c>
      <c r="F51" s="96" t="b">
        <v>0</v>
      </c>
      <c r="G51" s="91">
        <v>2</v>
      </c>
      <c r="H51" s="91">
        <f>550*Min_Druck</f>
        <v>357.5</v>
      </c>
      <c r="I51" s="38">
        <v>7</v>
      </c>
      <c r="K51" s="40"/>
      <c r="L51" s="124" t="str">
        <f>Uebersetzung!D74</f>
        <v xml:space="preserve">locale pubblico - AE = </v>
      </c>
      <c r="M51" s="127">
        <v>8</v>
      </c>
      <c r="N51" s="130">
        <v>2670</v>
      </c>
      <c r="O51" s="140">
        <f>0.8*8760/N51</f>
        <v>2.6247191011235955</v>
      </c>
      <c r="P51" s="137">
        <f>0.9*8760/N51</f>
        <v>2.952808988764045</v>
      </c>
      <c r="Q51" s="101">
        <v>1</v>
      </c>
      <c r="R51" s="97">
        <f t="shared" si="3"/>
        <v>2670</v>
      </c>
      <c r="S51" s="87"/>
      <c r="T51" s="101"/>
      <c r="U51" s="87">
        <v>1</v>
      </c>
      <c r="V51" s="321">
        <f t="shared" si="4"/>
        <v>2670</v>
      </c>
    </row>
    <row r="52" spans="1:25" ht="15.95" customHeight="1" x14ac:dyDescent="0.2">
      <c r="B52" s="72" t="str">
        <f>Uebersetzung!D149</f>
        <v>imm. estr. con RC /  con bat. risc.</v>
      </c>
      <c r="C52" s="40"/>
      <c r="D52" s="73"/>
      <c r="E52" s="149" t="b">
        <v>1</v>
      </c>
      <c r="F52" s="96" t="b">
        <v>0</v>
      </c>
      <c r="G52" s="91">
        <v>2</v>
      </c>
      <c r="H52" s="91">
        <f>600*Min_Druck</f>
        <v>390</v>
      </c>
      <c r="I52" s="38">
        <v>8</v>
      </c>
      <c r="K52" s="40"/>
      <c r="L52" s="124" t="str">
        <f>Uebersetzung!D75</f>
        <v>ospedale - AE =</v>
      </c>
      <c r="M52" s="127">
        <v>9</v>
      </c>
      <c r="N52" s="130">
        <v>5500</v>
      </c>
      <c r="O52" s="140">
        <f>0.8*8760/N52</f>
        <v>1.2741818181818181</v>
      </c>
      <c r="P52" s="137">
        <f>0.9*8760/N52</f>
        <v>1.4334545454545455</v>
      </c>
      <c r="Q52" s="101">
        <v>1</v>
      </c>
      <c r="R52" s="97">
        <f t="shared" si="3"/>
        <v>5500</v>
      </c>
      <c r="S52" s="87"/>
      <c r="T52" s="101"/>
      <c r="U52" s="87">
        <v>1</v>
      </c>
      <c r="V52" s="321">
        <f t="shared" si="4"/>
        <v>5500</v>
      </c>
    </row>
    <row r="53" spans="1:25" ht="15.95" customHeight="1" x14ac:dyDescent="0.2">
      <c r="A53" s="45"/>
      <c r="B53" s="72" t="str">
        <f>Uebersetzung!D150</f>
        <v>imm. estr.  con RC con 2 o 3 batterie</v>
      </c>
      <c r="C53" s="40"/>
      <c r="D53" s="73"/>
      <c r="E53" s="149" t="b">
        <v>1</v>
      </c>
      <c r="F53" s="96" t="b">
        <v>0</v>
      </c>
      <c r="G53" s="91">
        <v>2</v>
      </c>
      <c r="H53" s="91">
        <f>650*Min_Druck</f>
        <v>422.5</v>
      </c>
      <c r="I53" s="38">
        <v>9</v>
      </c>
      <c r="K53" s="40"/>
      <c r="L53" s="124" t="str">
        <f>Uebersetzung!D76</f>
        <v>industria - AE =</v>
      </c>
      <c r="M53" s="127">
        <v>10</v>
      </c>
      <c r="N53" s="130">
        <v>6260</v>
      </c>
      <c r="O53" s="140">
        <f>0.5*8760/N53</f>
        <v>0.69968051118210861</v>
      </c>
      <c r="P53" s="137">
        <f>0.6*8760/N53</f>
        <v>0.83961661341853033</v>
      </c>
      <c r="Q53" s="101">
        <v>1</v>
      </c>
      <c r="R53" s="97">
        <f t="shared" si="3"/>
        <v>6260</v>
      </c>
      <c r="S53" s="87"/>
      <c r="T53" s="101"/>
      <c r="U53" s="87">
        <v>1</v>
      </c>
      <c r="V53" s="321">
        <f t="shared" si="4"/>
        <v>6260</v>
      </c>
    </row>
    <row r="54" spans="1:25" ht="15.95" customHeight="1" x14ac:dyDescent="0.2">
      <c r="A54" s="45"/>
      <c r="B54" s="72" t="str">
        <f>Uebersetzung!D151</f>
        <v xml:space="preserve">ventilazione per locale, imm.o estr. </v>
      </c>
      <c r="C54" s="40"/>
      <c r="D54" s="73"/>
      <c r="E54" s="149" t="b">
        <v>0</v>
      </c>
      <c r="F54" s="96" t="b">
        <v>0</v>
      </c>
      <c r="G54" s="91">
        <v>1</v>
      </c>
      <c r="H54" s="91">
        <f>350*Min_Druck</f>
        <v>227.5</v>
      </c>
      <c r="I54" s="38">
        <v>10</v>
      </c>
      <c r="K54" s="40"/>
      <c r="L54" s="124" t="str">
        <f>Uebersetzung!D77</f>
        <v>magazzino - AE =</v>
      </c>
      <c r="M54" s="127">
        <v>11</v>
      </c>
      <c r="N54" s="130">
        <v>8760</v>
      </c>
      <c r="O54" s="140">
        <v>0.1</v>
      </c>
      <c r="P54" s="137">
        <v>0.2</v>
      </c>
      <c r="Q54" s="101">
        <v>1</v>
      </c>
      <c r="R54" s="97">
        <f t="shared" si="3"/>
        <v>8760</v>
      </c>
      <c r="S54" s="87"/>
      <c r="T54" s="101"/>
      <c r="U54" s="87">
        <v>1</v>
      </c>
      <c r="V54" s="321">
        <f t="shared" si="4"/>
        <v>8760</v>
      </c>
    </row>
    <row r="55" spans="1:25" ht="15.95" customHeight="1" x14ac:dyDescent="0.2">
      <c r="B55" s="72" t="str">
        <f>Uebersetzung!D152</f>
        <v xml:space="preserve">ventilazione per locale, imm. ed estr. </v>
      </c>
      <c r="C55" s="40"/>
      <c r="D55" s="73"/>
      <c r="E55" s="149" t="b">
        <v>1</v>
      </c>
      <c r="F55" s="96" t="b">
        <v>0</v>
      </c>
      <c r="G55" s="91">
        <v>2</v>
      </c>
      <c r="H55" s="91">
        <f>400*Min_Druck</f>
        <v>260</v>
      </c>
      <c r="I55" s="38">
        <v>11</v>
      </c>
      <c r="K55" s="40"/>
      <c r="L55" s="124" t="str">
        <f>Uebersetzung!D78</f>
        <v>imp. Sportivo -AE =</v>
      </c>
      <c r="M55" s="127">
        <v>12</v>
      </c>
      <c r="N55" s="130">
        <v>3000</v>
      </c>
      <c r="O55" s="140">
        <f>0.5*8760/N55</f>
        <v>1.46</v>
      </c>
      <c r="P55" s="137">
        <f>0.6*8760/N55</f>
        <v>1.752</v>
      </c>
      <c r="Q55" s="101">
        <v>1</v>
      </c>
      <c r="R55" s="97">
        <f t="shared" si="3"/>
        <v>3000</v>
      </c>
      <c r="S55" s="87"/>
      <c r="T55" s="101"/>
      <c r="U55" s="87">
        <v>1</v>
      </c>
      <c r="V55" s="321">
        <f t="shared" si="4"/>
        <v>3000</v>
      </c>
    </row>
    <row r="56" spans="1:25" ht="15.95" customHeight="1" x14ac:dyDescent="0.2">
      <c r="B56" s="72" t="str">
        <f>Uebersetzung!D153</f>
        <v>ricircolo con batteria risaldamento</v>
      </c>
      <c r="C56" s="40"/>
      <c r="D56" s="73"/>
      <c r="E56" s="150" t="b">
        <v>1</v>
      </c>
      <c r="F56" s="96" t="b">
        <v>1</v>
      </c>
      <c r="G56" s="91">
        <v>1</v>
      </c>
      <c r="H56" s="91">
        <f>400*Min_Druck</f>
        <v>260</v>
      </c>
      <c r="I56" s="38">
        <v>12</v>
      </c>
      <c r="K56" s="40"/>
      <c r="L56" s="124" t="str">
        <f>Uebersetzung!D79</f>
        <v>piscina coperta -AE =</v>
      </c>
      <c r="M56" s="127">
        <v>13</v>
      </c>
      <c r="N56" s="130">
        <v>3450</v>
      </c>
      <c r="O56" s="140">
        <f>0.5*8760/N56</f>
        <v>1.2695652173913043</v>
      </c>
      <c r="P56" s="137">
        <f>0.6*8760/N56</f>
        <v>1.5234782608695652</v>
      </c>
      <c r="Q56" s="101">
        <v>1</v>
      </c>
      <c r="R56" s="97">
        <f t="shared" si="3"/>
        <v>3450</v>
      </c>
      <c r="S56" s="87"/>
      <c r="T56" s="101"/>
      <c r="U56" s="87">
        <v>1</v>
      </c>
      <c r="V56" s="321">
        <f t="shared" si="4"/>
        <v>3450</v>
      </c>
    </row>
    <row r="57" spans="1:25" ht="15.95" customHeight="1" x14ac:dyDescent="0.2">
      <c r="B57" s="72" t="str">
        <f>Uebersetzung!D154</f>
        <v>ricircolo con batteria raffreddamento</v>
      </c>
      <c r="C57" s="40"/>
      <c r="D57" s="73"/>
      <c r="E57" s="149" t="b">
        <v>1</v>
      </c>
      <c r="F57" s="96" t="b">
        <v>1</v>
      </c>
      <c r="G57" s="91">
        <v>1</v>
      </c>
      <c r="H57" s="91">
        <f>450*Min_Druck</f>
        <v>292.5</v>
      </c>
      <c r="I57" s="38">
        <v>13</v>
      </c>
      <c r="K57" s="40"/>
      <c r="L57" s="124" t="str">
        <f>Uebersetzung!D80</f>
        <v>abitazione plurifamiliare</v>
      </c>
      <c r="M57" s="127">
        <v>14</v>
      </c>
      <c r="N57" s="130">
        <f>ROUND(V57/10,0)*10</f>
        <v>6130</v>
      </c>
      <c r="O57" s="140">
        <v>0.8</v>
      </c>
      <c r="P57" s="137">
        <v>1</v>
      </c>
      <c r="Q57" s="101">
        <v>0.8</v>
      </c>
      <c r="R57" s="97">
        <f t="shared" si="3"/>
        <v>6130</v>
      </c>
      <c r="S57" s="87">
        <v>6130</v>
      </c>
      <c r="T57" s="120" t="s">
        <v>336</v>
      </c>
      <c r="U57" s="87">
        <f>IF(T57="",$Y$59,VLOOKUP(T57,$X$57:$Y$59,2,FALSE))</f>
        <v>1</v>
      </c>
      <c r="V57" s="322">
        <f>S57/U57</f>
        <v>6130</v>
      </c>
      <c r="X57" s="143" t="s">
        <v>336</v>
      </c>
      <c r="Y57" s="99">
        <v>1</v>
      </c>
    </row>
    <row r="58" spans="1:25" ht="15.95" customHeight="1" x14ac:dyDescent="0.2">
      <c r="B58" s="72" t="str">
        <f>Uebersetzung!D155</f>
        <v>ricircolo con 2-3 batterie</v>
      </c>
      <c r="C58" s="40"/>
      <c r="D58" s="73"/>
      <c r="E58" s="149" t="b">
        <v>1</v>
      </c>
      <c r="F58" s="96" t="b">
        <v>1</v>
      </c>
      <c r="G58" s="91">
        <v>1</v>
      </c>
      <c r="H58" s="91">
        <f>500*Min_Druck</f>
        <v>325</v>
      </c>
      <c r="I58" s="38">
        <v>14</v>
      </c>
      <c r="K58" s="40"/>
      <c r="L58" s="124" t="str">
        <f>Uebersetzung!D81</f>
        <v>abitazione monofamiliare</v>
      </c>
      <c r="M58" s="127">
        <v>15</v>
      </c>
      <c r="N58" s="130">
        <f t="shared" ref="N58:N72" si="5">ROUND(V58/10,0)*10</f>
        <v>6130</v>
      </c>
      <c r="O58" s="140">
        <v>0.5</v>
      </c>
      <c r="P58" s="137">
        <v>0.6</v>
      </c>
      <c r="Q58" s="101">
        <v>0.8</v>
      </c>
      <c r="R58" s="97">
        <f t="shared" si="3"/>
        <v>6130</v>
      </c>
      <c r="S58" s="87">
        <v>6130</v>
      </c>
      <c r="T58" s="120" t="s">
        <v>336</v>
      </c>
      <c r="U58" s="87">
        <f t="shared" ref="U58:U72" si="6">IF(T58="",$Y$59,VLOOKUP(T58,$X$57:$Y$59,2,FALSE))</f>
        <v>1</v>
      </c>
      <c r="V58" s="322">
        <f t="shared" ref="V58:V72" si="7">S58/U58</f>
        <v>6130</v>
      </c>
      <c r="X58" s="144" t="s">
        <v>337</v>
      </c>
      <c r="Y58" s="101">
        <f>$F$81</f>
        <v>0.7</v>
      </c>
    </row>
    <row r="59" spans="1:25" ht="15.95" customHeight="1" x14ac:dyDescent="0.2">
      <c r="B59" s="72" t="str">
        <f>Uebersetzung!D156</f>
        <v>aria esterena e ricircolo senza RC</v>
      </c>
      <c r="C59" s="40"/>
      <c r="D59" s="73"/>
      <c r="E59" s="149" t="b">
        <v>0</v>
      </c>
      <c r="F59" s="96" t="b">
        <v>0</v>
      </c>
      <c r="G59" s="91">
        <v>2</v>
      </c>
      <c r="H59" s="91">
        <f>500*Min_Druck</f>
        <v>325</v>
      </c>
      <c r="I59" s="38">
        <v>15</v>
      </c>
      <c r="L59" s="124" t="str">
        <f>Uebersetzung!D82</f>
        <v>camera d'albergo</v>
      </c>
      <c r="M59" s="127">
        <v>16</v>
      </c>
      <c r="N59" s="130">
        <f t="shared" si="5"/>
        <v>4600</v>
      </c>
      <c r="O59" s="140">
        <v>1.9</v>
      </c>
      <c r="P59" s="137">
        <v>2.4</v>
      </c>
      <c r="Q59" s="101">
        <v>0.8</v>
      </c>
      <c r="R59" s="97">
        <f t="shared" si="3"/>
        <v>4600</v>
      </c>
      <c r="S59" s="87">
        <v>4600</v>
      </c>
      <c r="T59" s="120" t="s">
        <v>336</v>
      </c>
      <c r="U59" s="87">
        <f t="shared" si="6"/>
        <v>1</v>
      </c>
      <c r="V59" s="322">
        <f t="shared" si="7"/>
        <v>4600</v>
      </c>
      <c r="X59" s="135" t="s">
        <v>338</v>
      </c>
      <c r="Y59" s="102">
        <f>$F$89</f>
        <v>0.55000000000000004</v>
      </c>
    </row>
    <row r="60" spans="1:25" ht="15.95" customHeight="1" x14ac:dyDescent="0.2">
      <c r="B60" s="72" t="str">
        <f>Uebersetzung!D157</f>
        <v>aria esterena e ricircolo con RC</v>
      </c>
      <c r="C60" s="40"/>
      <c r="D60" s="73"/>
      <c r="E60" s="149" t="b">
        <v>1</v>
      </c>
      <c r="F60" s="96" t="b">
        <v>0</v>
      </c>
      <c r="G60" s="91">
        <v>2</v>
      </c>
      <c r="H60" s="146">
        <f>600*Min_Druck</f>
        <v>390</v>
      </c>
      <c r="I60" s="38">
        <v>16</v>
      </c>
      <c r="L60" s="124" t="str">
        <f>Uebersetzung!D83</f>
        <v>ricezione, lobby</v>
      </c>
      <c r="M60" s="127">
        <v>17</v>
      </c>
      <c r="N60" s="130">
        <f t="shared" si="5"/>
        <v>4010</v>
      </c>
      <c r="O60" s="140">
        <v>6</v>
      </c>
      <c r="P60" s="137">
        <v>7.2</v>
      </c>
      <c r="Q60" s="101">
        <v>0.8</v>
      </c>
      <c r="R60" s="97">
        <f t="shared" si="3"/>
        <v>4014.2857142857147</v>
      </c>
      <c r="S60" s="87">
        <v>2810</v>
      </c>
      <c r="T60" s="120" t="s">
        <v>337</v>
      </c>
      <c r="U60" s="87">
        <f t="shared" si="6"/>
        <v>0.7</v>
      </c>
      <c r="V60" s="322">
        <f t="shared" si="7"/>
        <v>4014.2857142857147</v>
      </c>
    </row>
    <row r="61" spans="1:25" ht="15.95" customHeight="1" x14ac:dyDescent="0.2">
      <c r="B61" s="72">
        <f>Uebersetzung!D158</f>
        <v>0</v>
      </c>
      <c r="C61" s="40"/>
      <c r="D61" s="73"/>
      <c r="E61" s="149"/>
      <c r="F61" s="96"/>
      <c r="G61" s="91"/>
      <c r="H61" s="146"/>
      <c r="I61" s="38">
        <v>17</v>
      </c>
      <c r="L61" s="124" t="str">
        <f>Uebersetzung!D84</f>
        <v>uffici singoli e di gruppo</v>
      </c>
      <c r="M61" s="127">
        <v>18</v>
      </c>
      <c r="N61" s="130">
        <f t="shared" si="5"/>
        <v>2700</v>
      </c>
      <c r="O61" s="140">
        <v>2.1411764705882352</v>
      </c>
      <c r="P61" s="137">
        <v>2.6</v>
      </c>
      <c r="Q61" s="101">
        <v>0.8</v>
      </c>
      <c r="R61" s="97">
        <f t="shared" si="3"/>
        <v>2700</v>
      </c>
      <c r="S61" s="87">
        <v>2700</v>
      </c>
      <c r="T61" s="120" t="s">
        <v>336</v>
      </c>
      <c r="U61" s="87">
        <f t="shared" si="6"/>
        <v>1</v>
      </c>
      <c r="V61" s="322">
        <f t="shared" si="7"/>
        <v>2700</v>
      </c>
    </row>
    <row r="62" spans="1:25" ht="15.95" customHeight="1" x14ac:dyDescent="0.2">
      <c r="B62" s="72">
        <f>Uebersetzung!D159</f>
        <v>0</v>
      </c>
      <c r="C62" s="40"/>
      <c r="D62" s="73"/>
      <c r="E62" s="149"/>
      <c r="F62" s="96"/>
      <c r="G62" s="91"/>
      <c r="H62" s="146"/>
      <c r="I62" s="38">
        <v>18</v>
      </c>
      <c r="L62" s="124" t="str">
        <f>Uebersetzung!D85</f>
        <v>uffici grandi</v>
      </c>
      <c r="M62" s="127">
        <v>19</v>
      </c>
      <c r="N62" s="130">
        <f t="shared" si="5"/>
        <v>2700</v>
      </c>
      <c r="O62" s="140">
        <v>3</v>
      </c>
      <c r="P62" s="137">
        <v>3.6</v>
      </c>
      <c r="Q62" s="101">
        <v>0.8</v>
      </c>
      <c r="R62" s="97">
        <f t="shared" si="3"/>
        <v>2700</v>
      </c>
      <c r="S62" s="87">
        <v>2700</v>
      </c>
      <c r="T62" s="120" t="s">
        <v>336</v>
      </c>
      <c r="U62" s="87">
        <f t="shared" si="6"/>
        <v>1</v>
      </c>
      <c r="V62" s="322">
        <f t="shared" si="7"/>
        <v>2700</v>
      </c>
    </row>
    <row r="63" spans="1:25" ht="15.95" customHeight="1" x14ac:dyDescent="0.2">
      <c r="B63" s="72">
        <f>Uebersetzung!D160</f>
        <v>0</v>
      </c>
      <c r="C63" s="40"/>
      <c r="D63" s="73"/>
      <c r="E63" s="96"/>
      <c r="F63" s="96"/>
      <c r="G63" s="91"/>
      <c r="H63" s="146"/>
      <c r="I63" s="38">
        <v>19</v>
      </c>
      <c r="L63" s="124" t="str">
        <f>Uebersetzung!D86</f>
        <v>sala riunioni</v>
      </c>
      <c r="M63" s="127">
        <v>20</v>
      </c>
      <c r="N63" s="130">
        <f t="shared" si="5"/>
        <v>1690</v>
      </c>
      <c r="O63" s="140">
        <v>9.6</v>
      </c>
      <c r="P63" s="137">
        <v>12</v>
      </c>
      <c r="Q63" s="101">
        <v>0.8</v>
      </c>
      <c r="R63" s="97">
        <f t="shared" si="3"/>
        <v>1690.9090909090908</v>
      </c>
      <c r="S63" s="87">
        <v>930</v>
      </c>
      <c r="T63" s="120" t="s">
        <v>338</v>
      </c>
      <c r="U63" s="87">
        <f t="shared" si="6"/>
        <v>0.55000000000000004</v>
      </c>
      <c r="V63" s="322">
        <f t="shared" si="7"/>
        <v>1690.9090909090908</v>
      </c>
    </row>
    <row r="64" spans="1:25" ht="15.95" customHeight="1" x14ac:dyDescent="0.2">
      <c r="B64" s="72">
        <f>Uebersetzung!D161</f>
        <v>0</v>
      </c>
      <c r="C64" s="40"/>
      <c r="D64" s="73"/>
      <c r="E64" s="96"/>
      <c r="F64" s="96"/>
      <c r="G64" s="91"/>
      <c r="H64" s="146"/>
      <c r="I64" s="38">
        <v>20</v>
      </c>
      <c r="L64" s="124" t="str">
        <f>Uebersetzung!D87</f>
        <v>ricezione, area clienti</v>
      </c>
      <c r="M64" s="127">
        <v>21</v>
      </c>
      <c r="N64" s="130">
        <f t="shared" si="5"/>
        <v>2700</v>
      </c>
      <c r="O64" s="140">
        <v>2.1428571428571428</v>
      </c>
      <c r="P64" s="137">
        <v>2.5</v>
      </c>
      <c r="Q64" s="101">
        <v>0.8</v>
      </c>
      <c r="R64" s="97">
        <f t="shared" si="3"/>
        <v>2700</v>
      </c>
      <c r="S64" s="87">
        <v>2700</v>
      </c>
      <c r="T64" s="120" t="s">
        <v>336</v>
      </c>
      <c r="U64" s="87">
        <f t="shared" si="6"/>
        <v>1</v>
      </c>
      <c r="V64" s="322">
        <f t="shared" si="7"/>
        <v>2700</v>
      </c>
    </row>
    <row r="65" spans="2:22" ht="15.95" customHeight="1" x14ac:dyDescent="0.2">
      <c r="B65" s="72">
        <f>Uebersetzung!D162</f>
        <v>0</v>
      </c>
      <c r="C65" s="40"/>
      <c r="D65" s="73"/>
      <c r="E65" s="96"/>
      <c r="F65" s="96"/>
      <c r="G65" s="91"/>
      <c r="H65" s="146"/>
      <c r="I65" s="38">
        <v>21</v>
      </c>
      <c r="L65" s="124" t="str">
        <f>Uebersetzung!D88</f>
        <v>aula</v>
      </c>
      <c r="M65" s="127">
        <v>22</v>
      </c>
      <c r="N65" s="130">
        <f t="shared" si="5"/>
        <v>2210</v>
      </c>
      <c r="O65" s="140">
        <v>6.25</v>
      </c>
      <c r="P65" s="137">
        <v>8.3333333333333339</v>
      </c>
      <c r="Q65" s="101">
        <v>0.8</v>
      </c>
      <c r="R65" s="97">
        <f t="shared" si="3"/>
        <v>2214.2857142857142</v>
      </c>
      <c r="S65" s="87">
        <v>1550</v>
      </c>
      <c r="T65" s="120" t="s">
        <v>337</v>
      </c>
      <c r="U65" s="87">
        <f t="shared" si="6"/>
        <v>0.7</v>
      </c>
      <c r="V65" s="322">
        <f t="shared" si="7"/>
        <v>2214.2857142857142</v>
      </c>
    </row>
    <row r="66" spans="2:22" ht="15.95" customHeight="1" x14ac:dyDescent="0.2">
      <c r="B66" s="72">
        <f>Uebersetzung!D163</f>
        <v>0</v>
      </c>
      <c r="C66" s="40"/>
      <c r="D66" s="73"/>
      <c r="E66" s="96"/>
      <c r="F66" s="96"/>
      <c r="G66" s="91"/>
      <c r="H66" s="146"/>
      <c r="I66" s="38">
        <v>22</v>
      </c>
      <c r="L66" s="124" t="str">
        <f>Uebersetzung!D89</f>
        <v>locale docenti</v>
      </c>
      <c r="M66" s="127">
        <v>23</v>
      </c>
      <c r="N66" s="130">
        <f t="shared" si="5"/>
        <v>1670</v>
      </c>
      <c r="O66" s="140">
        <v>9.6</v>
      </c>
      <c r="P66" s="137">
        <v>12</v>
      </c>
      <c r="Q66" s="101">
        <v>0.8</v>
      </c>
      <c r="R66" s="97">
        <f t="shared" si="3"/>
        <v>1672.7272727272725</v>
      </c>
      <c r="S66" s="106">
        <v>920</v>
      </c>
      <c r="T66" s="120" t="s">
        <v>338</v>
      </c>
      <c r="U66" s="87">
        <f t="shared" si="6"/>
        <v>0.55000000000000004</v>
      </c>
      <c r="V66" s="322">
        <f t="shared" si="7"/>
        <v>1672.7272727272725</v>
      </c>
    </row>
    <row r="67" spans="2:22" ht="15.95" customHeight="1" x14ac:dyDescent="0.2">
      <c r="B67" s="72">
        <f>Uebersetzung!D164</f>
        <v>0</v>
      </c>
      <c r="C67" s="40"/>
      <c r="D67" s="73"/>
      <c r="E67" s="96"/>
      <c r="F67" s="96"/>
      <c r="G67" s="91"/>
      <c r="H67" s="146"/>
      <c r="I67" s="38">
        <v>23</v>
      </c>
      <c r="L67" s="124" t="str">
        <f>Uebersetzung!D90</f>
        <v>bibioteca</v>
      </c>
      <c r="M67" s="127">
        <v>24</v>
      </c>
      <c r="N67" s="130">
        <f t="shared" si="5"/>
        <v>1370</v>
      </c>
      <c r="O67" s="140">
        <v>6</v>
      </c>
      <c r="P67" s="137">
        <v>7.2</v>
      </c>
      <c r="Q67" s="101">
        <v>0.8</v>
      </c>
      <c r="R67" s="97">
        <f t="shared" si="3"/>
        <v>1371.4285714285716</v>
      </c>
      <c r="S67" s="87">
        <v>960</v>
      </c>
      <c r="T67" s="120" t="s">
        <v>337</v>
      </c>
      <c r="U67" s="87">
        <f t="shared" si="6"/>
        <v>0.7</v>
      </c>
      <c r="V67" s="322">
        <f t="shared" si="7"/>
        <v>1371.4285714285716</v>
      </c>
    </row>
    <row r="68" spans="2:22" ht="15.95" customHeight="1" x14ac:dyDescent="0.2">
      <c r="B68" s="81">
        <f>Uebersetzung!D165</f>
        <v>0</v>
      </c>
      <c r="C68" s="76"/>
      <c r="D68" s="74"/>
      <c r="E68" s="94"/>
      <c r="F68" s="94"/>
      <c r="G68" s="92"/>
      <c r="H68" s="147"/>
      <c r="I68" s="38">
        <v>24</v>
      </c>
      <c r="L68" s="124" t="str">
        <f>Uebersetzung!D91</f>
        <v>sala conferenze</v>
      </c>
      <c r="M68" s="127">
        <v>25</v>
      </c>
      <c r="N68" s="130">
        <f t="shared" si="5"/>
        <v>2440</v>
      </c>
      <c r="O68" s="140">
        <v>12</v>
      </c>
      <c r="P68" s="137">
        <v>15</v>
      </c>
      <c r="Q68" s="101">
        <v>0.8</v>
      </c>
      <c r="R68" s="97">
        <f t="shared" si="3"/>
        <v>2436.363636363636</v>
      </c>
      <c r="S68" s="87">
        <v>1340</v>
      </c>
      <c r="T68" s="120" t="s">
        <v>338</v>
      </c>
      <c r="U68" s="87">
        <f t="shared" si="6"/>
        <v>0.55000000000000004</v>
      </c>
      <c r="V68" s="322">
        <f t="shared" si="7"/>
        <v>2436.363636363636</v>
      </c>
    </row>
    <row r="69" spans="2:22" ht="15.95" customHeight="1" x14ac:dyDescent="0.2">
      <c r="H69" s="112"/>
      <c r="I69" s="46"/>
      <c r="L69" s="124" t="str">
        <f>Uebersetzung!D92</f>
        <v>aula speciale</v>
      </c>
      <c r="M69" s="127">
        <v>26</v>
      </c>
      <c r="N69" s="130">
        <f t="shared" si="5"/>
        <v>2210</v>
      </c>
      <c r="O69" s="140">
        <v>4.8</v>
      </c>
      <c r="P69" s="137">
        <v>6</v>
      </c>
      <c r="Q69" s="101">
        <v>0.8</v>
      </c>
      <c r="R69" s="97">
        <f t="shared" si="3"/>
        <v>2214.2857142857142</v>
      </c>
      <c r="S69" s="87">
        <v>1550</v>
      </c>
      <c r="T69" s="120" t="s">
        <v>337</v>
      </c>
      <c r="U69" s="87">
        <f t="shared" si="6"/>
        <v>0.7</v>
      </c>
      <c r="V69" s="322">
        <f t="shared" si="7"/>
        <v>2214.2857142857142</v>
      </c>
    </row>
    <row r="70" spans="2:22" ht="15.95" customHeight="1" x14ac:dyDescent="0.2">
      <c r="H70" s="112"/>
      <c r="I70" s="46"/>
      <c r="L70" s="124" t="str">
        <f>Uebersetzung!D93</f>
        <v>negozio di alimentari</v>
      </c>
      <c r="M70" s="127">
        <v>27</v>
      </c>
      <c r="N70" s="130">
        <f>ROUND(V70/10,0)*10</f>
        <v>3760</v>
      </c>
      <c r="O70" s="140">
        <v>3</v>
      </c>
      <c r="P70" s="137">
        <v>3.8</v>
      </c>
      <c r="Q70" s="101">
        <v>0.8</v>
      </c>
      <c r="R70" s="97">
        <f>V70</f>
        <v>3760</v>
      </c>
      <c r="S70" s="87">
        <v>3760</v>
      </c>
      <c r="T70" s="120" t="s">
        <v>336</v>
      </c>
      <c r="U70" s="87">
        <f t="shared" si="6"/>
        <v>1</v>
      </c>
      <c r="V70" s="322">
        <f t="shared" si="7"/>
        <v>3760</v>
      </c>
    </row>
    <row r="71" spans="2:22" ht="15.95" customHeight="1" x14ac:dyDescent="0.2">
      <c r="H71" s="112"/>
      <c r="I71" s="46"/>
      <c r="L71" s="124" t="str">
        <f>Uebersetzung!D94</f>
        <v>negozi specializzati e grandi magazzini</v>
      </c>
      <c r="M71" s="127">
        <v>28</v>
      </c>
      <c r="N71" s="130">
        <f t="shared" si="5"/>
        <v>3760</v>
      </c>
      <c r="O71" s="140">
        <v>3</v>
      </c>
      <c r="P71" s="137">
        <v>3.8</v>
      </c>
      <c r="Q71" s="101">
        <v>0.8</v>
      </c>
      <c r="R71" s="97">
        <f t="shared" si="3"/>
        <v>3760</v>
      </c>
      <c r="S71" s="87">
        <v>3760</v>
      </c>
      <c r="T71" s="120" t="s">
        <v>336</v>
      </c>
      <c r="U71" s="87">
        <f t="shared" si="6"/>
        <v>1</v>
      </c>
      <c r="V71" s="322">
        <f t="shared" si="7"/>
        <v>3760</v>
      </c>
    </row>
    <row r="72" spans="2:22" ht="15.95" customHeight="1" x14ac:dyDescent="0.25">
      <c r="B72" s="78" t="s">
        <v>123</v>
      </c>
      <c r="C72" s="68"/>
      <c r="D72" s="165"/>
      <c r="E72" s="236" t="s">
        <v>142</v>
      </c>
      <c r="F72" s="235" t="s">
        <v>171</v>
      </c>
      <c r="G72" s="349" t="s">
        <v>367</v>
      </c>
      <c r="H72" s="237"/>
      <c r="L72" s="124" t="str">
        <f>Uebersetzung!D95</f>
        <v>negozio (mobilia, costruzione, giardino)</v>
      </c>
      <c r="M72" s="127">
        <v>29</v>
      </c>
      <c r="N72" s="130">
        <f t="shared" si="5"/>
        <v>3510</v>
      </c>
      <c r="O72" s="140">
        <v>1.6666666666666667</v>
      </c>
      <c r="P72" s="137">
        <v>2</v>
      </c>
      <c r="Q72" s="101">
        <v>0.8</v>
      </c>
      <c r="R72" s="97">
        <f t="shared" si="3"/>
        <v>3510</v>
      </c>
      <c r="S72" s="87">
        <v>3510</v>
      </c>
      <c r="T72" s="120" t="s">
        <v>336</v>
      </c>
      <c r="U72" s="87">
        <f t="shared" si="6"/>
        <v>1</v>
      </c>
      <c r="V72" s="322">
        <f t="shared" si="7"/>
        <v>3510</v>
      </c>
    </row>
    <row r="73" spans="2:22" ht="15.95" customHeight="1" x14ac:dyDescent="0.2">
      <c r="B73" s="70"/>
      <c r="C73" s="82"/>
      <c r="D73" s="83"/>
      <c r="E73" s="170" t="s">
        <v>135</v>
      </c>
      <c r="F73" s="143" t="s">
        <v>135</v>
      </c>
      <c r="G73" s="119" t="s">
        <v>363</v>
      </c>
      <c r="H73" s="91"/>
      <c r="L73" s="124" t="str">
        <f>Uebersetzung!D96</f>
        <v>ristorante</v>
      </c>
      <c r="M73" s="127">
        <v>30</v>
      </c>
      <c r="N73" s="130">
        <f t="shared" ref="N73:N99" si="8">ROUND(V73/10,0)*10</f>
        <v>2820</v>
      </c>
      <c r="O73" s="140">
        <v>15</v>
      </c>
      <c r="P73" s="137">
        <v>18</v>
      </c>
      <c r="Q73" s="101">
        <v>0.8</v>
      </c>
      <c r="R73" s="97">
        <f t="shared" ref="R73:R99" si="9">V73</f>
        <v>2818.181818181818</v>
      </c>
      <c r="S73" s="87">
        <v>1550</v>
      </c>
      <c r="T73" s="120" t="s">
        <v>338</v>
      </c>
      <c r="U73" s="87">
        <f t="shared" ref="U73:U99" si="10">IF(T73="",$Y$59,VLOOKUP(T73,$X$57:$Y$59,2,FALSE))</f>
        <v>0.55000000000000004</v>
      </c>
      <c r="V73" s="322">
        <f t="shared" ref="V73:V99" si="11">S73/U73</f>
        <v>2818.181818181818</v>
      </c>
    </row>
    <row r="74" spans="2:22" ht="15.95" customHeight="1" x14ac:dyDescent="0.2">
      <c r="B74" s="81"/>
      <c r="C74" s="76"/>
      <c r="D74" s="77"/>
      <c r="E74" s="350" t="s">
        <v>368</v>
      </c>
      <c r="F74" s="350" t="s">
        <v>368</v>
      </c>
      <c r="G74" s="339" t="s">
        <v>364</v>
      </c>
      <c r="H74" s="92"/>
      <c r="L74" s="124" t="str">
        <f>Uebersetzung!D97</f>
        <v>ristorante self service</v>
      </c>
      <c r="M74" s="127">
        <v>31</v>
      </c>
      <c r="N74" s="130">
        <f t="shared" si="8"/>
        <v>1380</v>
      </c>
      <c r="O74" s="140">
        <v>15</v>
      </c>
      <c r="P74" s="137">
        <v>18</v>
      </c>
      <c r="Q74" s="101">
        <v>0.8</v>
      </c>
      <c r="R74" s="97">
        <f t="shared" si="9"/>
        <v>1381.8181818181818</v>
      </c>
      <c r="S74" s="87">
        <v>760</v>
      </c>
      <c r="T74" s="120" t="s">
        <v>338</v>
      </c>
      <c r="U74" s="87">
        <f t="shared" si="10"/>
        <v>0.55000000000000004</v>
      </c>
      <c r="V74" s="322">
        <f t="shared" si="11"/>
        <v>1381.8181818181818</v>
      </c>
    </row>
    <row r="75" spans="2:22" ht="15.95" customHeight="1" x14ac:dyDescent="0.2">
      <c r="B75" s="87"/>
      <c r="C75" s="40"/>
      <c r="D75" s="75"/>
      <c r="E75" s="87"/>
      <c r="F75" s="90">
        <v>1</v>
      </c>
      <c r="G75" s="90">
        <v>1</v>
      </c>
      <c r="H75" s="91"/>
      <c r="I75" s="167">
        <v>1</v>
      </c>
      <c r="L75" s="124" t="str">
        <f>Uebersetzung!D98</f>
        <v>cucina ristorante</v>
      </c>
      <c r="M75" s="127">
        <v>32</v>
      </c>
      <c r="N75" s="130">
        <f t="shared" si="8"/>
        <v>3930</v>
      </c>
      <c r="O75" s="140">
        <v>16</v>
      </c>
      <c r="P75" s="137">
        <v>20</v>
      </c>
      <c r="Q75" s="101">
        <v>0.8</v>
      </c>
      <c r="R75" s="97">
        <f t="shared" si="9"/>
        <v>3927.272727272727</v>
      </c>
      <c r="S75" s="87">
        <v>2160</v>
      </c>
      <c r="T75" s="120" t="s">
        <v>338</v>
      </c>
      <c r="U75" s="87">
        <f t="shared" si="10"/>
        <v>0.55000000000000004</v>
      </c>
      <c r="V75" s="322">
        <f t="shared" si="11"/>
        <v>3927.272727272727</v>
      </c>
    </row>
    <row r="76" spans="2:22" ht="15.95" customHeight="1" x14ac:dyDescent="0.2">
      <c r="B76" s="148" t="str">
        <f>Uebersetzung!D38</f>
        <v>a uno stadio</v>
      </c>
      <c r="C76" s="40"/>
      <c r="D76" s="75"/>
      <c r="E76" s="106">
        <f>F76</f>
        <v>1</v>
      </c>
      <c r="F76" s="144">
        <v>1</v>
      </c>
      <c r="G76" s="152">
        <v>1</v>
      </c>
      <c r="H76" s="91"/>
      <c r="I76" s="167">
        <v>2</v>
      </c>
      <c r="L76" s="124" t="str">
        <f>Uebersetzung!D99</f>
        <v>cucina ristorante self service</v>
      </c>
      <c r="M76" s="127">
        <v>33</v>
      </c>
      <c r="N76" s="130">
        <f t="shared" si="8"/>
        <v>2250</v>
      </c>
      <c r="O76" s="140">
        <v>16</v>
      </c>
      <c r="P76" s="137">
        <v>20</v>
      </c>
      <c r="Q76" s="101">
        <v>0.8</v>
      </c>
      <c r="R76" s="97">
        <f t="shared" si="9"/>
        <v>2254.5454545454545</v>
      </c>
      <c r="S76" s="87">
        <v>1240</v>
      </c>
      <c r="T76" s="120" t="s">
        <v>338</v>
      </c>
      <c r="U76" s="87">
        <f t="shared" si="10"/>
        <v>0.55000000000000004</v>
      </c>
      <c r="V76" s="322">
        <f t="shared" si="11"/>
        <v>2254.5454545454545</v>
      </c>
    </row>
    <row r="77" spans="2:22" ht="15.95" customHeight="1" x14ac:dyDescent="0.2">
      <c r="B77" s="148" t="str">
        <f>Uebersetzung!D39</f>
        <v>a uno stadio con temporizzatore</v>
      </c>
      <c r="C77" s="40"/>
      <c r="D77" s="75"/>
      <c r="E77" s="106">
        <f t="shared" ref="E77:E90" si="12">F77</f>
        <v>1</v>
      </c>
      <c r="F77" s="91">
        <v>1</v>
      </c>
      <c r="G77" s="152">
        <v>1</v>
      </c>
      <c r="H77" s="91"/>
      <c r="I77" s="167">
        <v>3</v>
      </c>
      <c r="L77" s="124" t="str">
        <f>Uebersetzung!D100</f>
        <v>sala teatro</v>
      </c>
      <c r="M77" s="127">
        <v>34</v>
      </c>
      <c r="N77" s="130">
        <f t="shared" si="8"/>
        <v>3310</v>
      </c>
      <c r="O77" s="140">
        <v>9.6</v>
      </c>
      <c r="P77" s="137">
        <v>12</v>
      </c>
      <c r="Q77" s="101">
        <v>0.8</v>
      </c>
      <c r="R77" s="97">
        <f t="shared" si="9"/>
        <v>3309.090909090909</v>
      </c>
      <c r="S77" s="87">
        <v>1820</v>
      </c>
      <c r="T77" s="120" t="s">
        <v>338</v>
      </c>
      <c r="U77" s="87">
        <f t="shared" si="10"/>
        <v>0.55000000000000004</v>
      </c>
      <c r="V77" s="322">
        <f t="shared" si="11"/>
        <v>3309.090909090909</v>
      </c>
    </row>
    <row r="78" spans="2:22" ht="15.95" customHeight="1" x14ac:dyDescent="0.2">
      <c r="B78" s="148" t="str">
        <f>Uebersetzung!D40</f>
        <v>a uno stadio basato sulla necessità</v>
      </c>
      <c r="C78" s="40"/>
      <c r="D78" s="118"/>
      <c r="E78" s="106">
        <f t="shared" si="12"/>
        <v>0.9</v>
      </c>
      <c r="F78" s="91">
        <v>0.9</v>
      </c>
      <c r="G78" s="152">
        <v>1</v>
      </c>
      <c r="H78" s="91"/>
      <c r="I78" s="167">
        <v>4</v>
      </c>
      <c r="L78" s="124" t="str">
        <f>Uebersetzung!D101</f>
        <v>sala multiuso</v>
      </c>
      <c r="M78" s="127">
        <v>35</v>
      </c>
      <c r="N78" s="130">
        <f t="shared" si="8"/>
        <v>4690</v>
      </c>
      <c r="O78" s="140">
        <v>9.6</v>
      </c>
      <c r="P78" s="137">
        <v>12</v>
      </c>
      <c r="Q78" s="101">
        <v>0.8</v>
      </c>
      <c r="R78" s="97">
        <f t="shared" si="9"/>
        <v>4690.9090909090901</v>
      </c>
      <c r="S78" s="87">
        <v>2580</v>
      </c>
      <c r="T78" s="120" t="s">
        <v>338</v>
      </c>
      <c r="U78" s="87">
        <f t="shared" si="10"/>
        <v>0.55000000000000004</v>
      </c>
      <c r="V78" s="322">
        <f t="shared" si="11"/>
        <v>4690.9090909090901</v>
      </c>
    </row>
    <row r="79" spans="2:22" ht="15.95" customHeight="1" x14ac:dyDescent="0.2">
      <c r="B79" s="148" t="str">
        <f>Uebersetzung!D41</f>
        <v>a due stadi</v>
      </c>
      <c r="C79" s="40"/>
      <c r="D79" s="75"/>
      <c r="E79" s="106">
        <f t="shared" si="12"/>
        <v>0.8</v>
      </c>
      <c r="F79" s="91">
        <v>0.8</v>
      </c>
      <c r="G79" s="152">
        <v>0.9</v>
      </c>
      <c r="H79" s="91"/>
      <c r="I79" s="167">
        <v>5</v>
      </c>
      <c r="L79" s="124" t="str">
        <f>Uebersetzung!D102</f>
        <v>sala espositiva</v>
      </c>
      <c r="M79" s="127">
        <v>36</v>
      </c>
      <c r="N79" s="130">
        <f t="shared" si="8"/>
        <v>4690</v>
      </c>
      <c r="O79" s="140">
        <v>9.6</v>
      </c>
      <c r="P79" s="137">
        <v>12</v>
      </c>
      <c r="Q79" s="101">
        <v>0.8</v>
      </c>
      <c r="R79" s="97">
        <f t="shared" si="9"/>
        <v>4690.9090909090901</v>
      </c>
      <c r="S79" s="87">
        <v>2580</v>
      </c>
      <c r="T79" s="120" t="s">
        <v>338</v>
      </c>
      <c r="U79" s="87">
        <f t="shared" si="10"/>
        <v>0.55000000000000004</v>
      </c>
      <c r="V79" s="322">
        <f t="shared" si="11"/>
        <v>4690.9090909090901</v>
      </c>
    </row>
    <row r="80" spans="2:22" ht="15.95" customHeight="1" x14ac:dyDescent="0.2">
      <c r="B80" s="148" t="str">
        <f>Uebersetzung!D42</f>
        <v>a due stadi con temporizzatore</v>
      </c>
      <c r="C80" s="40"/>
      <c r="D80" s="75"/>
      <c r="E80" s="106">
        <f t="shared" si="12"/>
        <v>0.8</v>
      </c>
      <c r="F80" s="91">
        <v>0.8</v>
      </c>
      <c r="G80" s="152">
        <v>0.9</v>
      </c>
      <c r="H80" s="91"/>
      <c r="I80" s="167">
        <v>6</v>
      </c>
      <c r="L80" s="124" t="str">
        <f>Uebersetzung!D103</f>
        <v>camera d'ospedale</v>
      </c>
      <c r="M80" s="127">
        <v>37</v>
      </c>
      <c r="N80" s="130">
        <f t="shared" si="8"/>
        <v>7010</v>
      </c>
      <c r="O80" s="140">
        <v>2</v>
      </c>
      <c r="P80" s="137">
        <v>2.4</v>
      </c>
      <c r="Q80" s="101">
        <v>0.8</v>
      </c>
      <c r="R80" s="97">
        <f t="shared" si="9"/>
        <v>7010</v>
      </c>
      <c r="S80" s="87">
        <v>7010</v>
      </c>
      <c r="T80" s="120" t="s">
        <v>336</v>
      </c>
      <c r="U80" s="87">
        <f t="shared" si="10"/>
        <v>1</v>
      </c>
      <c r="V80" s="322">
        <f t="shared" si="11"/>
        <v>7010</v>
      </c>
    </row>
    <row r="81" spans="2:22" ht="15.95" customHeight="1" x14ac:dyDescent="0.2">
      <c r="B81" s="148" t="str">
        <f>Uebersetzung!D43</f>
        <v>a due stadi basato sulla necessità</v>
      </c>
      <c r="C81" s="40"/>
      <c r="D81" s="75"/>
      <c r="E81" s="106">
        <f t="shared" si="12"/>
        <v>0.7</v>
      </c>
      <c r="F81" s="91">
        <v>0.7</v>
      </c>
      <c r="G81" s="152">
        <v>0.9</v>
      </c>
      <c r="H81" s="91"/>
      <c r="I81" s="167">
        <v>7</v>
      </c>
      <c r="L81" s="124" t="str">
        <f>Uebersetzung!D104</f>
        <v>ripostiglio</v>
      </c>
      <c r="M81" s="127">
        <v>38</v>
      </c>
      <c r="N81" s="130">
        <f t="shared" si="8"/>
        <v>5310</v>
      </c>
      <c r="O81" s="140">
        <v>9.6</v>
      </c>
      <c r="P81" s="137">
        <v>12</v>
      </c>
      <c r="Q81" s="101">
        <v>0.8</v>
      </c>
      <c r="R81" s="97">
        <f t="shared" si="9"/>
        <v>5309.090909090909</v>
      </c>
      <c r="S81" s="87">
        <v>2920</v>
      </c>
      <c r="T81" s="120" t="s">
        <v>338</v>
      </c>
      <c r="U81" s="87">
        <f t="shared" si="10"/>
        <v>0.55000000000000004</v>
      </c>
      <c r="V81" s="322">
        <f t="shared" si="11"/>
        <v>5309.090909090909</v>
      </c>
    </row>
    <row r="82" spans="2:22" ht="15.95" customHeight="1" x14ac:dyDescent="0.2">
      <c r="B82" s="148" t="str">
        <f>Uebersetzung!D44</f>
        <v>a tre stadi</v>
      </c>
      <c r="C82" s="40"/>
      <c r="D82" s="75"/>
      <c r="E82" s="106">
        <f t="shared" si="12"/>
        <v>0.8</v>
      </c>
      <c r="F82" s="91">
        <v>0.8</v>
      </c>
      <c r="G82" s="152">
        <v>0.85</v>
      </c>
      <c r="H82" s="91"/>
      <c r="I82" s="167">
        <v>8</v>
      </c>
      <c r="L82" s="124" t="str">
        <f>Uebersetzung!D105</f>
        <v>sala trattamento</v>
      </c>
      <c r="M82" s="127">
        <v>39</v>
      </c>
      <c r="N82" s="130">
        <f t="shared" si="8"/>
        <v>2800</v>
      </c>
      <c r="O82" s="140">
        <v>6</v>
      </c>
      <c r="P82" s="137">
        <v>7.2</v>
      </c>
      <c r="Q82" s="101">
        <v>0.8</v>
      </c>
      <c r="R82" s="97">
        <f t="shared" si="9"/>
        <v>2800</v>
      </c>
      <c r="S82" s="87">
        <v>1960</v>
      </c>
      <c r="T82" s="120" t="s">
        <v>337</v>
      </c>
      <c r="U82" s="87">
        <f t="shared" si="10"/>
        <v>0.7</v>
      </c>
      <c r="V82" s="322">
        <f t="shared" si="11"/>
        <v>2800</v>
      </c>
    </row>
    <row r="83" spans="2:22" ht="15.95" customHeight="1" x14ac:dyDescent="0.2">
      <c r="B83" s="148" t="str">
        <f>Uebersetzung!D45</f>
        <v>a tre stadi con temporizzatore</v>
      </c>
      <c r="C83" s="40"/>
      <c r="D83" s="75"/>
      <c r="E83" s="106">
        <f t="shared" si="12"/>
        <v>0.8</v>
      </c>
      <c r="F83" s="91">
        <v>0.8</v>
      </c>
      <c r="G83" s="152">
        <v>0.85</v>
      </c>
      <c r="H83" s="91"/>
      <c r="I83" s="167">
        <v>9</v>
      </c>
      <c r="L83" s="124" t="str">
        <f>Uebersetzung!D106</f>
        <v>produzione (lavoro grosso)</v>
      </c>
      <c r="M83" s="127">
        <v>40</v>
      </c>
      <c r="N83" s="130">
        <f t="shared" si="8"/>
        <v>4630</v>
      </c>
      <c r="O83" s="140">
        <v>8.3333333333333339</v>
      </c>
      <c r="P83" s="137">
        <v>10</v>
      </c>
      <c r="Q83" s="101">
        <v>0.8</v>
      </c>
      <c r="R83" s="97">
        <f t="shared" si="9"/>
        <v>4628.5714285714284</v>
      </c>
      <c r="S83" s="87">
        <v>3240</v>
      </c>
      <c r="T83" s="120" t="s">
        <v>337</v>
      </c>
      <c r="U83" s="87">
        <f t="shared" si="10"/>
        <v>0.7</v>
      </c>
      <c r="V83" s="322">
        <f t="shared" si="11"/>
        <v>4628.5714285714284</v>
      </c>
    </row>
    <row r="84" spans="2:22" ht="15.95" customHeight="1" x14ac:dyDescent="0.2">
      <c r="B84" s="148" t="str">
        <f>Uebersetzung!D46</f>
        <v>a tre stadi basato sulla necessità</v>
      </c>
      <c r="C84" s="40"/>
      <c r="D84" s="73"/>
      <c r="E84" s="106">
        <f t="shared" si="12"/>
        <v>0.7</v>
      </c>
      <c r="F84" s="91">
        <v>0.7</v>
      </c>
      <c r="G84" s="152">
        <v>0.85</v>
      </c>
      <c r="H84" s="91"/>
      <c r="I84" s="167">
        <v>10</v>
      </c>
      <c r="L84" s="124" t="str">
        <f>Uebersetzung!D107</f>
        <v>produzione (lavoro fine)</v>
      </c>
      <c r="M84" s="127">
        <v>41</v>
      </c>
      <c r="N84" s="130">
        <f t="shared" si="8"/>
        <v>2330</v>
      </c>
      <c r="O84" s="140">
        <v>8.3333333333333339</v>
      </c>
      <c r="P84" s="137">
        <v>10</v>
      </c>
      <c r="Q84" s="101">
        <v>0.8</v>
      </c>
      <c r="R84" s="97">
        <f t="shared" si="9"/>
        <v>2328.5714285714289</v>
      </c>
      <c r="S84" s="87">
        <v>1630</v>
      </c>
      <c r="T84" s="120" t="s">
        <v>337</v>
      </c>
      <c r="U84" s="87">
        <f t="shared" si="10"/>
        <v>0.7</v>
      </c>
      <c r="V84" s="322">
        <f t="shared" si="11"/>
        <v>2328.5714285714289</v>
      </c>
    </row>
    <row r="85" spans="2:22" ht="15.95" customHeight="1" x14ac:dyDescent="0.2">
      <c r="B85" s="148" t="str">
        <f>Uebersetzung!D47</f>
        <v>sensore temperatura</v>
      </c>
      <c r="C85" s="40"/>
      <c r="D85" s="73"/>
      <c r="E85" s="106">
        <f t="shared" si="12"/>
        <v>0.75</v>
      </c>
      <c r="F85" s="91">
        <v>0.75</v>
      </c>
      <c r="G85" s="152">
        <v>0.85</v>
      </c>
      <c r="H85" s="91"/>
      <c r="I85" s="167">
        <v>11</v>
      </c>
      <c r="L85" s="124" t="str">
        <f>Uebersetzung!D108</f>
        <v>Laboratorio</v>
      </c>
      <c r="M85" s="127">
        <v>42</v>
      </c>
      <c r="N85" s="130">
        <f t="shared" si="8"/>
        <v>2670</v>
      </c>
      <c r="O85" s="333">
        <v>16</v>
      </c>
      <c r="P85" s="332">
        <v>20</v>
      </c>
      <c r="Q85" s="101">
        <v>0.8</v>
      </c>
      <c r="R85" s="97">
        <f t="shared" si="9"/>
        <v>2672.7272727272725</v>
      </c>
      <c r="S85" s="84">
        <v>1470</v>
      </c>
      <c r="T85" s="120" t="s">
        <v>338</v>
      </c>
      <c r="U85" s="87">
        <f t="shared" si="10"/>
        <v>0.55000000000000004</v>
      </c>
      <c r="V85" s="322">
        <f t="shared" si="11"/>
        <v>2672.7272727272725</v>
      </c>
    </row>
    <row r="86" spans="2:22" ht="15.95" customHeight="1" x14ac:dyDescent="0.2">
      <c r="B86" s="148" t="str">
        <f>Uebersetzung!D48</f>
        <v>sensore temperatura e CO2 per zona</v>
      </c>
      <c r="C86" s="40"/>
      <c r="D86" s="73"/>
      <c r="E86" s="106">
        <f t="shared" si="12"/>
        <v>0.7</v>
      </c>
      <c r="F86" s="91">
        <v>0.7</v>
      </c>
      <c r="G86" s="152">
        <v>0.85</v>
      </c>
      <c r="H86" s="91"/>
      <c r="I86" s="167">
        <v>12</v>
      </c>
      <c r="L86" s="124" t="str">
        <f>Uebersetzung!D109</f>
        <v>magazzino</v>
      </c>
      <c r="M86" s="127">
        <v>43</v>
      </c>
      <c r="N86" s="130">
        <f t="shared" si="8"/>
        <v>4990</v>
      </c>
      <c r="O86" s="140">
        <v>1</v>
      </c>
      <c r="P86" s="137">
        <v>1.5</v>
      </c>
      <c r="Q86" s="101">
        <v>0.8</v>
      </c>
      <c r="R86" s="97">
        <f t="shared" si="9"/>
        <v>4990</v>
      </c>
      <c r="S86" s="87">
        <v>4990</v>
      </c>
      <c r="T86" s="120" t="s">
        <v>336</v>
      </c>
      <c r="U86" s="87">
        <f t="shared" si="10"/>
        <v>1</v>
      </c>
      <c r="V86" s="322">
        <f t="shared" si="11"/>
        <v>4990</v>
      </c>
    </row>
    <row r="87" spans="2:22" ht="15.95" customHeight="1" x14ac:dyDescent="0.2">
      <c r="B87" s="148" t="str">
        <f>Uebersetzung!D49</f>
        <v>sensore temperatura e CO2 per locale</v>
      </c>
      <c r="C87" s="40"/>
      <c r="D87" s="73"/>
      <c r="E87" s="106">
        <f t="shared" si="12"/>
        <v>0.65</v>
      </c>
      <c r="F87" s="91">
        <v>0.65</v>
      </c>
      <c r="G87" s="152">
        <v>0.85</v>
      </c>
      <c r="H87" s="91"/>
      <c r="I87" s="167">
        <v>13</v>
      </c>
      <c r="L87" s="124" t="str">
        <f>Uebersetzung!D110</f>
        <v>palestra</v>
      </c>
      <c r="M87" s="127">
        <v>44</v>
      </c>
      <c r="N87" s="130">
        <f t="shared" si="8"/>
        <v>3300</v>
      </c>
      <c r="O87" s="140">
        <v>3.6</v>
      </c>
      <c r="P87" s="137">
        <v>4.5</v>
      </c>
      <c r="Q87" s="101">
        <v>0.8</v>
      </c>
      <c r="R87" s="97">
        <f t="shared" si="9"/>
        <v>3300</v>
      </c>
      <c r="S87" s="87">
        <v>3300</v>
      </c>
      <c r="T87" s="120" t="s">
        <v>336</v>
      </c>
      <c r="U87" s="87">
        <f t="shared" si="10"/>
        <v>1</v>
      </c>
      <c r="V87" s="322">
        <f t="shared" si="11"/>
        <v>3300</v>
      </c>
    </row>
    <row r="88" spans="2:22" ht="15.95" customHeight="1" x14ac:dyDescent="0.2">
      <c r="B88" s="148" t="str">
        <f>Uebersetzung!D50</f>
        <v>sensore solo CO2 per zona</v>
      </c>
      <c r="C88" s="40"/>
      <c r="D88" s="73"/>
      <c r="E88" s="106">
        <f t="shared" si="12"/>
        <v>0.6</v>
      </c>
      <c r="F88" s="91">
        <v>0.6</v>
      </c>
      <c r="G88" s="152">
        <v>0.8</v>
      </c>
      <c r="H88" s="91"/>
      <c r="I88" s="167">
        <v>14</v>
      </c>
      <c r="L88" s="124" t="str">
        <f>Uebersetzung!D111</f>
        <v>sala fitness</v>
      </c>
      <c r="M88" s="127">
        <v>45</v>
      </c>
      <c r="N88" s="130">
        <f t="shared" si="8"/>
        <v>4810</v>
      </c>
      <c r="O88" s="140">
        <v>7</v>
      </c>
      <c r="P88" s="137">
        <v>9</v>
      </c>
      <c r="Q88" s="101">
        <v>0.8</v>
      </c>
      <c r="R88" s="97">
        <f t="shared" si="9"/>
        <v>4814.2857142857147</v>
      </c>
      <c r="S88" s="87">
        <v>3370</v>
      </c>
      <c r="T88" s="120" t="s">
        <v>337</v>
      </c>
      <c r="U88" s="87">
        <f t="shared" si="10"/>
        <v>0.7</v>
      </c>
      <c r="V88" s="322">
        <f t="shared" si="11"/>
        <v>4814.2857142857147</v>
      </c>
    </row>
    <row r="89" spans="2:22" ht="15.95" customHeight="1" x14ac:dyDescent="0.2">
      <c r="B89" s="148" t="str">
        <f>Uebersetzung!D51</f>
        <v>sensore solo CO2 per locale</v>
      </c>
      <c r="C89" s="40"/>
      <c r="D89" s="73"/>
      <c r="E89" s="106">
        <f t="shared" si="12"/>
        <v>0.55000000000000004</v>
      </c>
      <c r="F89" s="91">
        <v>0.55000000000000004</v>
      </c>
      <c r="G89" s="152">
        <v>0.8</v>
      </c>
      <c r="H89" s="91"/>
      <c r="I89" s="167">
        <v>15</v>
      </c>
      <c r="L89" s="124" t="str">
        <f>Uebersetzung!D112</f>
        <v>piscina</v>
      </c>
      <c r="M89" s="127">
        <v>46</v>
      </c>
      <c r="N89" s="130">
        <f t="shared" si="8"/>
        <v>4510</v>
      </c>
      <c r="O89" s="140">
        <v>3</v>
      </c>
      <c r="P89" s="137">
        <v>3.6</v>
      </c>
      <c r="Q89" s="101">
        <v>0.8</v>
      </c>
      <c r="R89" s="97">
        <f t="shared" si="9"/>
        <v>4510</v>
      </c>
      <c r="S89" s="87">
        <v>4510</v>
      </c>
      <c r="T89" s="120" t="s">
        <v>336</v>
      </c>
      <c r="U89" s="87">
        <f t="shared" si="10"/>
        <v>1</v>
      </c>
      <c r="V89" s="322">
        <f t="shared" si="11"/>
        <v>4510</v>
      </c>
    </row>
    <row r="90" spans="2:22" ht="15.95" customHeight="1" x14ac:dyDescent="0.2">
      <c r="B90" s="279">
        <f>Uebersetzung!D52</f>
        <v>0</v>
      </c>
      <c r="C90" s="76"/>
      <c r="D90" s="74"/>
      <c r="E90" s="135">
        <f t="shared" si="12"/>
        <v>1</v>
      </c>
      <c r="F90" s="92">
        <v>1</v>
      </c>
      <c r="G90" s="153">
        <v>1</v>
      </c>
      <c r="H90" s="92"/>
      <c r="I90" s="167">
        <v>16</v>
      </c>
      <c r="L90" s="124" t="str">
        <f>Uebersetzung!D113</f>
        <v>superficie di circolazione</v>
      </c>
      <c r="M90" s="127">
        <v>47</v>
      </c>
      <c r="N90" s="130">
        <f t="shared" si="8"/>
        <v>3120</v>
      </c>
      <c r="O90" s="140">
        <v>1.6</v>
      </c>
      <c r="P90" s="137">
        <v>2</v>
      </c>
      <c r="Q90" s="101">
        <v>0.8</v>
      </c>
      <c r="R90" s="97">
        <f t="shared" si="9"/>
        <v>3120</v>
      </c>
      <c r="S90" s="87">
        <v>3120</v>
      </c>
      <c r="T90" s="120" t="s">
        <v>336</v>
      </c>
      <c r="U90" s="87">
        <f t="shared" si="10"/>
        <v>1</v>
      </c>
      <c r="V90" s="322">
        <f t="shared" si="11"/>
        <v>3120</v>
      </c>
    </row>
    <row r="91" spans="2:22" ht="15.95" customHeight="1" x14ac:dyDescent="0.2">
      <c r="L91" s="124" t="str">
        <f>Uebersetzung!D114</f>
        <v>superficie di circolazione 24h</v>
      </c>
      <c r="M91" s="127">
        <v>48</v>
      </c>
      <c r="N91" s="334">
        <f t="shared" si="8"/>
        <v>4990</v>
      </c>
      <c r="O91" s="140">
        <v>1.6</v>
      </c>
      <c r="P91" s="332">
        <v>2</v>
      </c>
      <c r="Q91" s="101">
        <v>0.8</v>
      </c>
      <c r="R91" s="97">
        <f t="shared" si="9"/>
        <v>4990</v>
      </c>
      <c r="S91" s="87">
        <v>4990</v>
      </c>
      <c r="T91" s="120" t="s">
        <v>336</v>
      </c>
      <c r="U91" s="87">
        <f t="shared" si="10"/>
        <v>1</v>
      </c>
      <c r="V91" s="322">
        <f t="shared" si="11"/>
        <v>4990</v>
      </c>
    </row>
    <row r="92" spans="2:22" ht="15.95" customHeight="1" x14ac:dyDescent="0.2">
      <c r="L92" s="124" t="str">
        <f>Uebersetzung!D115</f>
        <v>locale annesso</v>
      </c>
      <c r="M92" s="127">
        <v>49</v>
      </c>
      <c r="N92" s="130">
        <f t="shared" si="8"/>
        <v>3120</v>
      </c>
      <c r="O92" s="140">
        <v>0.4</v>
      </c>
      <c r="P92" s="137">
        <v>0.5</v>
      </c>
      <c r="Q92" s="101">
        <v>0.8</v>
      </c>
      <c r="R92" s="97">
        <f t="shared" si="9"/>
        <v>3120</v>
      </c>
      <c r="S92" s="87">
        <v>3120</v>
      </c>
      <c r="T92" s="120" t="s">
        <v>336</v>
      </c>
      <c r="U92" s="87">
        <f t="shared" si="10"/>
        <v>1</v>
      </c>
      <c r="V92" s="322">
        <f t="shared" si="11"/>
        <v>3120</v>
      </c>
    </row>
    <row r="93" spans="2:22" ht="15.95" customHeight="1" x14ac:dyDescent="0.2">
      <c r="L93" s="124" t="str">
        <f>Uebersetzung!D116</f>
        <v>cucina, cucinino</v>
      </c>
      <c r="M93" s="127">
        <v>50</v>
      </c>
      <c r="N93" s="130">
        <f t="shared" si="8"/>
        <v>1870</v>
      </c>
      <c r="O93" s="333">
        <v>16</v>
      </c>
      <c r="P93" s="332">
        <v>20</v>
      </c>
      <c r="Q93" s="101">
        <v>0.8</v>
      </c>
      <c r="R93" s="97">
        <f t="shared" si="9"/>
        <v>1872.7272727272725</v>
      </c>
      <c r="S93" s="84">
        <v>1030</v>
      </c>
      <c r="T93" s="120" t="s">
        <v>338</v>
      </c>
      <c r="U93" s="87">
        <f t="shared" si="10"/>
        <v>0.55000000000000004</v>
      </c>
      <c r="V93" s="322">
        <f t="shared" si="11"/>
        <v>1872.7272727272725</v>
      </c>
    </row>
    <row r="94" spans="2:22" ht="15.95" customHeight="1" x14ac:dyDescent="0.25">
      <c r="B94" s="78" t="s">
        <v>72</v>
      </c>
      <c r="C94" s="166"/>
      <c r="D94" s="166"/>
      <c r="E94" s="174" t="s">
        <v>151</v>
      </c>
      <c r="F94" s="166"/>
      <c r="G94" s="79"/>
      <c r="I94" s="86" t="s">
        <v>58</v>
      </c>
      <c r="J94" s="79"/>
      <c r="L94" s="124" t="str">
        <f>Uebersetzung!D117</f>
        <v>WC, bagno doccia</v>
      </c>
      <c r="M94" s="127">
        <v>51</v>
      </c>
      <c r="N94" s="130">
        <f t="shared" si="8"/>
        <v>2110</v>
      </c>
      <c r="O94" s="140">
        <v>12.8</v>
      </c>
      <c r="P94" s="137">
        <v>16</v>
      </c>
      <c r="Q94" s="101">
        <v>0.8</v>
      </c>
      <c r="R94" s="97">
        <f t="shared" si="9"/>
        <v>2109.090909090909</v>
      </c>
      <c r="S94" s="87">
        <v>1160</v>
      </c>
      <c r="T94" s="120" t="s">
        <v>338</v>
      </c>
      <c r="U94" s="87">
        <f t="shared" si="10"/>
        <v>0.55000000000000004</v>
      </c>
      <c r="V94" s="322">
        <f t="shared" si="11"/>
        <v>2109.090909090909</v>
      </c>
    </row>
    <row r="95" spans="2:22" ht="15.95" customHeight="1" x14ac:dyDescent="0.2">
      <c r="B95" s="70"/>
      <c r="C95" s="82"/>
      <c r="D95" s="71"/>
      <c r="E95" s="170" t="s">
        <v>145</v>
      </c>
      <c r="F95" s="143" t="s">
        <v>152</v>
      </c>
      <c r="G95" s="119" t="s">
        <v>153</v>
      </c>
      <c r="I95" s="70"/>
      <c r="J95" s="71"/>
      <c r="L95" s="124" t="str">
        <f>Uebersetzung!D118</f>
        <v>WC</v>
      </c>
      <c r="M95" s="127">
        <v>52</v>
      </c>
      <c r="N95" s="130">
        <f t="shared" si="8"/>
        <v>2130</v>
      </c>
      <c r="O95" s="140">
        <v>6.4</v>
      </c>
      <c r="P95" s="137">
        <v>8</v>
      </c>
      <c r="Q95" s="101">
        <v>0.8</v>
      </c>
      <c r="R95" s="97">
        <f t="shared" si="9"/>
        <v>2128.5714285714289</v>
      </c>
      <c r="S95" s="87">
        <v>1490</v>
      </c>
      <c r="T95" s="120" t="s">
        <v>337</v>
      </c>
      <c r="U95" s="87">
        <f t="shared" si="10"/>
        <v>0.7</v>
      </c>
      <c r="V95" s="322">
        <f t="shared" si="11"/>
        <v>2128.5714285714289</v>
      </c>
    </row>
    <row r="96" spans="2:22" ht="15.95" customHeight="1" x14ac:dyDescent="0.2">
      <c r="B96" s="81"/>
      <c r="C96" s="76"/>
      <c r="D96" s="74"/>
      <c r="E96" s="136" t="s">
        <v>72</v>
      </c>
      <c r="F96" s="135" t="s">
        <v>154</v>
      </c>
      <c r="G96" s="107" t="s">
        <v>95</v>
      </c>
      <c r="I96" s="87"/>
      <c r="J96" s="73"/>
      <c r="L96" s="124" t="str">
        <f>Uebersetzung!D119</f>
        <v>spogliatoio, docce</v>
      </c>
      <c r="M96" s="127">
        <v>53</v>
      </c>
      <c r="N96" s="130">
        <f t="shared" si="8"/>
        <v>2110</v>
      </c>
      <c r="O96" s="140">
        <v>16</v>
      </c>
      <c r="P96" s="137">
        <v>20</v>
      </c>
      <c r="Q96" s="101">
        <v>0.8</v>
      </c>
      <c r="R96" s="97">
        <f t="shared" si="9"/>
        <v>2109.090909090909</v>
      </c>
      <c r="S96" s="87">
        <v>1160</v>
      </c>
      <c r="T96" s="120" t="s">
        <v>338</v>
      </c>
      <c r="U96" s="87">
        <f t="shared" si="10"/>
        <v>0.55000000000000004</v>
      </c>
      <c r="V96" s="322">
        <f t="shared" si="11"/>
        <v>2109.090909090909</v>
      </c>
    </row>
    <row r="97" spans="2:22" ht="15.95" customHeight="1" x14ac:dyDescent="0.2">
      <c r="B97" s="121"/>
      <c r="C97" s="82"/>
      <c r="D97" s="71"/>
      <c r="E97" s="87">
        <v>0</v>
      </c>
      <c r="F97" s="91">
        <v>0</v>
      </c>
      <c r="G97" s="101">
        <v>0</v>
      </c>
      <c r="H97" s="38">
        <v>1</v>
      </c>
      <c r="I97" s="87"/>
      <c r="J97" s="101">
        <v>0</v>
      </c>
      <c r="L97" s="124" t="str">
        <f>Uebersetzung!D120</f>
        <v>garage</v>
      </c>
      <c r="M97" s="127">
        <v>54</v>
      </c>
      <c r="N97" s="130">
        <f t="shared" si="8"/>
        <v>3800</v>
      </c>
      <c r="O97" s="140">
        <v>1.6</v>
      </c>
      <c r="P97" s="137">
        <v>2</v>
      </c>
      <c r="Q97" s="101">
        <v>0.8</v>
      </c>
      <c r="R97" s="97">
        <f t="shared" si="9"/>
        <v>3800</v>
      </c>
      <c r="S97" s="87">
        <v>3800</v>
      </c>
      <c r="T97" s="120" t="s">
        <v>336</v>
      </c>
      <c r="U97" s="87">
        <f t="shared" si="10"/>
        <v>1</v>
      </c>
      <c r="V97" s="322">
        <f t="shared" si="11"/>
        <v>3800</v>
      </c>
    </row>
    <row r="98" spans="2:22" ht="15.95" customHeight="1" x14ac:dyDescent="0.2">
      <c r="B98" s="122" t="str">
        <f>Uebersetzung!D53</f>
        <v>senza RC</v>
      </c>
      <c r="C98" s="40"/>
      <c r="D98" s="73"/>
      <c r="E98" s="87">
        <v>0</v>
      </c>
      <c r="F98" s="91">
        <v>0</v>
      </c>
      <c r="G98" s="101">
        <v>0</v>
      </c>
      <c r="H98" s="38">
        <v>2</v>
      </c>
      <c r="I98" s="88" t="str">
        <f>Uebersetzung!D25</f>
        <v>Si</v>
      </c>
      <c r="J98" s="101">
        <v>1</v>
      </c>
      <c r="L98" s="124" t="str">
        <f>Uebersetzung!D121</f>
        <v>lavanderia</v>
      </c>
      <c r="M98" s="127">
        <v>55</v>
      </c>
      <c r="N98" s="130">
        <f t="shared" si="8"/>
        <v>2700</v>
      </c>
      <c r="O98" s="140">
        <v>3.2</v>
      </c>
      <c r="P98" s="137">
        <v>4</v>
      </c>
      <c r="Q98" s="101">
        <v>0.8</v>
      </c>
      <c r="R98" s="97">
        <f t="shared" si="9"/>
        <v>2700</v>
      </c>
      <c r="S98" s="87">
        <v>2700</v>
      </c>
      <c r="T98" s="120" t="s">
        <v>336</v>
      </c>
      <c r="U98" s="87">
        <f t="shared" si="10"/>
        <v>1</v>
      </c>
      <c r="V98" s="322">
        <f t="shared" si="11"/>
        <v>2700</v>
      </c>
    </row>
    <row r="99" spans="2:22" ht="15.95" customHeight="1" x14ac:dyDescent="0.2">
      <c r="B99" s="122" t="str">
        <f>Uebersetzung!D54</f>
        <v>incrociato a piastre</v>
      </c>
      <c r="C99" s="40"/>
      <c r="D99" s="73"/>
      <c r="E99" s="87">
        <v>0.6</v>
      </c>
      <c r="F99" s="91">
        <v>0</v>
      </c>
      <c r="G99" s="101">
        <v>0</v>
      </c>
      <c r="H99" s="38">
        <v>3</v>
      </c>
      <c r="I99" s="89" t="str">
        <f>Uebersetzung!D26</f>
        <v>No</v>
      </c>
      <c r="J99" s="102">
        <v>0</v>
      </c>
      <c r="L99" s="281" t="str">
        <f>Uebersetzung!D122</f>
        <v>locale di servizio</v>
      </c>
      <c r="M99" s="128">
        <v>56</v>
      </c>
      <c r="N99" s="311">
        <f t="shared" si="8"/>
        <v>3800</v>
      </c>
      <c r="O99" s="141">
        <v>1.6</v>
      </c>
      <c r="P99" s="138">
        <v>2</v>
      </c>
      <c r="Q99" s="102">
        <v>0.8</v>
      </c>
      <c r="R99" s="98">
        <f t="shared" si="9"/>
        <v>3800</v>
      </c>
      <c r="S99" s="100">
        <v>3800</v>
      </c>
      <c r="T99" s="107" t="s">
        <v>336</v>
      </c>
      <c r="U99" s="100">
        <f t="shared" si="10"/>
        <v>1</v>
      </c>
      <c r="V99" s="323">
        <f t="shared" si="11"/>
        <v>3800</v>
      </c>
    </row>
    <row r="100" spans="2:22" ht="15.95" customHeight="1" x14ac:dyDescent="0.2">
      <c r="B100" s="122" t="str">
        <f>Uebersetzung!D55</f>
        <v>incrociato entalpico</v>
      </c>
      <c r="C100" s="40"/>
      <c r="D100" s="73"/>
      <c r="E100" s="87">
        <v>0.5</v>
      </c>
      <c r="F100" s="91">
        <v>0</v>
      </c>
      <c r="G100" s="101">
        <v>0</v>
      </c>
      <c r="H100" s="38">
        <v>4</v>
      </c>
    </row>
    <row r="101" spans="2:22" ht="15.95" customHeight="1" x14ac:dyDescent="0.2">
      <c r="B101" s="122" t="str">
        <f>Uebersetzung!D56</f>
        <v>controrrente a piaste</v>
      </c>
      <c r="C101" s="40"/>
      <c r="D101" s="73"/>
      <c r="E101" s="87">
        <v>0.8</v>
      </c>
      <c r="F101" s="91">
        <v>0</v>
      </c>
      <c r="G101" s="101">
        <v>0</v>
      </c>
      <c r="H101" s="38">
        <v>5</v>
      </c>
    </row>
    <row r="102" spans="2:22" ht="15.95" customHeight="1" x14ac:dyDescent="0.25">
      <c r="B102" s="122" t="str">
        <f>Uebersetzung!D57</f>
        <v>controcorrente entalpico</v>
      </c>
      <c r="C102" s="40"/>
      <c r="D102" s="73"/>
      <c r="E102" s="87">
        <v>0.7</v>
      </c>
      <c r="F102" s="91">
        <v>0</v>
      </c>
      <c r="G102" s="101">
        <v>0</v>
      </c>
      <c r="H102" s="38">
        <v>6</v>
      </c>
      <c r="I102" s="171" t="s">
        <v>140</v>
      </c>
      <c r="J102" s="79"/>
    </row>
    <row r="103" spans="2:22" ht="15.95" customHeight="1" x14ac:dyDescent="0.2">
      <c r="B103" s="122" t="str">
        <f>Uebersetzung!D58</f>
        <v>rotativo</v>
      </c>
      <c r="C103" s="40"/>
      <c r="D103" s="73"/>
      <c r="E103" s="87">
        <v>0.8</v>
      </c>
      <c r="F103" s="91">
        <v>0.05</v>
      </c>
      <c r="G103" s="101">
        <v>0</v>
      </c>
      <c r="H103" s="38">
        <v>7</v>
      </c>
      <c r="I103" s="70"/>
      <c r="J103" s="71"/>
    </row>
    <row r="104" spans="2:22" ht="15.95" customHeight="1" x14ac:dyDescent="0.2">
      <c r="B104" s="122" t="str">
        <f>Uebersetzung!D59</f>
        <v>rotativo con recupero umidità</v>
      </c>
      <c r="C104" s="40"/>
      <c r="D104" s="73"/>
      <c r="E104" s="87">
        <v>0.7</v>
      </c>
      <c r="F104" s="91">
        <v>0.05</v>
      </c>
      <c r="G104" s="101">
        <v>0</v>
      </c>
      <c r="H104" s="38">
        <v>8</v>
      </c>
      <c r="I104" s="87"/>
      <c r="J104" s="73"/>
    </row>
    <row r="105" spans="2:22" ht="15.95" customHeight="1" x14ac:dyDescent="0.2">
      <c r="B105" s="122" t="str">
        <f>Uebersetzung!D60</f>
        <v>sistema idraulico a circuito chiuso</v>
      </c>
      <c r="C105" s="40"/>
      <c r="D105" s="73"/>
      <c r="E105" s="87">
        <v>0.5</v>
      </c>
      <c r="F105" s="91">
        <v>0.25</v>
      </c>
      <c r="G105" s="101">
        <v>100</v>
      </c>
      <c r="H105" s="38">
        <v>9</v>
      </c>
      <c r="I105" s="87"/>
      <c r="J105" s="101"/>
    </row>
    <row r="106" spans="2:22" ht="15.95" customHeight="1" x14ac:dyDescent="0.2">
      <c r="B106" s="122" t="str">
        <f>Uebersetzung!D61</f>
        <v>sist. Idraulico c.c. -regolato</v>
      </c>
      <c r="C106" s="40"/>
      <c r="D106" s="73"/>
      <c r="E106" s="87">
        <v>0.75</v>
      </c>
      <c r="F106" s="91">
        <v>0.125</v>
      </c>
      <c r="G106" s="101">
        <v>100</v>
      </c>
      <c r="H106" s="38">
        <v>10</v>
      </c>
      <c r="I106" s="106" t="s">
        <v>141</v>
      </c>
      <c r="J106" s="101">
        <v>1</v>
      </c>
    </row>
    <row r="107" spans="2:22" ht="15.95" customHeight="1" x14ac:dyDescent="0.2">
      <c r="B107" s="122" t="str">
        <f>Uebersetzung!D62</f>
        <v>sist. Idraulico c .c. -regolato-ottimizzato</v>
      </c>
      <c r="C107" s="40"/>
      <c r="D107" s="73"/>
      <c r="E107" s="87">
        <v>0.75</v>
      </c>
      <c r="F107" s="144">
        <v>0.1</v>
      </c>
      <c r="G107" s="101">
        <v>80</v>
      </c>
      <c r="H107" s="38">
        <v>11</v>
      </c>
      <c r="I107" s="89"/>
      <c r="J107" s="102">
        <v>2</v>
      </c>
    </row>
    <row r="108" spans="2:22" ht="15.95" customHeight="1" x14ac:dyDescent="0.2">
      <c r="B108" s="122" t="str">
        <f>Uebersetzung!D63</f>
        <v>Pdc aria immessa e aria estratta</v>
      </c>
      <c r="C108" s="40"/>
      <c r="D108" s="73"/>
      <c r="E108" s="87">
        <v>0</v>
      </c>
      <c r="F108" s="91">
        <v>0</v>
      </c>
      <c r="G108" s="101">
        <v>120</v>
      </c>
      <c r="H108" s="38">
        <v>12</v>
      </c>
    </row>
    <row r="109" spans="2:22" ht="15.95" customHeight="1" x14ac:dyDescent="0.2">
      <c r="B109" s="122">
        <f>Uebersetzung!D64</f>
        <v>0</v>
      </c>
      <c r="C109" s="40"/>
      <c r="D109" s="73"/>
      <c r="E109" s="87"/>
      <c r="F109" s="91"/>
      <c r="G109" s="101"/>
      <c r="H109" s="38">
        <v>13</v>
      </c>
    </row>
    <row r="110" spans="2:22" ht="15.95" customHeight="1" x14ac:dyDescent="0.2">
      <c r="B110" s="122">
        <f>Uebersetzung!D65</f>
        <v>0</v>
      </c>
      <c r="C110" s="40"/>
      <c r="D110" s="73"/>
      <c r="E110" s="87"/>
      <c r="F110" s="91"/>
      <c r="G110" s="101"/>
      <c r="H110" s="38">
        <v>14</v>
      </c>
    </row>
    <row r="111" spans="2:22" ht="15.95" customHeight="1" x14ac:dyDescent="0.2">
      <c r="B111" s="122">
        <f>Uebersetzung!D66</f>
        <v>0</v>
      </c>
      <c r="C111" s="40"/>
      <c r="D111" s="73"/>
      <c r="E111" s="87"/>
      <c r="F111" s="91"/>
      <c r="G111" s="101"/>
      <c r="H111" s="38">
        <v>15</v>
      </c>
    </row>
    <row r="112" spans="2:22" ht="15.95" customHeight="1" x14ac:dyDescent="0.2">
      <c r="B112" s="280">
        <f>Uebersetzung!D67</f>
        <v>0</v>
      </c>
      <c r="C112" s="76"/>
      <c r="D112" s="74"/>
      <c r="E112" s="100"/>
      <c r="F112" s="92"/>
      <c r="G112" s="102"/>
      <c r="H112" s="38">
        <v>16</v>
      </c>
    </row>
    <row r="116" spans="2:2" ht="15.95" customHeight="1" x14ac:dyDescent="0.2">
      <c r="B116" s="85"/>
    </row>
  </sheetData>
  <sheetProtection password="C616" sheet="1" objects="1" scenarios="1"/>
  <mergeCells count="6">
    <mergeCell ref="C4:D4"/>
    <mergeCell ref="O42:P42"/>
    <mergeCell ref="O41:Q41"/>
    <mergeCell ref="H4:I4"/>
    <mergeCell ref="F4:G4"/>
    <mergeCell ref="M4:M5"/>
  </mergeCells>
  <dataValidations disablePrompts="1" count="1">
    <dataValidation type="list" allowBlank="1" showInputMessage="1" showErrorMessage="1" sqref="T57:T99" xr:uid="{00000000-0002-0000-0300-000000000000}">
      <formula1>$X$57:$X$59</formula1>
    </dataValidation>
  </dataValidations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10</vt:i4>
      </vt:variant>
    </vt:vector>
  </HeadingPairs>
  <TitlesOfParts>
    <vt:vector size="14" baseType="lpstr">
      <vt:lpstr>Lüftung</vt:lpstr>
      <vt:lpstr>Log</vt:lpstr>
      <vt:lpstr>Uebersetzung</vt:lpstr>
      <vt:lpstr>Berechnung</vt:lpstr>
      <vt:lpstr>Lüftung!Druckbereich</vt:lpstr>
      <vt:lpstr>ECAC</vt:lpstr>
      <vt:lpstr>JaNein</vt:lpstr>
      <vt:lpstr>Lüftungsart</vt:lpstr>
      <vt:lpstr>Min_Druck</vt:lpstr>
      <vt:lpstr>Min_Vollast</vt:lpstr>
      <vt:lpstr>MUKEN</vt:lpstr>
      <vt:lpstr>Nutzung</vt:lpstr>
      <vt:lpstr>Regelungsart</vt:lpstr>
      <vt:lpstr>WRG</vt:lpstr>
    </vt:vector>
  </TitlesOfParts>
  <Manager>Arthur Huber / Christoph Gmür</Manager>
  <Company>AWEL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Lüftung_de.xlsx</dc:title>
  <dc:subject>Lüftungsblatt für EN-101b und MINERGIE</dc:subject>
  <dc:creator>ENDK</dc:creator>
  <dc:description>Version 1.0</dc:description>
  <cp:lastModifiedBy>Christian Stünzi</cp:lastModifiedBy>
  <cp:lastPrinted>2018-11-17T12:30:23Z</cp:lastPrinted>
  <dcterms:created xsi:type="dcterms:W3CDTF">2000-03-28T11:37:49Z</dcterms:created>
  <dcterms:modified xsi:type="dcterms:W3CDTF">2020-03-05T14:43:56Z</dcterms:modified>
</cp:coreProperties>
</file>